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2888AE70-1F52-42C8-93FC-997976CC75BD}" xr6:coauthVersionLast="44" xr6:coauthVersionMax="44" xr10:uidLastSave="{00000000-0000-0000-0000-000000000000}"/>
  <bookViews>
    <workbookView xWindow="-108" yWindow="-108" windowWidth="30936" windowHeight="16896" tabRatio="674" xr2:uid="{00000000-000D-0000-FFFF-FFFF00000000}"/>
  </bookViews>
  <sheets>
    <sheet name="iOS" sheetId="14" r:id="rId1"/>
    <sheet name="安卓" sheetId="1" r:id="rId2"/>
    <sheet name="源" sheetId="4" r:id="rId3"/>
    <sheet name="TBC3" sheetId="15" r:id="rId4"/>
  </sheets>
  <definedNames>
    <definedName name="_xlnm._FilterDatabase" localSheetId="1" hidden="1">安卓!$A$96:$AM$96</definedName>
    <definedName name="_xlnm._FilterDatabase" localSheetId="2" hidden="1">源!$W$18:$Y$26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83" i="14" l="1"/>
  <c r="AH381" i="14"/>
  <c r="AH382" i="14"/>
  <c r="AH384" i="14"/>
  <c r="AH385" i="14"/>
  <c r="AH386" i="14"/>
  <c r="AH387" i="14"/>
  <c r="AH388" i="14"/>
  <c r="AH380" i="14"/>
  <c r="AH379" i="14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AC94" i="15"/>
  <c r="Z379" i="14"/>
  <c r="D379" i="14"/>
  <c r="AD379" i="14"/>
  <c r="AB379" i="14"/>
  <c r="AF379" i="14"/>
  <c r="AG379" i="14"/>
  <c r="AB94" i="15"/>
  <c r="AA379" i="14"/>
  <c r="AE379" i="14"/>
  <c r="AA94" i="15"/>
  <c r="M379" i="14"/>
  <c r="X379" i="14"/>
  <c r="Y379" i="14"/>
  <c r="Z94" i="15"/>
  <c r="H379" i="14"/>
  <c r="Y94" i="15"/>
  <c r="G379" i="14"/>
  <c r="X94" i="15"/>
  <c r="T94" i="15"/>
  <c r="C379" i="14"/>
  <c r="S94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M94" i="15"/>
  <c r="Z379" i="1"/>
  <c r="D379" i="1"/>
  <c r="AD379" i="1"/>
  <c r="AB379" i="1"/>
  <c r="AF379" i="1"/>
  <c r="AG379" i="1"/>
  <c r="L94" i="15"/>
  <c r="AA379" i="1"/>
  <c r="AE379" i="1"/>
  <c r="K94" i="15"/>
  <c r="M379" i="1"/>
  <c r="X379" i="1"/>
  <c r="Y379" i="1"/>
  <c r="J94" i="15"/>
  <c r="H379" i="1"/>
  <c r="I94" i="15"/>
  <c r="G379" i="1"/>
  <c r="H94" i="15"/>
  <c r="D94" i="15"/>
  <c r="C379" i="1"/>
  <c r="C94" i="15"/>
  <c r="AC93" i="15"/>
  <c r="AB93" i="15"/>
  <c r="AA93" i="15"/>
  <c r="Z93" i="15"/>
  <c r="Y93" i="15"/>
  <c r="X93" i="15"/>
  <c r="U93" i="15"/>
  <c r="T93" i="15"/>
  <c r="S93" i="15"/>
  <c r="M93" i="15"/>
  <c r="L93" i="15"/>
  <c r="K93" i="15"/>
  <c r="J93" i="15"/>
  <c r="I93" i="15"/>
  <c r="H93" i="15"/>
  <c r="E93" i="15"/>
  <c r="D93" i="15"/>
  <c r="C93" i="15"/>
  <c r="AC92" i="15"/>
  <c r="AB92" i="15"/>
  <c r="AA92" i="15"/>
  <c r="Z92" i="15"/>
  <c r="Y92" i="15"/>
  <c r="X92" i="15"/>
  <c r="U92" i="15"/>
  <c r="T92" i="15"/>
  <c r="S92" i="15"/>
  <c r="M92" i="15"/>
  <c r="L92" i="15"/>
  <c r="K92" i="15"/>
  <c r="J92" i="15"/>
  <c r="I92" i="15"/>
  <c r="H92" i="15"/>
  <c r="E92" i="15"/>
  <c r="D92" i="15"/>
  <c r="C92" i="15"/>
  <c r="AC91" i="15"/>
  <c r="AB91" i="15"/>
  <c r="AA91" i="15"/>
  <c r="Z91" i="15"/>
  <c r="Y91" i="15"/>
  <c r="X91" i="15"/>
  <c r="V91" i="15"/>
  <c r="U91" i="15"/>
  <c r="T91" i="15"/>
  <c r="S91" i="15"/>
  <c r="M91" i="15"/>
  <c r="L91" i="15"/>
  <c r="K91" i="15"/>
  <c r="J91" i="15"/>
  <c r="I91" i="15"/>
  <c r="H91" i="15"/>
  <c r="F91" i="15"/>
  <c r="E91" i="15"/>
  <c r="D91" i="15"/>
  <c r="C91" i="15"/>
  <c r="AC90" i="15"/>
  <c r="AB90" i="15"/>
  <c r="AA90" i="15"/>
  <c r="Z90" i="15"/>
  <c r="Y90" i="15"/>
  <c r="X90" i="15"/>
  <c r="V90" i="15"/>
  <c r="U90" i="15"/>
  <c r="T90" i="15"/>
  <c r="S90" i="15"/>
  <c r="M90" i="15"/>
  <c r="L90" i="15"/>
  <c r="K90" i="15"/>
  <c r="J90" i="15"/>
  <c r="I90" i="15"/>
  <c r="H90" i="15"/>
  <c r="F90" i="15"/>
  <c r="E90" i="15"/>
  <c r="D90" i="15"/>
  <c r="C90" i="15"/>
  <c r="AC89" i="15"/>
  <c r="AB89" i="15"/>
  <c r="AA89" i="15"/>
  <c r="Z89" i="15"/>
  <c r="Y89" i="15"/>
  <c r="X89" i="15"/>
  <c r="V89" i="15"/>
  <c r="U89" i="15"/>
  <c r="T89" i="15"/>
  <c r="S89" i="15"/>
  <c r="M89" i="15"/>
  <c r="L89" i="15"/>
  <c r="K89" i="15"/>
  <c r="J89" i="15"/>
  <c r="I89" i="15"/>
  <c r="H89" i="15"/>
  <c r="F89" i="15"/>
  <c r="E89" i="15"/>
  <c r="D89" i="15"/>
  <c r="C89" i="15"/>
  <c r="AC88" i="15"/>
  <c r="AB88" i="15"/>
  <c r="AA88" i="15"/>
  <c r="Z88" i="15"/>
  <c r="Y88" i="15"/>
  <c r="X88" i="15"/>
  <c r="V88" i="15"/>
  <c r="U88" i="15"/>
  <c r="T88" i="15"/>
  <c r="S88" i="15"/>
  <c r="M88" i="15"/>
  <c r="L88" i="15"/>
  <c r="K88" i="15"/>
  <c r="J88" i="15"/>
  <c r="I88" i="15"/>
  <c r="H88" i="15"/>
  <c r="F88" i="15"/>
  <c r="E88" i="15"/>
  <c r="D88" i="15"/>
  <c r="C88" i="15"/>
  <c r="AC87" i="15"/>
  <c r="AB87" i="15"/>
  <c r="AA87" i="15"/>
  <c r="Z87" i="15"/>
  <c r="Y87" i="15"/>
  <c r="X87" i="15"/>
  <c r="W87" i="15"/>
  <c r="V87" i="15"/>
  <c r="U87" i="15"/>
  <c r="T87" i="15"/>
  <c r="S87" i="15"/>
  <c r="M87" i="15"/>
  <c r="L87" i="15"/>
  <c r="K87" i="15"/>
  <c r="J87" i="15"/>
  <c r="I87" i="15"/>
  <c r="H87" i="15"/>
  <c r="G87" i="15"/>
  <c r="F87" i="15"/>
  <c r="E87" i="15"/>
  <c r="D87" i="15"/>
  <c r="C87" i="15"/>
  <c r="AC86" i="15"/>
  <c r="AB86" i="15"/>
  <c r="AA86" i="15"/>
  <c r="Z86" i="15"/>
  <c r="Y86" i="15"/>
  <c r="X86" i="15"/>
  <c r="W86" i="15"/>
  <c r="V86" i="15"/>
  <c r="U86" i="15"/>
  <c r="T86" i="15"/>
  <c r="S86" i="15"/>
  <c r="M86" i="15"/>
  <c r="L86" i="15"/>
  <c r="K86" i="15"/>
  <c r="J86" i="15"/>
  <c r="I86" i="15"/>
  <c r="H86" i="15"/>
  <c r="G86" i="15"/>
  <c r="F86" i="15"/>
  <c r="E86" i="15"/>
  <c r="D86" i="15"/>
  <c r="C86" i="15"/>
  <c r="AC85" i="15"/>
  <c r="AB85" i="15"/>
  <c r="AA85" i="15"/>
  <c r="Z85" i="15"/>
  <c r="Y85" i="15"/>
  <c r="X85" i="15"/>
  <c r="W85" i="15"/>
  <c r="V85" i="15"/>
  <c r="U85" i="15"/>
  <c r="T85" i="15"/>
  <c r="S85" i="15"/>
  <c r="M85" i="15"/>
  <c r="L85" i="15"/>
  <c r="K85" i="15"/>
  <c r="J85" i="15"/>
  <c r="I85" i="15"/>
  <c r="H85" i="15"/>
  <c r="G85" i="15"/>
  <c r="F85" i="15"/>
  <c r="E85" i="15"/>
  <c r="D85" i="15"/>
  <c r="C85" i="15"/>
  <c r="AC84" i="15"/>
  <c r="AB84" i="15"/>
  <c r="AA84" i="15"/>
  <c r="Z84" i="15"/>
  <c r="Y84" i="15"/>
  <c r="X84" i="15"/>
  <c r="W84" i="15"/>
  <c r="V84" i="15"/>
  <c r="U84" i="15"/>
  <c r="T84" i="15"/>
  <c r="S84" i="15"/>
  <c r="M84" i="15"/>
  <c r="L84" i="15"/>
  <c r="K84" i="15"/>
  <c r="J84" i="15"/>
  <c r="I84" i="15"/>
  <c r="H84" i="15"/>
  <c r="G84" i="15"/>
  <c r="F84" i="15"/>
  <c r="E84" i="15"/>
  <c r="D84" i="15"/>
  <c r="C84" i="15"/>
  <c r="AC83" i="15"/>
  <c r="AB83" i="15"/>
  <c r="AA83" i="15"/>
  <c r="Z83" i="15"/>
  <c r="Y83" i="15"/>
  <c r="X83" i="15"/>
  <c r="W83" i="15"/>
  <c r="V83" i="15"/>
  <c r="U83" i="15"/>
  <c r="T83" i="15"/>
  <c r="S83" i="15"/>
  <c r="M83" i="15"/>
  <c r="L83" i="15"/>
  <c r="K83" i="15"/>
  <c r="J83" i="15"/>
  <c r="I83" i="15"/>
  <c r="H83" i="15"/>
  <c r="G83" i="15"/>
  <c r="F83" i="15"/>
  <c r="E83" i="15"/>
  <c r="D83" i="15"/>
  <c r="C83" i="15"/>
  <c r="AC82" i="15"/>
  <c r="AB82" i="15"/>
  <c r="AA82" i="15"/>
  <c r="Z82" i="15"/>
  <c r="Y82" i="15"/>
  <c r="X82" i="15"/>
  <c r="W82" i="15"/>
  <c r="V82" i="15"/>
  <c r="U82" i="15"/>
  <c r="T82" i="15"/>
  <c r="S82" i="15"/>
  <c r="M82" i="15"/>
  <c r="L82" i="15"/>
  <c r="K82" i="15"/>
  <c r="J82" i="15"/>
  <c r="I82" i="15"/>
  <c r="H82" i="15"/>
  <c r="G82" i="15"/>
  <c r="F82" i="15"/>
  <c r="E82" i="15"/>
  <c r="D82" i="15"/>
  <c r="C82" i="15"/>
  <c r="AC81" i="15"/>
  <c r="AB81" i="15"/>
  <c r="AA81" i="15"/>
  <c r="Z81" i="15"/>
  <c r="Y81" i="15"/>
  <c r="X81" i="15"/>
  <c r="W81" i="15"/>
  <c r="V81" i="15"/>
  <c r="U81" i="15"/>
  <c r="T81" i="15"/>
  <c r="S81" i="15"/>
  <c r="M81" i="15"/>
  <c r="L81" i="15"/>
  <c r="K81" i="15"/>
  <c r="J81" i="15"/>
  <c r="I81" i="15"/>
  <c r="H81" i="15"/>
  <c r="G81" i="15"/>
  <c r="F81" i="15"/>
  <c r="E81" i="15"/>
  <c r="D81" i="15"/>
  <c r="C81" i="15"/>
  <c r="AC80" i="15"/>
  <c r="AB80" i="15"/>
  <c r="AA80" i="15"/>
  <c r="Z80" i="15"/>
  <c r="Y80" i="15"/>
  <c r="X80" i="15"/>
  <c r="W80" i="15"/>
  <c r="V80" i="15"/>
  <c r="U80" i="15"/>
  <c r="T80" i="15"/>
  <c r="S80" i="15"/>
  <c r="M80" i="15"/>
  <c r="L80" i="15"/>
  <c r="K80" i="15"/>
  <c r="J80" i="15"/>
  <c r="I80" i="15"/>
  <c r="H80" i="15"/>
  <c r="G80" i="15"/>
  <c r="F80" i="15"/>
  <c r="E80" i="15"/>
  <c r="D80" i="15"/>
  <c r="C80" i="15"/>
  <c r="AC79" i="15"/>
  <c r="AB79" i="15"/>
  <c r="AA79" i="15"/>
  <c r="Z79" i="15"/>
  <c r="Y79" i="15"/>
  <c r="X79" i="15"/>
  <c r="W79" i="15"/>
  <c r="V79" i="15"/>
  <c r="U79" i="15"/>
  <c r="T79" i="15"/>
  <c r="S79" i="15"/>
  <c r="M79" i="15"/>
  <c r="L79" i="15"/>
  <c r="K79" i="15"/>
  <c r="J79" i="15"/>
  <c r="I79" i="15"/>
  <c r="H79" i="15"/>
  <c r="G79" i="15"/>
  <c r="F79" i="15"/>
  <c r="E79" i="15"/>
  <c r="D79" i="15"/>
  <c r="C79" i="15"/>
  <c r="AC78" i="15"/>
  <c r="AB78" i="15"/>
  <c r="AA78" i="15"/>
  <c r="Z78" i="15"/>
  <c r="Y78" i="15"/>
  <c r="X78" i="15"/>
  <c r="W78" i="15"/>
  <c r="V78" i="15"/>
  <c r="U78" i="15"/>
  <c r="T78" i="15"/>
  <c r="S78" i="15"/>
  <c r="M78" i="15"/>
  <c r="L78" i="15"/>
  <c r="K78" i="15"/>
  <c r="J78" i="15"/>
  <c r="I78" i="15"/>
  <c r="H78" i="15"/>
  <c r="G78" i="15"/>
  <c r="F78" i="15"/>
  <c r="E78" i="15"/>
  <c r="D78" i="15"/>
  <c r="C78" i="15"/>
  <c r="AC77" i="15"/>
  <c r="AB77" i="15"/>
  <c r="AA77" i="15"/>
  <c r="Z77" i="15"/>
  <c r="Y77" i="15"/>
  <c r="X77" i="15"/>
  <c r="W77" i="15"/>
  <c r="V77" i="15"/>
  <c r="U77" i="15"/>
  <c r="T77" i="15"/>
  <c r="S77" i="15"/>
  <c r="M77" i="15"/>
  <c r="L77" i="15"/>
  <c r="K77" i="15"/>
  <c r="J77" i="15"/>
  <c r="I77" i="15"/>
  <c r="H77" i="15"/>
  <c r="G77" i="15"/>
  <c r="F77" i="15"/>
  <c r="E77" i="15"/>
  <c r="D77" i="15"/>
  <c r="C77" i="15"/>
  <c r="AC76" i="15"/>
  <c r="AB76" i="15"/>
  <c r="AA76" i="15"/>
  <c r="Z76" i="15"/>
  <c r="Y76" i="15"/>
  <c r="X76" i="15"/>
  <c r="W76" i="15"/>
  <c r="V76" i="15"/>
  <c r="U76" i="15"/>
  <c r="T76" i="15"/>
  <c r="S76" i="15"/>
  <c r="M76" i="15"/>
  <c r="L76" i="15"/>
  <c r="K76" i="15"/>
  <c r="J76" i="15"/>
  <c r="I76" i="15"/>
  <c r="H76" i="15"/>
  <c r="G76" i="15"/>
  <c r="F76" i="15"/>
  <c r="E76" i="15"/>
  <c r="D76" i="15"/>
  <c r="C76" i="15"/>
  <c r="AC75" i="15"/>
  <c r="AB75" i="15"/>
  <c r="AA75" i="15"/>
  <c r="Z75" i="15"/>
  <c r="Y75" i="15"/>
  <c r="X75" i="15"/>
  <c r="W75" i="15"/>
  <c r="V75" i="15"/>
  <c r="U75" i="15"/>
  <c r="T75" i="15"/>
  <c r="S75" i="15"/>
  <c r="M75" i="15"/>
  <c r="L75" i="15"/>
  <c r="K75" i="15"/>
  <c r="J75" i="15"/>
  <c r="I75" i="15"/>
  <c r="H75" i="15"/>
  <c r="G75" i="15"/>
  <c r="F75" i="15"/>
  <c r="E75" i="15"/>
  <c r="D75" i="15"/>
  <c r="C75" i="15"/>
  <c r="AC74" i="15"/>
  <c r="AB74" i="15"/>
  <c r="AA74" i="15"/>
  <c r="Z74" i="15"/>
  <c r="Y74" i="15"/>
  <c r="X74" i="15"/>
  <c r="W74" i="15"/>
  <c r="V74" i="15"/>
  <c r="U74" i="15"/>
  <c r="T74" i="15"/>
  <c r="S74" i="15"/>
  <c r="M74" i="15"/>
  <c r="L74" i="15"/>
  <c r="K74" i="15"/>
  <c r="J74" i="15"/>
  <c r="I74" i="15"/>
  <c r="H74" i="15"/>
  <c r="G74" i="15"/>
  <c r="F74" i="15"/>
  <c r="E74" i="15"/>
  <c r="D74" i="15"/>
  <c r="C74" i="15"/>
  <c r="AC73" i="15"/>
  <c r="AB73" i="15"/>
  <c r="AA73" i="15"/>
  <c r="Z73" i="15"/>
  <c r="Y73" i="15"/>
  <c r="X73" i="15"/>
  <c r="W73" i="15"/>
  <c r="V73" i="15"/>
  <c r="U73" i="15"/>
  <c r="T73" i="15"/>
  <c r="S73" i="15"/>
  <c r="M73" i="15"/>
  <c r="L73" i="15"/>
  <c r="K73" i="15"/>
  <c r="J73" i="15"/>
  <c r="I73" i="15"/>
  <c r="H73" i="15"/>
  <c r="G73" i="15"/>
  <c r="F73" i="15"/>
  <c r="E73" i="15"/>
  <c r="D73" i="15"/>
  <c r="C73" i="15"/>
  <c r="AC72" i="15"/>
  <c r="AB72" i="15"/>
  <c r="AA72" i="15"/>
  <c r="Z72" i="15"/>
  <c r="Y72" i="15"/>
  <c r="X72" i="15"/>
  <c r="W72" i="15"/>
  <c r="V72" i="15"/>
  <c r="U72" i="15"/>
  <c r="T72" i="15"/>
  <c r="S72" i="15"/>
  <c r="M72" i="15"/>
  <c r="L72" i="15"/>
  <c r="K72" i="15"/>
  <c r="J72" i="15"/>
  <c r="I72" i="15"/>
  <c r="H72" i="15"/>
  <c r="G72" i="15"/>
  <c r="F72" i="15"/>
  <c r="E72" i="15"/>
  <c r="D72" i="15"/>
  <c r="C72" i="15"/>
  <c r="AC71" i="15"/>
  <c r="AB71" i="15"/>
  <c r="AA71" i="15"/>
  <c r="Z71" i="15"/>
  <c r="Y71" i="15"/>
  <c r="X71" i="15"/>
  <c r="W71" i="15"/>
  <c r="V71" i="15"/>
  <c r="U71" i="15"/>
  <c r="T71" i="15"/>
  <c r="S71" i="15"/>
  <c r="M71" i="15"/>
  <c r="L71" i="15"/>
  <c r="K71" i="15"/>
  <c r="J71" i="15"/>
  <c r="I71" i="15"/>
  <c r="H71" i="15"/>
  <c r="G71" i="15"/>
  <c r="F71" i="15"/>
  <c r="E71" i="15"/>
  <c r="D71" i="15"/>
  <c r="C71" i="15"/>
  <c r="AC70" i="15"/>
  <c r="AB70" i="15"/>
  <c r="AA70" i="15"/>
  <c r="Z70" i="15"/>
  <c r="Y70" i="15"/>
  <c r="X70" i="15"/>
  <c r="W70" i="15"/>
  <c r="V70" i="15"/>
  <c r="U70" i="15"/>
  <c r="T70" i="15"/>
  <c r="S70" i="15"/>
  <c r="M70" i="15"/>
  <c r="L70" i="15"/>
  <c r="K70" i="15"/>
  <c r="J70" i="15"/>
  <c r="I70" i="15"/>
  <c r="H70" i="15"/>
  <c r="G70" i="15"/>
  <c r="F70" i="15"/>
  <c r="E70" i="15"/>
  <c r="D70" i="15"/>
  <c r="C70" i="15"/>
  <c r="AC69" i="15"/>
  <c r="AB69" i="15"/>
  <c r="AA69" i="15"/>
  <c r="Z69" i="15"/>
  <c r="Y69" i="15"/>
  <c r="X69" i="15"/>
  <c r="W69" i="15"/>
  <c r="V69" i="15"/>
  <c r="U69" i="15"/>
  <c r="T69" i="15"/>
  <c r="S69" i="15"/>
  <c r="M69" i="15"/>
  <c r="L69" i="15"/>
  <c r="K69" i="15"/>
  <c r="J69" i="15"/>
  <c r="I69" i="15"/>
  <c r="H69" i="15"/>
  <c r="G69" i="15"/>
  <c r="F69" i="15"/>
  <c r="E69" i="15"/>
  <c r="D69" i="15"/>
  <c r="C69" i="15"/>
  <c r="AC68" i="15"/>
  <c r="AB68" i="15"/>
  <c r="AA68" i="15"/>
  <c r="Z68" i="15"/>
  <c r="Y68" i="15"/>
  <c r="X68" i="15"/>
  <c r="W68" i="15"/>
  <c r="V68" i="15"/>
  <c r="U68" i="15"/>
  <c r="T68" i="15"/>
  <c r="S68" i="15"/>
  <c r="M68" i="15"/>
  <c r="L68" i="15"/>
  <c r="K68" i="15"/>
  <c r="J68" i="15"/>
  <c r="I68" i="15"/>
  <c r="H68" i="15"/>
  <c r="G68" i="15"/>
  <c r="F68" i="15"/>
  <c r="E68" i="15"/>
  <c r="D68" i="15"/>
  <c r="C68" i="15"/>
  <c r="AC67" i="15"/>
  <c r="AB67" i="15"/>
  <c r="AA67" i="15"/>
  <c r="Z67" i="15"/>
  <c r="Y67" i="15"/>
  <c r="X67" i="15"/>
  <c r="W67" i="15"/>
  <c r="V67" i="15"/>
  <c r="U67" i="15"/>
  <c r="T67" i="15"/>
  <c r="S67" i="15"/>
  <c r="M67" i="15"/>
  <c r="L67" i="15"/>
  <c r="K67" i="15"/>
  <c r="J67" i="15"/>
  <c r="I67" i="15"/>
  <c r="H67" i="15"/>
  <c r="G67" i="15"/>
  <c r="F67" i="15"/>
  <c r="E67" i="15"/>
  <c r="D67" i="15"/>
  <c r="C67" i="15"/>
  <c r="AC66" i="15"/>
  <c r="AB66" i="15"/>
  <c r="AA66" i="15"/>
  <c r="Z66" i="15"/>
  <c r="Y66" i="15"/>
  <c r="X66" i="15"/>
  <c r="W66" i="15"/>
  <c r="V66" i="15"/>
  <c r="U66" i="15"/>
  <c r="T66" i="15"/>
  <c r="S66" i="15"/>
  <c r="M66" i="15"/>
  <c r="L66" i="15"/>
  <c r="K66" i="15"/>
  <c r="J66" i="15"/>
  <c r="I66" i="15"/>
  <c r="H66" i="15"/>
  <c r="G66" i="15"/>
  <c r="F66" i="15"/>
  <c r="E66" i="15"/>
  <c r="D66" i="15"/>
  <c r="C66" i="15"/>
  <c r="AC65" i="15"/>
  <c r="AB65" i="15"/>
  <c r="AA65" i="15"/>
  <c r="Z65" i="15"/>
  <c r="Y65" i="15"/>
  <c r="X65" i="15"/>
  <c r="W65" i="15"/>
  <c r="V65" i="15"/>
  <c r="U65" i="15"/>
  <c r="T65" i="15"/>
  <c r="S65" i="15"/>
  <c r="M65" i="15"/>
  <c r="L65" i="15"/>
  <c r="K65" i="15"/>
  <c r="J65" i="15"/>
  <c r="I65" i="15"/>
  <c r="H65" i="15"/>
  <c r="G65" i="15"/>
  <c r="F65" i="15"/>
  <c r="E65" i="15"/>
  <c r="D65" i="15"/>
  <c r="C65" i="15"/>
  <c r="AC64" i="15"/>
  <c r="AB64" i="15"/>
  <c r="AA64" i="15"/>
  <c r="Z64" i="15"/>
  <c r="Y64" i="15"/>
  <c r="X64" i="15"/>
  <c r="W64" i="15"/>
  <c r="V64" i="15"/>
  <c r="U64" i="15"/>
  <c r="T64" i="15"/>
  <c r="S64" i="15"/>
  <c r="M64" i="15"/>
  <c r="L64" i="15"/>
  <c r="K64" i="15"/>
  <c r="J64" i="15"/>
  <c r="I64" i="15"/>
  <c r="H64" i="15"/>
  <c r="G64" i="15"/>
  <c r="F64" i="15"/>
  <c r="E64" i="15"/>
  <c r="D64" i="15"/>
  <c r="C64" i="15"/>
  <c r="AC63" i="15"/>
  <c r="AB63" i="15"/>
  <c r="AA63" i="15"/>
  <c r="Z63" i="15"/>
  <c r="Y63" i="15"/>
  <c r="X63" i="15"/>
  <c r="W63" i="15"/>
  <c r="V63" i="15"/>
  <c r="U63" i="15"/>
  <c r="T63" i="15"/>
  <c r="S63" i="15"/>
  <c r="M63" i="15"/>
  <c r="L63" i="15"/>
  <c r="K63" i="15"/>
  <c r="J63" i="15"/>
  <c r="I63" i="15"/>
  <c r="H63" i="15"/>
  <c r="G63" i="15"/>
  <c r="F63" i="15"/>
  <c r="E63" i="15"/>
  <c r="D63" i="15"/>
  <c r="C63" i="15"/>
  <c r="AC62" i="15"/>
  <c r="AB62" i="15"/>
  <c r="AA62" i="15"/>
  <c r="Z62" i="15"/>
  <c r="Y62" i="15"/>
  <c r="X62" i="15"/>
  <c r="W62" i="15"/>
  <c r="V62" i="15"/>
  <c r="U62" i="15"/>
  <c r="T62" i="15"/>
  <c r="S62" i="15"/>
  <c r="M62" i="15"/>
  <c r="L62" i="15"/>
  <c r="K62" i="15"/>
  <c r="J62" i="15"/>
  <c r="I62" i="15"/>
  <c r="H62" i="15"/>
  <c r="G62" i="15"/>
  <c r="F62" i="15"/>
  <c r="E62" i="15"/>
  <c r="D62" i="15"/>
  <c r="C62" i="15"/>
  <c r="AC61" i="15"/>
  <c r="AB61" i="15"/>
  <c r="AA61" i="15"/>
  <c r="Z61" i="15"/>
  <c r="Y61" i="15"/>
  <c r="X61" i="15"/>
  <c r="W61" i="15"/>
  <c r="V61" i="15"/>
  <c r="U61" i="15"/>
  <c r="T61" i="15"/>
  <c r="S61" i="15"/>
  <c r="M61" i="15"/>
  <c r="L61" i="15"/>
  <c r="K61" i="15"/>
  <c r="J61" i="15"/>
  <c r="I61" i="15"/>
  <c r="H61" i="15"/>
  <c r="G61" i="15"/>
  <c r="F61" i="15"/>
  <c r="E61" i="15"/>
  <c r="D61" i="15"/>
  <c r="C61" i="15"/>
  <c r="AC60" i="15"/>
  <c r="AB60" i="15"/>
  <c r="AA60" i="15"/>
  <c r="Z60" i="15"/>
  <c r="Y60" i="15"/>
  <c r="X60" i="15"/>
  <c r="W60" i="15"/>
  <c r="V60" i="15"/>
  <c r="U60" i="15"/>
  <c r="T60" i="15"/>
  <c r="S60" i="15"/>
  <c r="M60" i="15"/>
  <c r="L60" i="15"/>
  <c r="K60" i="15"/>
  <c r="J60" i="15"/>
  <c r="I60" i="15"/>
  <c r="H60" i="15"/>
  <c r="G60" i="15"/>
  <c r="F60" i="15"/>
  <c r="E60" i="15"/>
  <c r="D60" i="15"/>
  <c r="C60" i="15"/>
  <c r="AC59" i="15"/>
  <c r="AB59" i="15"/>
  <c r="AA59" i="15"/>
  <c r="Z59" i="15"/>
  <c r="Y59" i="15"/>
  <c r="X59" i="15"/>
  <c r="W59" i="15"/>
  <c r="V59" i="15"/>
  <c r="U59" i="15"/>
  <c r="T59" i="15"/>
  <c r="S59" i="15"/>
  <c r="M59" i="15"/>
  <c r="L59" i="15"/>
  <c r="K59" i="15"/>
  <c r="J59" i="15"/>
  <c r="I59" i="15"/>
  <c r="H59" i="15"/>
  <c r="G59" i="15"/>
  <c r="F59" i="15"/>
  <c r="E59" i="15"/>
  <c r="D59" i="15"/>
  <c r="C59" i="15"/>
  <c r="AC58" i="15"/>
  <c r="AB58" i="15"/>
  <c r="AA58" i="15"/>
  <c r="Z58" i="15"/>
  <c r="Y58" i="15"/>
  <c r="X58" i="15"/>
  <c r="W58" i="15"/>
  <c r="V58" i="15"/>
  <c r="U58" i="15"/>
  <c r="T58" i="15"/>
  <c r="S58" i="15"/>
  <c r="M58" i="15"/>
  <c r="L58" i="15"/>
  <c r="K58" i="15"/>
  <c r="J58" i="15"/>
  <c r="I58" i="15"/>
  <c r="H58" i="15"/>
  <c r="G58" i="15"/>
  <c r="F58" i="15"/>
  <c r="E58" i="15"/>
  <c r="D58" i="15"/>
  <c r="C58" i="15"/>
  <c r="AC57" i="15"/>
  <c r="AB57" i="15"/>
  <c r="AA57" i="15"/>
  <c r="Z57" i="15"/>
  <c r="Y57" i="15"/>
  <c r="X57" i="15"/>
  <c r="W57" i="15"/>
  <c r="V57" i="15"/>
  <c r="U57" i="15"/>
  <c r="T57" i="15"/>
  <c r="S57" i="15"/>
  <c r="M57" i="15"/>
  <c r="L57" i="15"/>
  <c r="K57" i="15"/>
  <c r="J57" i="15"/>
  <c r="I57" i="15"/>
  <c r="H57" i="15"/>
  <c r="G57" i="15"/>
  <c r="F57" i="15"/>
  <c r="E57" i="15"/>
  <c r="D57" i="15"/>
  <c r="C57" i="15"/>
  <c r="AC56" i="15"/>
  <c r="AB56" i="15"/>
  <c r="AA56" i="15"/>
  <c r="Z56" i="15"/>
  <c r="Y56" i="15"/>
  <c r="X56" i="15"/>
  <c r="W56" i="15"/>
  <c r="V56" i="15"/>
  <c r="U56" i="15"/>
  <c r="T56" i="15"/>
  <c r="S56" i="15"/>
  <c r="M56" i="15"/>
  <c r="L56" i="15"/>
  <c r="K56" i="15"/>
  <c r="J56" i="15"/>
  <c r="I56" i="15"/>
  <c r="H56" i="15"/>
  <c r="G56" i="15"/>
  <c r="F56" i="15"/>
  <c r="E56" i="15"/>
  <c r="D56" i="15"/>
  <c r="C56" i="15"/>
  <c r="AC55" i="15"/>
  <c r="AB55" i="15"/>
  <c r="AA55" i="15"/>
  <c r="Z55" i="15"/>
  <c r="Y55" i="15"/>
  <c r="X55" i="15"/>
  <c r="W55" i="15"/>
  <c r="V55" i="15"/>
  <c r="U55" i="15"/>
  <c r="T55" i="15"/>
  <c r="S55" i="15"/>
  <c r="M55" i="15"/>
  <c r="L55" i="15"/>
  <c r="K55" i="15"/>
  <c r="J55" i="15"/>
  <c r="I55" i="15"/>
  <c r="H55" i="15"/>
  <c r="G55" i="15"/>
  <c r="F55" i="15"/>
  <c r="E55" i="15"/>
  <c r="D55" i="15"/>
  <c r="C55" i="15"/>
  <c r="AC54" i="15"/>
  <c r="AB54" i="15"/>
  <c r="AA54" i="15"/>
  <c r="Z54" i="15"/>
  <c r="Y54" i="15"/>
  <c r="X54" i="15"/>
  <c r="W54" i="15"/>
  <c r="V54" i="15"/>
  <c r="U54" i="15"/>
  <c r="T54" i="15"/>
  <c r="S54" i="15"/>
  <c r="M54" i="15"/>
  <c r="L54" i="15"/>
  <c r="K54" i="15"/>
  <c r="J54" i="15"/>
  <c r="I54" i="15"/>
  <c r="H54" i="15"/>
  <c r="G54" i="15"/>
  <c r="F54" i="15"/>
  <c r="E54" i="15"/>
  <c r="D54" i="15"/>
  <c r="C54" i="15"/>
  <c r="K5" i="15"/>
  <c r="K18" i="15"/>
  <c r="J5" i="15"/>
  <c r="J18" i="15"/>
  <c r="H5" i="15"/>
  <c r="H18" i="15"/>
  <c r="I18" i="15"/>
  <c r="F5" i="15"/>
  <c r="F18" i="15"/>
  <c r="E5" i="15"/>
  <c r="E18" i="15"/>
  <c r="C5" i="15"/>
  <c r="C18" i="15"/>
  <c r="D18" i="15"/>
  <c r="K17" i="15"/>
  <c r="J17" i="15"/>
  <c r="H17" i="15"/>
  <c r="I17" i="15"/>
  <c r="F17" i="15"/>
  <c r="E17" i="15"/>
  <c r="C17" i="15"/>
  <c r="D17" i="15"/>
  <c r="K16" i="15"/>
  <c r="J16" i="15"/>
  <c r="H16" i="15"/>
  <c r="I16" i="15"/>
  <c r="F16" i="15"/>
  <c r="E16" i="15"/>
  <c r="C16" i="15"/>
  <c r="D16" i="15"/>
  <c r="K15" i="15"/>
  <c r="J15" i="15"/>
  <c r="H15" i="15"/>
  <c r="I15" i="15"/>
  <c r="F15" i="15"/>
  <c r="E15" i="15"/>
  <c r="C15" i="15"/>
  <c r="D15" i="15"/>
  <c r="K14" i="15"/>
  <c r="J14" i="15"/>
  <c r="N379" i="14"/>
  <c r="O379" i="14"/>
  <c r="H14" i="15"/>
  <c r="I14" i="15"/>
  <c r="F14" i="15"/>
  <c r="E14" i="15"/>
  <c r="N379" i="1"/>
  <c r="O379" i="1"/>
  <c r="C14" i="15"/>
  <c r="D14" i="15"/>
  <c r="K13" i="15"/>
  <c r="J13" i="15"/>
  <c r="H13" i="15"/>
  <c r="I13" i="15"/>
  <c r="F13" i="15"/>
  <c r="E13" i="15"/>
  <c r="C13" i="15"/>
  <c r="D13" i="15"/>
  <c r="K12" i="15"/>
  <c r="J12" i="15"/>
  <c r="H12" i="15"/>
  <c r="I12" i="15"/>
  <c r="F12" i="15"/>
  <c r="E12" i="15"/>
  <c r="C12" i="15"/>
  <c r="D12" i="15"/>
  <c r="K11" i="15"/>
  <c r="J11" i="15"/>
  <c r="H11" i="15"/>
  <c r="I11" i="15"/>
  <c r="F11" i="15"/>
  <c r="E11" i="15"/>
  <c r="C11" i="15"/>
  <c r="D11" i="15"/>
  <c r="K10" i="15"/>
  <c r="J10" i="15"/>
  <c r="H10" i="15"/>
  <c r="I10" i="15"/>
  <c r="F10" i="15"/>
  <c r="E10" i="15"/>
  <c r="C10" i="15"/>
  <c r="D10" i="15"/>
  <c r="K9" i="15"/>
  <c r="J9" i="15"/>
  <c r="H9" i="15"/>
  <c r="I9" i="15"/>
  <c r="F9" i="15"/>
  <c r="E9" i="15"/>
  <c r="C9" i="15"/>
  <c r="D9" i="15"/>
  <c r="K8" i="15"/>
  <c r="J8" i="15"/>
  <c r="H8" i="15"/>
  <c r="I8" i="15"/>
  <c r="F8" i="15"/>
  <c r="E8" i="15"/>
  <c r="C8" i="15"/>
  <c r="D8" i="15"/>
  <c r="K7" i="15"/>
  <c r="J7" i="15"/>
  <c r="H7" i="15"/>
  <c r="I7" i="15"/>
  <c r="F7" i="15"/>
  <c r="E7" i="15"/>
  <c r="C7" i="15"/>
  <c r="D7" i="15"/>
  <c r="K2" i="4"/>
  <c r="K3" i="4"/>
  <c r="K4" i="4"/>
  <c r="K5" i="4"/>
  <c r="K6" i="4"/>
  <c r="K7" i="4"/>
  <c r="K8" i="4"/>
  <c r="K9" i="4"/>
  <c r="K10" i="4"/>
  <c r="K11" i="4"/>
  <c r="K12" i="4"/>
  <c r="K13" i="4"/>
  <c r="K14" i="4"/>
  <c r="O31" i="4"/>
  <c r="O30" i="4"/>
  <c r="O29" i="4"/>
  <c r="O28" i="4"/>
  <c r="O27" i="4"/>
  <c r="O26" i="4"/>
  <c r="O25" i="4"/>
  <c r="O24" i="4"/>
  <c r="O23" i="4"/>
  <c r="AM379" i="1"/>
  <c r="AL379" i="1"/>
  <c r="AK379" i="1"/>
  <c r="AJ379" i="1"/>
  <c r="AI379" i="1"/>
  <c r="AH379" i="1"/>
  <c r="W379" i="1"/>
  <c r="V379" i="1"/>
  <c r="U379" i="1"/>
  <c r="T379" i="1"/>
  <c r="S379" i="1"/>
  <c r="R379" i="1"/>
  <c r="Q379" i="1"/>
  <c r="P379" i="1"/>
  <c r="L379" i="1"/>
  <c r="F379" i="1"/>
  <c r="E379" i="1"/>
  <c r="AI360" i="1"/>
  <c r="AH360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AG153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O114" i="1"/>
  <c r="O113" i="1"/>
  <c r="O112" i="1"/>
  <c r="L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AL100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E71" i="1"/>
  <c r="Y71" i="1"/>
  <c r="O71" i="1"/>
  <c r="AE70" i="1"/>
  <c r="Y70" i="1"/>
  <c r="O70" i="1"/>
  <c r="AE69" i="1"/>
  <c r="Y69" i="1"/>
  <c r="O69" i="1"/>
  <c r="AE68" i="1"/>
  <c r="Y68" i="1"/>
  <c r="O68" i="1"/>
  <c r="AD67" i="1"/>
  <c r="AF67" i="1"/>
  <c r="AG67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F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L39" i="1"/>
  <c r="F39" i="1"/>
  <c r="E39" i="1"/>
  <c r="AG38" i="1"/>
  <c r="AE38" i="1"/>
  <c r="Y38" i="1"/>
  <c r="O38" i="1"/>
  <c r="L38" i="1"/>
  <c r="F38" i="1"/>
  <c r="E38" i="1"/>
  <c r="AG37" i="1"/>
  <c r="AE37" i="1"/>
  <c r="Y37" i="1"/>
  <c r="O37" i="1"/>
  <c r="L37" i="1"/>
  <c r="F37" i="1"/>
  <c r="E37" i="1"/>
  <c r="AG36" i="1"/>
  <c r="AE36" i="1"/>
  <c r="Y36" i="1"/>
  <c r="O36" i="1"/>
  <c r="L36" i="1"/>
  <c r="F36" i="1"/>
  <c r="E36" i="1"/>
  <c r="AG35" i="1"/>
  <c r="AE35" i="1"/>
  <c r="Y35" i="1"/>
  <c r="O35" i="1"/>
  <c r="L35" i="1"/>
  <c r="F35" i="1"/>
  <c r="E35" i="1"/>
  <c r="AG34" i="1"/>
  <c r="AE34" i="1"/>
  <c r="Y34" i="1"/>
  <c r="O34" i="1"/>
  <c r="L34" i="1"/>
  <c r="F34" i="1"/>
  <c r="E34" i="1"/>
  <c r="AJ33" i="1"/>
  <c r="AI33" i="1"/>
  <c r="AH33" i="1"/>
  <c r="AG33" i="1"/>
  <c r="AE33" i="1"/>
  <c r="X33" i="1"/>
  <c r="Y33" i="1"/>
  <c r="O33" i="1"/>
  <c r="L33" i="1"/>
  <c r="F33" i="1"/>
  <c r="E33" i="1"/>
  <c r="AJ32" i="1"/>
  <c r="AI32" i="1"/>
  <c r="AH32" i="1"/>
  <c r="AG32" i="1"/>
  <c r="AE32" i="1"/>
  <c r="X32" i="1"/>
  <c r="Y32" i="1"/>
  <c r="O32" i="1"/>
  <c r="L32" i="1"/>
  <c r="F32" i="1"/>
  <c r="E32" i="1"/>
  <c r="AJ31" i="1"/>
  <c r="AI31" i="1"/>
  <c r="AH31" i="1"/>
  <c r="Z31" i="1"/>
  <c r="AD31" i="1"/>
  <c r="AB31" i="1"/>
  <c r="AF31" i="1"/>
  <c r="AG31" i="1"/>
  <c r="AE31" i="1"/>
  <c r="M31" i="1"/>
  <c r="X31" i="1"/>
  <c r="Y31" i="1"/>
  <c r="W31" i="1"/>
  <c r="V31" i="1"/>
  <c r="U31" i="1"/>
  <c r="T31" i="1"/>
  <c r="S31" i="1"/>
  <c r="R31" i="1"/>
  <c r="Q31" i="1"/>
  <c r="P31" i="1"/>
  <c r="N31" i="1"/>
  <c r="O31" i="1"/>
  <c r="L31" i="1"/>
  <c r="F31" i="1"/>
  <c r="E31" i="1"/>
  <c r="AJ30" i="1"/>
  <c r="AI30" i="1"/>
  <c r="AH30" i="1"/>
  <c r="Z30" i="1"/>
  <c r="AD30" i="1"/>
  <c r="AB30" i="1"/>
  <c r="AF30" i="1"/>
  <c r="AG30" i="1"/>
  <c r="AE30" i="1"/>
  <c r="M30" i="1"/>
  <c r="X30" i="1"/>
  <c r="Y30" i="1"/>
  <c r="W30" i="1"/>
  <c r="V30" i="1"/>
  <c r="U30" i="1"/>
  <c r="T30" i="1"/>
  <c r="S30" i="1"/>
  <c r="R30" i="1"/>
  <c r="Q30" i="1"/>
  <c r="P30" i="1"/>
  <c r="N30" i="1"/>
  <c r="O30" i="1"/>
  <c r="L30" i="1"/>
  <c r="F30" i="1"/>
  <c r="E30" i="1"/>
  <c r="AJ29" i="1"/>
  <c r="AI29" i="1"/>
  <c r="AH29" i="1"/>
  <c r="Z29" i="1"/>
  <c r="AD29" i="1"/>
  <c r="AB29" i="1"/>
  <c r="AF29" i="1"/>
  <c r="AG29" i="1"/>
  <c r="AE29" i="1"/>
  <c r="M29" i="1"/>
  <c r="X29" i="1"/>
  <c r="Y29" i="1"/>
  <c r="W29" i="1"/>
  <c r="V29" i="1"/>
  <c r="U29" i="1"/>
  <c r="T29" i="1"/>
  <c r="S29" i="1"/>
  <c r="R29" i="1"/>
  <c r="Q29" i="1"/>
  <c r="P29" i="1"/>
  <c r="N29" i="1"/>
  <c r="O29" i="1"/>
  <c r="L29" i="1"/>
  <c r="F29" i="1"/>
  <c r="E29" i="1"/>
  <c r="AJ28" i="1"/>
  <c r="AI28" i="1"/>
  <c r="AH28" i="1"/>
  <c r="Z28" i="1"/>
  <c r="AD28" i="1"/>
  <c r="AB28" i="1"/>
  <c r="AF28" i="1"/>
  <c r="AG28" i="1"/>
  <c r="AE28" i="1"/>
  <c r="M28" i="1"/>
  <c r="X28" i="1"/>
  <c r="Y28" i="1"/>
  <c r="W28" i="1"/>
  <c r="V28" i="1"/>
  <c r="U28" i="1"/>
  <c r="T28" i="1"/>
  <c r="S28" i="1"/>
  <c r="R28" i="1"/>
  <c r="Q28" i="1"/>
  <c r="P28" i="1"/>
  <c r="N28" i="1"/>
  <c r="O28" i="1"/>
  <c r="L28" i="1"/>
  <c r="F28" i="1"/>
  <c r="E28" i="1"/>
  <c r="AJ27" i="1"/>
  <c r="AI27" i="1"/>
  <c r="AH27" i="1"/>
  <c r="Z27" i="1"/>
  <c r="AD27" i="1"/>
  <c r="AB27" i="1"/>
  <c r="AF27" i="1"/>
  <c r="AG27" i="1"/>
  <c r="AE27" i="1"/>
  <c r="M27" i="1"/>
  <c r="X27" i="1"/>
  <c r="Y27" i="1"/>
  <c r="W27" i="1"/>
  <c r="V27" i="1"/>
  <c r="U27" i="1"/>
  <c r="T27" i="1"/>
  <c r="S27" i="1"/>
  <c r="R27" i="1"/>
  <c r="Q27" i="1"/>
  <c r="P27" i="1"/>
  <c r="N27" i="1"/>
  <c r="O27" i="1"/>
  <c r="L27" i="1"/>
  <c r="F27" i="1"/>
  <c r="E27" i="1"/>
  <c r="AJ26" i="1"/>
  <c r="AI26" i="1"/>
  <c r="AH26" i="1"/>
  <c r="Z26" i="1"/>
  <c r="AD26" i="1"/>
  <c r="AF26" i="1"/>
  <c r="AG26" i="1"/>
  <c r="AE26" i="1"/>
  <c r="M26" i="1"/>
  <c r="X26" i="1"/>
  <c r="Y26" i="1"/>
  <c r="N26" i="1"/>
  <c r="O26" i="1"/>
  <c r="L26" i="1"/>
  <c r="F26" i="1"/>
  <c r="E26" i="1"/>
  <c r="AJ25" i="1"/>
  <c r="AI25" i="1"/>
  <c r="AH25" i="1"/>
  <c r="Z25" i="1"/>
  <c r="AD25" i="1"/>
  <c r="AF25" i="1"/>
  <c r="AG25" i="1"/>
  <c r="AE25" i="1"/>
  <c r="M25" i="1"/>
  <c r="X25" i="1"/>
  <c r="Y25" i="1"/>
  <c r="N25" i="1"/>
  <c r="O25" i="1"/>
  <c r="L25" i="1"/>
  <c r="F25" i="1"/>
  <c r="E25" i="1"/>
  <c r="AJ24" i="1"/>
  <c r="AI24" i="1"/>
  <c r="AH24" i="1"/>
  <c r="Z24" i="1"/>
  <c r="AD24" i="1"/>
  <c r="AF24" i="1"/>
  <c r="AG24" i="1"/>
  <c r="AE24" i="1"/>
  <c r="M24" i="1"/>
  <c r="X24" i="1"/>
  <c r="Y24" i="1"/>
  <c r="N24" i="1"/>
  <c r="O24" i="1"/>
  <c r="L24" i="1"/>
  <c r="F24" i="1"/>
  <c r="E24" i="1"/>
  <c r="AJ23" i="1"/>
  <c r="AI23" i="1"/>
  <c r="AH23" i="1"/>
  <c r="AD23" i="1"/>
  <c r="AF23" i="1"/>
  <c r="AG23" i="1"/>
  <c r="AE23" i="1"/>
  <c r="M23" i="1"/>
  <c r="X23" i="1"/>
  <c r="Y23" i="1"/>
  <c r="W23" i="1"/>
  <c r="V23" i="1"/>
  <c r="U23" i="1"/>
  <c r="T23" i="1"/>
  <c r="S23" i="1"/>
  <c r="R23" i="1"/>
  <c r="Q23" i="1"/>
  <c r="P23" i="1"/>
  <c r="N23" i="1"/>
  <c r="O23" i="1"/>
  <c r="L23" i="1"/>
  <c r="F23" i="1"/>
  <c r="E23" i="1"/>
  <c r="AJ22" i="1"/>
  <c r="AI22" i="1"/>
  <c r="AH22" i="1"/>
  <c r="Z22" i="1"/>
  <c r="AD22" i="1"/>
  <c r="AF22" i="1"/>
  <c r="AG22" i="1"/>
  <c r="AE22" i="1"/>
  <c r="M22" i="1"/>
  <c r="X22" i="1"/>
  <c r="Y22" i="1"/>
  <c r="W22" i="1"/>
  <c r="V22" i="1"/>
  <c r="U22" i="1"/>
  <c r="T22" i="1"/>
  <c r="S22" i="1"/>
  <c r="R22" i="1"/>
  <c r="Q22" i="1"/>
  <c r="P22" i="1"/>
  <c r="N22" i="1"/>
  <c r="O22" i="1"/>
  <c r="L22" i="1"/>
  <c r="F22" i="1"/>
  <c r="E22" i="1"/>
  <c r="AJ21" i="1"/>
  <c r="AI21" i="1"/>
  <c r="AH21" i="1"/>
  <c r="Z21" i="1"/>
  <c r="AD21" i="1"/>
  <c r="AF21" i="1"/>
  <c r="AG21" i="1"/>
  <c r="AE21" i="1"/>
  <c r="M21" i="1"/>
  <c r="X21" i="1"/>
  <c r="Y21" i="1"/>
  <c r="W21" i="1"/>
  <c r="V21" i="1"/>
  <c r="U21" i="1"/>
  <c r="T21" i="1"/>
  <c r="S21" i="1"/>
  <c r="R21" i="1"/>
  <c r="Q21" i="1"/>
  <c r="P21" i="1"/>
  <c r="N21" i="1"/>
  <c r="O21" i="1"/>
  <c r="L21" i="1"/>
  <c r="F21" i="1"/>
  <c r="E21" i="1"/>
  <c r="AJ20" i="1"/>
  <c r="AI20" i="1"/>
  <c r="AH20" i="1"/>
  <c r="Z20" i="1"/>
  <c r="AD20" i="1"/>
  <c r="AF20" i="1"/>
  <c r="AG20" i="1"/>
  <c r="AE20" i="1"/>
  <c r="M20" i="1"/>
  <c r="X20" i="1"/>
  <c r="Y20" i="1"/>
  <c r="W20" i="1"/>
  <c r="V20" i="1"/>
  <c r="U20" i="1"/>
  <c r="T20" i="1"/>
  <c r="S20" i="1"/>
  <c r="R20" i="1"/>
  <c r="Q20" i="1"/>
  <c r="P20" i="1"/>
  <c r="N20" i="1"/>
  <c r="O20" i="1"/>
  <c r="L20" i="1"/>
  <c r="F20" i="1"/>
  <c r="E20" i="1"/>
  <c r="AJ19" i="1"/>
  <c r="AI19" i="1"/>
  <c r="AH19" i="1"/>
  <c r="AD19" i="1"/>
  <c r="AF19" i="1"/>
  <c r="AG19" i="1"/>
  <c r="AE19" i="1"/>
  <c r="M19" i="1"/>
  <c r="X19" i="1"/>
  <c r="Y19" i="1"/>
  <c r="W19" i="1"/>
  <c r="V19" i="1"/>
  <c r="U19" i="1"/>
  <c r="T19" i="1"/>
  <c r="S19" i="1"/>
  <c r="R19" i="1"/>
  <c r="Q19" i="1"/>
  <c r="P19" i="1"/>
  <c r="N19" i="1"/>
  <c r="O19" i="1"/>
  <c r="L19" i="1"/>
  <c r="F19" i="1"/>
  <c r="E19" i="1"/>
  <c r="AJ18" i="1"/>
  <c r="AI18" i="1"/>
  <c r="AH18" i="1"/>
  <c r="AD18" i="1"/>
  <c r="AF18" i="1"/>
  <c r="AG18" i="1"/>
  <c r="AE18" i="1"/>
  <c r="M18" i="1"/>
  <c r="X18" i="1"/>
  <c r="Y18" i="1"/>
  <c r="W18" i="1"/>
  <c r="V18" i="1"/>
  <c r="U18" i="1"/>
  <c r="T18" i="1"/>
  <c r="S18" i="1"/>
  <c r="R18" i="1"/>
  <c r="Q18" i="1"/>
  <c r="P18" i="1"/>
  <c r="N18" i="1"/>
  <c r="O18" i="1"/>
  <c r="L18" i="1"/>
  <c r="F18" i="1"/>
  <c r="E18" i="1"/>
  <c r="AJ17" i="1"/>
  <c r="AI17" i="1"/>
  <c r="AH17" i="1"/>
  <c r="AD17" i="1"/>
  <c r="AF17" i="1"/>
  <c r="AG17" i="1"/>
  <c r="AE17" i="1"/>
  <c r="M17" i="1"/>
  <c r="X17" i="1"/>
  <c r="Y17" i="1"/>
  <c r="W17" i="1"/>
  <c r="V17" i="1"/>
  <c r="U17" i="1"/>
  <c r="T17" i="1"/>
  <c r="S17" i="1"/>
  <c r="R17" i="1"/>
  <c r="Q17" i="1"/>
  <c r="P17" i="1"/>
  <c r="N17" i="1"/>
  <c r="O17" i="1"/>
  <c r="L17" i="1"/>
  <c r="F17" i="1"/>
  <c r="E17" i="1"/>
  <c r="AJ16" i="1"/>
  <c r="AI16" i="1"/>
  <c r="AH16" i="1"/>
  <c r="AD16" i="1"/>
  <c r="AF16" i="1"/>
  <c r="AG16" i="1"/>
  <c r="AE16" i="1"/>
  <c r="M16" i="1"/>
  <c r="X16" i="1"/>
  <c r="Y16" i="1"/>
  <c r="W16" i="1"/>
  <c r="V16" i="1"/>
  <c r="U16" i="1"/>
  <c r="T16" i="1"/>
  <c r="S16" i="1"/>
  <c r="R16" i="1"/>
  <c r="Q16" i="1"/>
  <c r="P16" i="1"/>
  <c r="N16" i="1"/>
  <c r="O16" i="1"/>
  <c r="L16" i="1"/>
  <c r="F16" i="1"/>
  <c r="E16" i="1"/>
  <c r="AJ15" i="1"/>
  <c r="AI15" i="1"/>
  <c r="AH15" i="1"/>
  <c r="AD15" i="1"/>
  <c r="AF15" i="1"/>
  <c r="AG15" i="1"/>
  <c r="AE15" i="1"/>
  <c r="M15" i="1"/>
  <c r="X15" i="1"/>
  <c r="Y15" i="1"/>
  <c r="W15" i="1"/>
  <c r="V15" i="1"/>
  <c r="U15" i="1"/>
  <c r="T15" i="1"/>
  <c r="S15" i="1"/>
  <c r="R15" i="1"/>
  <c r="Q15" i="1"/>
  <c r="P15" i="1"/>
  <c r="N15" i="1"/>
  <c r="O15" i="1"/>
  <c r="L15" i="1"/>
  <c r="F15" i="1"/>
  <c r="E15" i="1"/>
  <c r="AJ14" i="1"/>
  <c r="AI14" i="1"/>
  <c r="AH14" i="1"/>
  <c r="AD14" i="1"/>
  <c r="AF14" i="1"/>
  <c r="AG14" i="1"/>
  <c r="AE14" i="1"/>
  <c r="X14" i="1"/>
  <c r="Y14" i="1"/>
  <c r="O14" i="1"/>
  <c r="E14" i="1"/>
  <c r="AJ13" i="1"/>
  <c r="AI13" i="1"/>
  <c r="AH13" i="1"/>
  <c r="AD13" i="1"/>
  <c r="AF13" i="1"/>
  <c r="AG13" i="1"/>
  <c r="AE13" i="1"/>
  <c r="Y13" i="1"/>
  <c r="O13" i="1"/>
  <c r="E13" i="1"/>
  <c r="AJ12" i="1"/>
  <c r="AI12" i="1"/>
  <c r="AH12" i="1"/>
  <c r="AD12" i="1"/>
  <c r="AF12" i="1"/>
  <c r="AG12" i="1"/>
  <c r="AE12" i="1"/>
  <c r="Y12" i="1"/>
  <c r="O12" i="1"/>
  <c r="E12" i="1"/>
  <c r="AJ11" i="1"/>
  <c r="AI11" i="1"/>
  <c r="AH11" i="1"/>
  <c r="AD11" i="1"/>
  <c r="AF11" i="1"/>
  <c r="AG11" i="1"/>
  <c r="AE11" i="1"/>
  <c r="Y11" i="1"/>
  <c r="O11" i="1"/>
  <c r="E11" i="1"/>
  <c r="AJ10" i="1"/>
  <c r="AI10" i="1"/>
  <c r="AH10" i="1"/>
  <c r="AD10" i="1"/>
  <c r="AF10" i="1"/>
  <c r="AG10" i="1"/>
  <c r="AE10" i="1"/>
  <c r="Y10" i="1"/>
  <c r="O10" i="1"/>
  <c r="E10" i="1"/>
  <c r="AJ9" i="1"/>
  <c r="AI9" i="1"/>
  <c r="AH9" i="1"/>
  <c r="AD9" i="1"/>
  <c r="AF9" i="1"/>
  <c r="AG9" i="1"/>
  <c r="AE9" i="1"/>
  <c r="Y9" i="1"/>
  <c r="O9" i="1"/>
  <c r="E9" i="1"/>
  <c r="AJ8" i="1"/>
  <c r="AI8" i="1"/>
  <c r="AH8" i="1"/>
  <c r="AD8" i="1"/>
  <c r="AF8" i="1"/>
  <c r="AG8" i="1"/>
  <c r="AE8" i="1"/>
  <c r="Y8" i="1"/>
  <c r="O8" i="1"/>
  <c r="E8" i="1"/>
  <c r="AJ7" i="1"/>
  <c r="AI7" i="1"/>
  <c r="AH7" i="1"/>
  <c r="AD7" i="1"/>
  <c r="AF7" i="1"/>
  <c r="AG7" i="1"/>
  <c r="AE7" i="1"/>
  <c r="Y7" i="1"/>
  <c r="O7" i="1"/>
  <c r="E7" i="1"/>
  <c r="AJ6" i="1"/>
  <c r="AI6" i="1"/>
  <c r="AH6" i="1"/>
  <c r="AD6" i="1"/>
  <c r="AF6" i="1"/>
  <c r="AG6" i="1"/>
  <c r="AE6" i="1"/>
  <c r="Y6" i="1"/>
  <c r="O6" i="1"/>
  <c r="E6" i="1"/>
  <c r="AJ5" i="1"/>
  <c r="AI5" i="1"/>
  <c r="AH5" i="1"/>
  <c r="AD5" i="1"/>
  <c r="AF5" i="1"/>
  <c r="AG5" i="1"/>
  <c r="AE5" i="1"/>
  <c r="Y5" i="1"/>
  <c r="O5" i="1"/>
  <c r="E5" i="1"/>
  <c r="AJ4" i="1"/>
  <c r="AI4" i="1"/>
  <c r="AH4" i="1"/>
  <c r="AD4" i="1"/>
  <c r="AF4" i="1"/>
  <c r="AG4" i="1"/>
  <c r="AE4" i="1"/>
  <c r="Y4" i="1"/>
  <c r="O4" i="1"/>
  <c r="E4" i="1"/>
  <c r="AJ3" i="1"/>
  <c r="AI3" i="1"/>
  <c r="AH3" i="1"/>
  <c r="AD3" i="1"/>
  <c r="AF3" i="1"/>
  <c r="AG3" i="1"/>
  <c r="AE3" i="1"/>
  <c r="Y3" i="1"/>
  <c r="O3" i="1"/>
  <c r="E3" i="1"/>
  <c r="AM379" i="14"/>
  <c r="AL379" i="14"/>
  <c r="AK379" i="14"/>
  <c r="AJ379" i="14"/>
  <c r="AI379" i="14"/>
  <c r="W379" i="14"/>
  <c r="V379" i="14"/>
  <c r="U379" i="14"/>
  <c r="T379" i="14"/>
  <c r="S379" i="14"/>
  <c r="R379" i="14"/>
  <c r="Q379" i="14"/>
  <c r="P379" i="14"/>
  <c r="L379" i="14"/>
  <c r="F379" i="14"/>
  <c r="E379" i="14"/>
  <c r="AI351" i="14"/>
  <c r="AH351" i="14"/>
  <c r="AJ270" i="14"/>
  <c r="AJ269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AD123" i="14"/>
  <c r="AF123" i="14"/>
  <c r="AG123" i="14"/>
  <c r="AE123" i="14"/>
  <c r="O123" i="14"/>
  <c r="AD122" i="14"/>
  <c r="AF122" i="14"/>
  <c r="AG122" i="14"/>
  <c r="AE122" i="14"/>
  <c r="O122" i="14"/>
  <c r="AD121" i="14"/>
  <c r="AF121" i="14"/>
  <c r="AG121" i="14"/>
  <c r="AE121" i="14"/>
  <c r="O121" i="14"/>
  <c r="AD120" i="14"/>
  <c r="AF120" i="14"/>
  <c r="AG120" i="14"/>
  <c r="AE120" i="14"/>
  <c r="O120" i="14"/>
  <c r="AD119" i="14"/>
  <c r="AF119" i="14"/>
  <c r="AG119" i="14"/>
  <c r="AE119" i="14"/>
  <c r="O119" i="14"/>
  <c r="AD118" i="14"/>
  <c r="AF118" i="14"/>
  <c r="AG118" i="14"/>
  <c r="AE118" i="14"/>
  <c r="O118" i="14"/>
  <c r="AD117" i="14"/>
  <c r="AF117" i="14"/>
  <c r="AG117" i="14"/>
  <c r="AE117" i="14"/>
  <c r="O117" i="14"/>
  <c r="AD116" i="14"/>
  <c r="AF116" i="14"/>
  <c r="AG116" i="14"/>
  <c r="AE116" i="14"/>
  <c r="O116" i="14"/>
  <c r="AD115" i="14"/>
  <c r="AF115" i="14"/>
  <c r="AG115" i="14"/>
  <c r="AE115" i="14"/>
  <c r="O115" i="14"/>
  <c r="AF114" i="14"/>
  <c r="AG114" i="14"/>
  <c r="AE114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Y102" i="14"/>
  <c r="O102" i="14"/>
  <c r="Y101" i="14"/>
  <c r="O101" i="14"/>
  <c r="Y100" i="14"/>
  <c r="O100" i="14"/>
  <c r="Y99" i="14"/>
  <c r="O99" i="14"/>
  <c r="Y98" i="14"/>
  <c r="O98" i="14"/>
  <c r="AE97" i="14"/>
  <c r="Y97" i="14"/>
  <c r="O97" i="14"/>
  <c r="AE96" i="14"/>
  <c r="Y96" i="14"/>
  <c r="O96" i="14"/>
  <c r="AE95" i="14"/>
  <c r="Y95" i="14"/>
  <c r="O95" i="14"/>
  <c r="AE94" i="14"/>
  <c r="Y94" i="14"/>
  <c r="O94" i="14"/>
  <c r="AE93" i="14"/>
  <c r="Y93" i="14"/>
  <c r="O93" i="14"/>
  <c r="AE92" i="14"/>
  <c r="Y92" i="14"/>
  <c r="O92" i="14"/>
  <c r="AE91" i="14"/>
  <c r="Y91" i="14"/>
  <c r="O91" i="14"/>
  <c r="AE90" i="14"/>
  <c r="Y90" i="14"/>
  <c r="O90" i="14"/>
  <c r="AE89" i="14"/>
  <c r="Y89" i="14"/>
  <c r="O89" i="14"/>
  <c r="AD88" i="14"/>
  <c r="AF88" i="14"/>
  <c r="AG88" i="14"/>
  <c r="AE88" i="14"/>
  <c r="Y88" i="14"/>
  <c r="O88" i="14"/>
  <c r="F88" i="14"/>
  <c r="E88" i="14"/>
  <c r="AD87" i="14"/>
  <c r="AF87" i="14"/>
  <c r="AG87" i="14"/>
  <c r="AE87" i="14"/>
  <c r="Y87" i="14"/>
  <c r="O87" i="14"/>
  <c r="F87" i="14"/>
  <c r="E87" i="14"/>
  <c r="AD86" i="14"/>
  <c r="AF86" i="14"/>
  <c r="AG86" i="14"/>
  <c r="AE86" i="14"/>
  <c r="Y86" i="14"/>
  <c r="O86" i="14"/>
  <c r="F86" i="14"/>
  <c r="E86" i="14"/>
  <c r="AD85" i="14"/>
  <c r="AF85" i="14"/>
  <c r="AG85" i="14"/>
  <c r="AE85" i="14"/>
  <c r="Y85" i="14"/>
  <c r="O85" i="14"/>
  <c r="F85" i="14"/>
  <c r="E85" i="14"/>
  <c r="AD84" i="14"/>
  <c r="AF84" i="14"/>
  <c r="AG84" i="14"/>
  <c r="AE84" i="14"/>
  <c r="Y84" i="14"/>
  <c r="O84" i="14"/>
  <c r="F84" i="14"/>
  <c r="E84" i="14"/>
  <c r="AD83" i="14"/>
  <c r="AF83" i="14"/>
  <c r="AG83" i="14"/>
  <c r="AE83" i="14"/>
  <c r="Y83" i="14"/>
  <c r="O83" i="14"/>
  <c r="F83" i="14"/>
  <c r="E83" i="14"/>
  <c r="AD82" i="14"/>
  <c r="AF82" i="14"/>
  <c r="AG82" i="14"/>
  <c r="AE82" i="14"/>
  <c r="Y82" i="14"/>
  <c r="O82" i="14"/>
  <c r="F82" i="14"/>
  <c r="E82" i="14"/>
  <c r="AD81" i="14"/>
  <c r="AF81" i="14"/>
  <c r="AG81" i="14"/>
  <c r="AE81" i="14"/>
  <c r="Y81" i="14"/>
  <c r="O81" i="14"/>
  <c r="F81" i="14"/>
  <c r="E81" i="14"/>
  <c r="AE80" i="14"/>
  <c r="Y80" i="14"/>
  <c r="O80" i="14"/>
  <c r="AE79" i="14"/>
  <c r="Y79" i="14"/>
  <c r="O79" i="14"/>
  <c r="AE78" i="14"/>
  <c r="Y78" i="14"/>
  <c r="O78" i="14"/>
  <c r="AE77" i="14"/>
  <c r="Y77" i="14"/>
  <c r="O77" i="14"/>
  <c r="AE76" i="14"/>
  <c r="Y76" i="14"/>
  <c r="O76" i="14"/>
  <c r="AE75" i="14"/>
  <c r="Y75" i="14"/>
  <c r="O75" i="14"/>
  <c r="AE74" i="14"/>
  <c r="Y74" i="14"/>
  <c r="O74" i="14"/>
  <c r="AE73" i="14"/>
  <c r="Y73" i="14"/>
  <c r="O73" i="14"/>
  <c r="AE72" i="14"/>
  <c r="Y72" i="14"/>
  <c r="O72" i="14"/>
  <c r="AD71" i="14"/>
  <c r="AF71" i="14"/>
  <c r="AG71" i="14"/>
  <c r="AE71" i="14"/>
  <c r="Y71" i="14"/>
  <c r="O71" i="14"/>
  <c r="AE70" i="14"/>
  <c r="Y70" i="14"/>
  <c r="O70" i="14"/>
  <c r="AE69" i="14"/>
  <c r="Y69" i="14"/>
  <c r="O69" i="14"/>
  <c r="AE68" i="14"/>
  <c r="Y68" i="14"/>
  <c r="O68" i="14"/>
  <c r="AE67" i="14"/>
  <c r="Y67" i="14"/>
  <c r="O67" i="14"/>
  <c r="AE66" i="14"/>
  <c r="Y66" i="14"/>
  <c r="O66" i="14"/>
  <c r="AE65" i="14"/>
  <c r="Y65" i="14"/>
  <c r="O65" i="14"/>
  <c r="AE64" i="14"/>
  <c r="Y64" i="14"/>
  <c r="O64" i="14"/>
  <c r="AE63" i="14"/>
  <c r="Y63" i="14"/>
  <c r="O63" i="14"/>
  <c r="AE62" i="14"/>
  <c r="Y62" i="14"/>
  <c r="O62" i="14"/>
  <c r="AE61" i="14"/>
  <c r="Y61" i="14"/>
  <c r="O61" i="14"/>
  <c r="AE60" i="14"/>
  <c r="Y60" i="14"/>
  <c r="O60" i="14"/>
  <c r="AE59" i="14"/>
  <c r="Y59" i="14"/>
  <c r="O59" i="14"/>
  <c r="AE58" i="14"/>
  <c r="Y58" i="14"/>
  <c r="O58" i="14"/>
  <c r="AE57" i="14"/>
  <c r="Y57" i="14"/>
  <c r="O57" i="14"/>
  <c r="AE56" i="14"/>
  <c r="Y56" i="14"/>
  <c r="O56" i="14"/>
  <c r="AE55" i="14"/>
  <c r="Y55" i="14"/>
  <c r="O55" i="14"/>
  <c r="AE54" i="14"/>
  <c r="Y54" i="14"/>
  <c r="O54" i="14"/>
  <c r="AE53" i="14"/>
  <c r="Y53" i="14"/>
  <c r="O53" i="14"/>
  <c r="AE52" i="14"/>
  <c r="Y52" i="14"/>
  <c r="O52" i="14"/>
  <c r="AE51" i="14"/>
  <c r="Y51" i="14"/>
  <c r="O51" i="14"/>
  <c r="AE50" i="14"/>
  <c r="Y50" i="14"/>
  <c r="O50" i="14"/>
  <c r="AE49" i="14"/>
  <c r="Y49" i="14"/>
  <c r="O49" i="14"/>
  <c r="AE48" i="14"/>
  <c r="Y48" i="14"/>
  <c r="O48" i="14"/>
  <c r="AE47" i="14"/>
  <c r="Y47" i="14"/>
  <c r="O47" i="14"/>
  <c r="AE46" i="14"/>
  <c r="Y46" i="14"/>
  <c r="O46" i="14"/>
  <c r="AE45" i="14"/>
  <c r="Y45" i="14"/>
  <c r="O45" i="14"/>
  <c r="F45" i="14"/>
  <c r="AE44" i="14"/>
  <c r="Y44" i="14"/>
  <c r="O44" i="14"/>
  <c r="F44" i="14"/>
  <c r="AG43" i="14"/>
  <c r="AE43" i="14"/>
  <c r="Y43" i="14"/>
  <c r="O43" i="14"/>
  <c r="AG42" i="14"/>
  <c r="AE42" i="14"/>
  <c r="Y42" i="14"/>
  <c r="O42" i="14"/>
  <c r="AG41" i="14"/>
  <c r="AE41" i="14"/>
  <c r="Y41" i="14"/>
  <c r="O41" i="14"/>
  <c r="AG40" i="14"/>
  <c r="AE40" i="14"/>
  <c r="Y40" i="14"/>
  <c r="O40" i="14"/>
  <c r="AJ39" i="14"/>
  <c r="AI39" i="14"/>
  <c r="AH39" i="14"/>
  <c r="Z39" i="14"/>
  <c r="AD39" i="14"/>
  <c r="AB39" i="14"/>
  <c r="AF39" i="14"/>
  <c r="AG39" i="14"/>
  <c r="AE39" i="14"/>
  <c r="Y39" i="14"/>
  <c r="O39" i="14"/>
  <c r="F39" i="14"/>
  <c r="E39" i="14"/>
  <c r="AD38" i="14"/>
  <c r="AF38" i="14"/>
  <c r="AG38" i="14"/>
  <c r="AE38" i="14"/>
  <c r="Y38" i="14"/>
  <c r="O38" i="14"/>
  <c r="F38" i="14"/>
  <c r="E38" i="14"/>
  <c r="AD37" i="14"/>
  <c r="AF37" i="14"/>
  <c r="AG37" i="14"/>
  <c r="AE37" i="14"/>
  <c r="Y37" i="14"/>
  <c r="O37" i="14"/>
  <c r="F37" i="14"/>
  <c r="E37" i="14"/>
  <c r="AD36" i="14"/>
  <c r="AF36" i="14"/>
  <c r="AG36" i="14"/>
  <c r="AE36" i="14"/>
  <c r="Y36" i="14"/>
  <c r="O36" i="14"/>
  <c r="F36" i="14"/>
  <c r="E36" i="14"/>
  <c r="AD35" i="14"/>
  <c r="AF35" i="14"/>
  <c r="AG35" i="14"/>
  <c r="AE35" i="14"/>
  <c r="Y35" i="14"/>
  <c r="O35" i="14"/>
  <c r="F35" i="14"/>
  <c r="E35" i="14"/>
  <c r="AD34" i="14"/>
  <c r="AF34" i="14"/>
  <c r="AG34" i="14"/>
  <c r="AE34" i="14"/>
  <c r="Y34" i="14"/>
  <c r="O34" i="14"/>
  <c r="F34" i="14"/>
  <c r="E34" i="14"/>
  <c r="AD33" i="14"/>
  <c r="AF33" i="14"/>
  <c r="AG33" i="14"/>
  <c r="AE33" i="14"/>
  <c r="Y33" i="14"/>
  <c r="O33" i="14"/>
  <c r="F33" i="14"/>
  <c r="E33" i="14"/>
  <c r="AD32" i="14"/>
  <c r="AF32" i="14"/>
  <c r="AG32" i="14"/>
  <c r="AE32" i="14"/>
  <c r="Y32" i="14"/>
  <c r="O32" i="14"/>
  <c r="F32" i="14"/>
  <c r="E32" i="14"/>
  <c r="AJ31" i="14"/>
  <c r="AI31" i="14"/>
  <c r="AH31" i="14"/>
  <c r="Z31" i="14"/>
  <c r="AD31" i="14"/>
  <c r="AB31" i="14"/>
  <c r="AF31" i="14"/>
  <c r="AG31" i="14"/>
  <c r="AE31" i="14"/>
  <c r="X31" i="14"/>
  <c r="M31" i="14"/>
  <c r="Y31" i="14"/>
  <c r="W31" i="14"/>
  <c r="V31" i="14"/>
  <c r="U31" i="14"/>
  <c r="T31" i="14"/>
  <c r="S31" i="14"/>
  <c r="R31" i="14"/>
  <c r="Q31" i="14"/>
  <c r="P31" i="14"/>
  <c r="N31" i="14"/>
  <c r="O31" i="14"/>
  <c r="L31" i="14"/>
  <c r="E31" i="14"/>
  <c r="F31" i="14"/>
  <c r="AJ30" i="14"/>
  <c r="AI30" i="14"/>
  <c r="AH30" i="14"/>
  <c r="Z30" i="14"/>
  <c r="AD30" i="14"/>
  <c r="AB30" i="14"/>
  <c r="AF30" i="14"/>
  <c r="AG30" i="14"/>
  <c r="AE30" i="14"/>
  <c r="X30" i="14"/>
  <c r="M30" i="14"/>
  <c r="Y30" i="14"/>
  <c r="W30" i="14"/>
  <c r="V30" i="14"/>
  <c r="U30" i="14"/>
  <c r="T30" i="14"/>
  <c r="S30" i="14"/>
  <c r="R30" i="14"/>
  <c r="Q30" i="14"/>
  <c r="P30" i="14"/>
  <c r="N30" i="14"/>
  <c r="O30" i="14"/>
  <c r="L30" i="14"/>
  <c r="E30" i="14"/>
  <c r="F30" i="14"/>
  <c r="AJ29" i="14"/>
  <c r="AI29" i="14"/>
  <c r="AH29" i="14"/>
  <c r="Z29" i="14"/>
  <c r="AD29" i="14"/>
  <c r="AB29" i="14"/>
  <c r="AF29" i="14"/>
  <c r="AG29" i="14"/>
  <c r="AE29" i="14"/>
  <c r="X29" i="14"/>
  <c r="M29" i="14"/>
  <c r="Y29" i="14"/>
  <c r="W29" i="14"/>
  <c r="V29" i="14"/>
  <c r="U29" i="14"/>
  <c r="T29" i="14"/>
  <c r="S29" i="14"/>
  <c r="R29" i="14"/>
  <c r="Q29" i="14"/>
  <c r="P29" i="14"/>
  <c r="N29" i="14"/>
  <c r="O29" i="14"/>
  <c r="L29" i="14"/>
  <c r="E29" i="14"/>
  <c r="F29" i="14"/>
  <c r="AJ28" i="14"/>
  <c r="AI28" i="14"/>
  <c r="AH28" i="14"/>
  <c r="Z28" i="14"/>
  <c r="AD28" i="14"/>
  <c r="AB28" i="14"/>
  <c r="AF28" i="14"/>
  <c r="AG28" i="14"/>
  <c r="AE28" i="14"/>
  <c r="X28" i="14"/>
  <c r="M28" i="14"/>
  <c r="Y28" i="14"/>
  <c r="W28" i="14"/>
  <c r="V28" i="14"/>
  <c r="U28" i="14"/>
  <c r="T28" i="14"/>
  <c r="S28" i="14"/>
  <c r="R28" i="14"/>
  <c r="Q28" i="14"/>
  <c r="P28" i="14"/>
  <c r="N28" i="14"/>
  <c r="O28" i="14"/>
  <c r="L28" i="14"/>
  <c r="E28" i="14"/>
  <c r="F28" i="14"/>
  <c r="AJ27" i="14"/>
  <c r="AI27" i="14"/>
  <c r="AH27" i="14"/>
  <c r="Z27" i="14"/>
  <c r="AD27" i="14"/>
  <c r="AB27" i="14"/>
  <c r="AF27" i="14"/>
  <c r="AG27" i="14"/>
  <c r="AE27" i="14"/>
  <c r="X27" i="14"/>
  <c r="M27" i="14"/>
  <c r="Y27" i="14"/>
  <c r="N27" i="14"/>
  <c r="O27" i="14"/>
  <c r="L27" i="14"/>
  <c r="E27" i="14"/>
  <c r="F27" i="14"/>
  <c r="AJ26" i="14"/>
  <c r="AI26" i="14"/>
  <c r="AH26" i="14"/>
  <c r="Z26" i="14"/>
  <c r="AD26" i="14"/>
  <c r="AF26" i="14"/>
  <c r="AG26" i="14"/>
  <c r="AE26" i="14"/>
  <c r="X26" i="14"/>
  <c r="M26" i="14"/>
  <c r="Y26" i="14"/>
  <c r="W26" i="14"/>
  <c r="V26" i="14"/>
  <c r="U26" i="14"/>
  <c r="T26" i="14"/>
  <c r="S26" i="14"/>
  <c r="R26" i="14"/>
  <c r="Q26" i="14"/>
  <c r="P26" i="14"/>
  <c r="N26" i="14"/>
  <c r="O26" i="14"/>
  <c r="L26" i="14"/>
  <c r="E26" i="14"/>
  <c r="F26" i="14"/>
  <c r="AJ25" i="14"/>
  <c r="AI25" i="14"/>
  <c r="AH25" i="14"/>
  <c r="Z25" i="14"/>
  <c r="AD25" i="14"/>
  <c r="AF25" i="14"/>
  <c r="AG25" i="14"/>
  <c r="AE25" i="14"/>
  <c r="X25" i="14"/>
  <c r="M25" i="14"/>
  <c r="Y25" i="14"/>
  <c r="W25" i="14"/>
  <c r="V25" i="14"/>
  <c r="U25" i="14"/>
  <c r="T25" i="14"/>
  <c r="S25" i="14"/>
  <c r="R25" i="14"/>
  <c r="Q25" i="14"/>
  <c r="P25" i="14"/>
  <c r="N25" i="14"/>
  <c r="O25" i="14"/>
  <c r="L25" i="14"/>
  <c r="E25" i="14"/>
  <c r="F25" i="14"/>
  <c r="AJ24" i="14"/>
  <c r="AI24" i="14"/>
  <c r="AH24" i="14"/>
  <c r="Z24" i="14"/>
  <c r="AD24" i="14"/>
  <c r="AF24" i="14"/>
  <c r="AG24" i="14"/>
  <c r="AE24" i="14"/>
  <c r="X24" i="14"/>
  <c r="M24" i="14"/>
  <c r="Y24" i="14"/>
  <c r="W24" i="14"/>
  <c r="V24" i="14"/>
  <c r="U24" i="14"/>
  <c r="T24" i="14"/>
  <c r="S24" i="14"/>
  <c r="R24" i="14"/>
  <c r="Q24" i="14"/>
  <c r="P24" i="14"/>
  <c r="N24" i="14"/>
  <c r="O24" i="14"/>
  <c r="L24" i="14"/>
  <c r="E24" i="14"/>
  <c r="F24" i="14"/>
  <c r="AJ23" i="14"/>
  <c r="AI23" i="14"/>
  <c r="AH23" i="14"/>
  <c r="Z23" i="14"/>
  <c r="AD23" i="14"/>
  <c r="AB23" i="14"/>
  <c r="AF23" i="14"/>
  <c r="AG23" i="14"/>
  <c r="AE23" i="14"/>
  <c r="X23" i="14"/>
  <c r="M23" i="14"/>
  <c r="Y23" i="14"/>
  <c r="W23" i="14"/>
  <c r="V23" i="14"/>
  <c r="U23" i="14"/>
  <c r="T23" i="14"/>
  <c r="S23" i="14"/>
  <c r="R23" i="14"/>
  <c r="Q23" i="14"/>
  <c r="P23" i="14"/>
  <c r="N23" i="14"/>
  <c r="O23" i="14"/>
  <c r="L23" i="14"/>
  <c r="E23" i="14"/>
  <c r="F23" i="14"/>
  <c r="AJ22" i="14"/>
  <c r="AI22" i="14"/>
  <c r="AH22" i="14"/>
  <c r="Z22" i="14"/>
  <c r="AD22" i="14"/>
  <c r="AF22" i="14"/>
  <c r="AG22" i="14"/>
  <c r="AE22" i="14"/>
  <c r="X22" i="14"/>
  <c r="M22" i="14"/>
  <c r="Y22" i="14"/>
  <c r="W22" i="14"/>
  <c r="U22" i="14"/>
  <c r="T22" i="14"/>
  <c r="S22" i="14"/>
  <c r="R22" i="14"/>
  <c r="Q22" i="14"/>
  <c r="P22" i="14"/>
  <c r="N22" i="14"/>
  <c r="O22" i="14"/>
  <c r="L22" i="14"/>
  <c r="E22" i="14"/>
  <c r="F22" i="14"/>
  <c r="AJ21" i="14"/>
  <c r="AI21" i="14"/>
  <c r="AH21" i="14"/>
  <c r="AD21" i="14"/>
  <c r="AF21" i="14"/>
  <c r="AG21" i="14"/>
  <c r="AE21" i="14"/>
  <c r="X21" i="14"/>
  <c r="M21" i="14"/>
  <c r="Y21" i="14"/>
  <c r="W21" i="14"/>
  <c r="V21" i="14"/>
  <c r="U21" i="14"/>
  <c r="T21" i="14"/>
  <c r="S21" i="14"/>
  <c r="R21" i="14"/>
  <c r="Q21" i="14"/>
  <c r="P21" i="14"/>
  <c r="N21" i="14"/>
  <c r="O21" i="14"/>
  <c r="L21" i="14"/>
  <c r="E21" i="14"/>
  <c r="F21" i="14"/>
  <c r="AJ20" i="14"/>
  <c r="AI20" i="14"/>
  <c r="AH20" i="14"/>
  <c r="Z20" i="14"/>
  <c r="AD20" i="14"/>
  <c r="AF20" i="14"/>
  <c r="AG20" i="14"/>
  <c r="AE20" i="14"/>
  <c r="X20" i="14"/>
  <c r="M20" i="14"/>
  <c r="Y20" i="14"/>
  <c r="W20" i="14"/>
  <c r="V20" i="14"/>
  <c r="U20" i="14"/>
  <c r="T20" i="14"/>
  <c r="S20" i="14"/>
  <c r="R20" i="14"/>
  <c r="Q20" i="14"/>
  <c r="P20" i="14"/>
  <c r="N20" i="14"/>
  <c r="O20" i="14"/>
  <c r="L20" i="14"/>
  <c r="E20" i="14"/>
  <c r="F20" i="14"/>
  <c r="AJ19" i="14"/>
  <c r="AI19" i="14"/>
  <c r="AH19" i="14"/>
  <c r="AD19" i="14"/>
  <c r="AF19" i="14"/>
  <c r="AG19" i="14"/>
  <c r="AE19" i="14"/>
  <c r="X19" i="14"/>
  <c r="M19" i="14"/>
  <c r="Y19" i="14"/>
  <c r="W19" i="14"/>
  <c r="V19" i="14"/>
  <c r="U19" i="14"/>
  <c r="T19" i="14"/>
  <c r="S19" i="14"/>
  <c r="R19" i="14"/>
  <c r="Q19" i="14"/>
  <c r="P19" i="14"/>
  <c r="N19" i="14"/>
  <c r="O19" i="14"/>
  <c r="L19" i="14"/>
  <c r="E19" i="14"/>
  <c r="F19" i="14"/>
  <c r="AJ18" i="14"/>
  <c r="AI18" i="14"/>
  <c r="AH18" i="14"/>
  <c r="Z18" i="14"/>
  <c r="AD18" i="14"/>
  <c r="AF18" i="14"/>
  <c r="AG18" i="14"/>
  <c r="AE18" i="14"/>
  <c r="X18" i="14"/>
  <c r="M18" i="14"/>
  <c r="Y18" i="14"/>
  <c r="N18" i="14"/>
  <c r="O18" i="14"/>
  <c r="L18" i="14"/>
  <c r="E18" i="14"/>
  <c r="F18" i="14"/>
  <c r="AJ17" i="14"/>
  <c r="AI17" i="14"/>
  <c r="AH17" i="14"/>
  <c r="AD17" i="14"/>
  <c r="AF17" i="14"/>
  <c r="AG17" i="14"/>
  <c r="AE17" i="14"/>
  <c r="X17" i="14"/>
  <c r="M17" i="14"/>
  <c r="Y17" i="14"/>
  <c r="N17" i="14"/>
  <c r="O17" i="14"/>
  <c r="L17" i="14"/>
  <c r="E17" i="14"/>
  <c r="F17" i="14"/>
  <c r="AJ16" i="14"/>
  <c r="AI16" i="14"/>
  <c r="AH16" i="14"/>
  <c r="Z16" i="14"/>
  <c r="AD16" i="14"/>
  <c r="AF16" i="14"/>
  <c r="AG16" i="14"/>
  <c r="AE16" i="14"/>
  <c r="X16" i="14"/>
  <c r="M16" i="14"/>
  <c r="Y16" i="14"/>
  <c r="W16" i="14"/>
  <c r="V16" i="14"/>
  <c r="U16" i="14"/>
  <c r="T16" i="14"/>
  <c r="S16" i="14"/>
  <c r="R16" i="14"/>
  <c r="Q16" i="14"/>
  <c r="P16" i="14"/>
  <c r="N16" i="14"/>
  <c r="O16" i="14"/>
  <c r="L16" i="14"/>
  <c r="E16" i="14"/>
  <c r="F16" i="14"/>
  <c r="AJ15" i="14"/>
  <c r="AI15" i="14"/>
  <c r="AH15" i="14"/>
  <c r="Z15" i="14"/>
  <c r="AD15" i="14"/>
  <c r="AF15" i="14"/>
  <c r="AG15" i="14"/>
  <c r="AE15" i="14"/>
  <c r="X15" i="14"/>
  <c r="M15" i="14"/>
  <c r="Y15" i="14"/>
  <c r="W15" i="14"/>
  <c r="V15" i="14"/>
  <c r="U15" i="14"/>
  <c r="T15" i="14"/>
  <c r="S15" i="14"/>
  <c r="R15" i="14"/>
  <c r="Q15" i="14"/>
  <c r="P15" i="14"/>
  <c r="N15" i="14"/>
  <c r="O15" i="14"/>
  <c r="L15" i="14"/>
  <c r="E15" i="14"/>
  <c r="F15" i="14"/>
  <c r="AJ14" i="14"/>
  <c r="AI14" i="14"/>
  <c r="AH14" i="14"/>
  <c r="AD14" i="14"/>
  <c r="AF14" i="14"/>
  <c r="AG14" i="14"/>
  <c r="AE14" i="14"/>
  <c r="Y14" i="14"/>
  <c r="O14" i="14"/>
  <c r="E14" i="14"/>
  <c r="F14" i="14"/>
  <c r="AJ13" i="14"/>
  <c r="AI13" i="14"/>
  <c r="AH13" i="14"/>
  <c r="AD13" i="14"/>
  <c r="AF13" i="14"/>
  <c r="AG13" i="14"/>
  <c r="AE13" i="14"/>
  <c r="Y13" i="14"/>
  <c r="O13" i="14"/>
  <c r="E13" i="14"/>
  <c r="F13" i="14"/>
  <c r="AJ12" i="14"/>
  <c r="AI12" i="14"/>
  <c r="AH12" i="14"/>
  <c r="AD12" i="14"/>
  <c r="AF12" i="14"/>
  <c r="AG12" i="14"/>
  <c r="AE12" i="14"/>
  <c r="Y12" i="14"/>
  <c r="O12" i="14"/>
  <c r="E12" i="14"/>
  <c r="F12" i="14"/>
  <c r="AJ11" i="14"/>
  <c r="AI11" i="14"/>
  <c r="AH11" i="14"/>
  <c r="AD11" i="14"/>
  <c r="AF11" i="14"/>
  <c r="AG11" i="14"/>
  <c r="AE11" i="14"/>
  <c r="Y11" i="14"/>
  <c r="O11" i="14"/>
  <c r="E11" i="14"/>
  <c r="F11" i="14"/>
  <c r="AJ10" i="14"/>
  <c r="AI10" i="14"/>
  <c r="AH10" i="14"/>
  <c r="AD10" i="14"/>
  <c r="AF10" i="14"/>
  <c r="AG10" i="14"/>
  <c r="AE10" i="14"/>
  <c r="Y10" i="14"/>
  <c r="O10" i="14"/>
  <c r="E10" i="14"/>
  <c r="F10" i="14"/>
  <c r="AJ9" i="14"/>
  <c r="AI9" i="14"/>
  <c r="AH9" i="14"/>
  <c r="AD9" i="14"/>
  <c r="AF9" i="14"/>
  <c r="AG9" i="14"/>
  <c r="AE9" i="14"/>
  <c r="Y9" i="14"/>
  <c r="O9" i="14"/>
  <c r="E9" i="14"/>
  <c r="F9" i="14"/>
  <c r="AJ8" i="14"/>
  <c r="AI8" i="14"/>
  <c r="AH8" i="14"/>
  <c r="AD8" i="14"/>
  <c r="AF8" i="14"/>
  <c r="AG8" i="14"/>
  <c r="AE8" i="14"/>
  <c r="Y8" i="14"/>
  <c r="O8" i="14"/>
  <c r="E8" i="14"/>
  <c r="F8" i="14"/>
  <c r="AJ7" i="14"/>
  <c r="AI7" i="14"/>
  <c r="AH7" i="14"/>
  <c r="AD7" i="14"/>
  <c r="AF7" i="14"/>
  <c r="AG7" i="14"/>
  <c r="AE7" i="14"/>
  <c r="Y7" i="14"/>
  <c r="O7" i="14"/>
  <c r="E7" i="14"/>
  <c r="F7" i="14"/>
  <c r="AJ6" i="14"/>
  <c r="AI6" i="14"/>
  <c r="AH6" i="14"/>
  <c r="AD6" i="14"/>
  <c r="AF6" i="14"/>
  <c r="AG6" i="14"/>
  <c r="AE6" i="14"/>
  <c r="Y6" i="14"/>
  <c r="O6" i="14"/>
  <c r="E6" i="14"/>
  <c r="F6" i="14"/>
  <c r="AJ5" i="14"/>
  <c r="AI5" i="14"/>
  <c r="AH5" i="14"/>
  <c r="AD5" i="14"/>
  <c r="AF5" i="14"/>
  <c r="AG5" i="14"/>
  <c r="AE5" i="14"/>
  <c r="Y5" i="14"/>
  <c r="O5" i="14"/>
  <c r="E5" i="14"/>
  <c r="F5" i="14"/>
  <c r="AJ4" i="14"/>
  <c r="AI4" i="14"/>
  <c r="AH4" i="14"/>
  <c r="AD4" i="14"/>
  <c r="AF4" i="14"/>
  <c r="AG4" i="14"/>
  <c r="AE4" i="14"/>
  <c r="Y4" i="14"/>
  <c r="O4" i="14"/>
  <c r="E4" i="14"/>
  <c r="F4" i="14"/>
  <c r="AJ3" i="14"/>
  <c r="AI3" i="14"/>
  <c r="AH3" i="14"/>
  <c r="AD3" i="14"/>
  <c r="AF3" i="14"/>
  <c r="AG3" i="14"/>
  <c r="AE3" i="14"/>
  <c r="Y3" i="14"/>
  <c r="O3" i="14"/>
  <c r="E3" i="14"/>
  <c r="F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1"/>
            <color rgb="FF000000"/>
            <rFont val="MS PGothic"/>
            <family val="2"/>
            <charset val="128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<sst xmlns="http://schemas.openxmlformats.org/spreadsheetml/2006/main" count="1118" uniqueCount="130">
  <si>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</si>
  <si>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</si>
  <si>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</si>
  <si>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</si>
  <si>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</si>
  <si>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</si>
  <si>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</si>
  <si>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</si>
  <si>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</si>
  <si>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</si>
  <si>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</si>
  <si>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</si>
  <si>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</si>
  <si>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</si>
  <si>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</si>
  <si>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</si>
  <si>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</si>
  <si>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</si>
  <si>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</si>
  <si>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</si>
  <si>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</si>
  <si>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</si>
  <si>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</si>
  <si>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</si>
  <si>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</si>
  <si>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</si>
  <si>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</si>
  <si>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</si>
  <si>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</si>
  <si>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</si>
  <si>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</si>
  <si>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</si>
  <si>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</si>
  <si>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</si>
  <si>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</si>
  <si>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</si>
  <si>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</si>
  <si>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</si>
  <si>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</si>
  <si>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</si>
  <si>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</si>
  <si>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</si>
  <si>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</si>
  <si>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</si>
  <si>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</si>
  <si>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</si>
  <si>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</si>
  <si>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</si>
  <si>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</si>
  <si>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</si>
  <si>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</si>
  <si>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</si>
  <si>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</si>
  <si>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</si>
  <si>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</si>
  <si>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</si>
  <si>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</si>
  <si>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</si>
  <si>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com.brokenreality.tbc3.goldspin</t>
  </si>
  <si>
    <t>详情</t>
  </si>
  <si>
    <t>FreeBonus_money</t>
  </si>
  <si>
    <t>com.brokenreality.tbc3.offer7.99</t>
  </si>
  <si>
    <t>Offline</t>
  </si>
  <si>
    <t>com.brokenreality.tbc3.gold4.99</t>
  </si>
  <si>
    <t>Double_Cash</t>
  </si>
  <si>
    <t>com.brokenreality.tbc3.offer2.99</t>
  </si>
  <si>
    <t>skip_30_minutes</t>
  </si>
  <si>
    <t>com.brokenreality.tbc3.offer9.99</t>
  </si>
  <si>
    <t>speedUp</t>
  </si>
  <si>
    <t>com.brokenreality.tbc3.gold9.99</t>
  </si>
  <si>
    <t>AdClaim</t>
  </si>
  <si>
    <t>cost_50%_off</t>
  </si>
  <si>
    <t>com.brokenreality.tbc3.offer19.99</t>
  </si>
  <si>
    <t>com.brokenreality.tbc3.gold19.99</t>
  </si>
  <si>
    <t>Slot</t>
  </si>
  <si>
    <t>com.brokenreality.tbc3.gold49.99</t>
  </si>
  <si>
    <t>FreeBonus_gold</t>
  </si>
  <si>
    <t>com.brokenreality.tbc3.gold99.99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</si>
  <si>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</si>
  <si>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</si>
  <si>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</si>
  <si>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</si>
  <si>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</si>
  <si>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</si>
  <si>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</si>
  <si>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</si>
  <si>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</si>
  <si>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</si>
  <si>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</si>
  <si>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</si>
  <si>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</si>
  <si>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</si>
  <si>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</si>
  <si>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</si>
  <si>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</si>
  <si>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</si>
  <si>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</si>
  <si>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</si>
  <si>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</si>
  <si>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</si>
  <si>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</si>
  <si>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</si>
  <si>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</si>
  <si>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</si>
  <si>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</si>
  <si>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</si>
  <si>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</si>
  <si>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</si>
  <si>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2019/9/12(周四，活动关闭 day2）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</si>
  <si>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</si>
  <si>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</si>
  <si>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</si>
  <si>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</si>
  <si>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</si>
  <si>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</si>
  <si>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</si>
  <si>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</si>
  <si>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</si>
  <si>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</si>
  <si>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</si>
  <si>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</si>
  <si>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</si>
  <si>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</si>
  <si>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</si>
  <si>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</si>
  <si>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TBC3-安卓本周（2019/8/31~9/6）数据趋势</t>
  </si>
  <si>
    <t>TBC3-iOS本周（2019/8/24~8/30）数据趋势</t>
  </si>
  <si>
    <t>次留（主轴）</t>
  </si>
  <si>
    <t>3日留存（次轴）</t>
  </si>
  <si>
    <t>7日留存（次轴）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</si>
</sst>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_ ;[Red]\-0.0000\ "/>
    <numFmt numFmtId="177" formatCode="0.000_);[Red]\(0.000\)"/>
    <numFmt numFmtId="178" formatCode="0.00_);[Red]\(0.00\)"/>
    <numFmt numFmtId="179" formatCode="0_ ;[Red]\-0\ "/>
    <numFmt numFmtId="180" formatCode="0.000"/>
    <numFmt numFmtId="181" formatCode="0.00_ ;[Red]\-0.00\ "/>
    <numFmt numFmtId="182" formatCode="[$-804]aaaa;@"/>
    <numFmt numFmtId="183" formatCode="0.0000"/>
    <numFmt numFmtId="184" formatCode="0.0%"/>
    <numFmt numFmtId="185" formatCode="0.000_ ;[Red]\-0.000\ "/>
  </numFmts>
  <fonts count="41"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C00000"/>
      <name val="等线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rgb="FF0563C1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name val="Arial"/>
      <family val="2"/>
    </font>
    <font>
      <u/>
      <sz val="12"/>
      <name val="等线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Arial"/>
      <family val="2"/>
    </font>
    <font>
      <u/>
      <sz val="12"/>
      <color theme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MS PGothic"/>
      <family val="2"/>
      <charset val="128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38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</cellStyleXfs>
  <cellXfs count="31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84" fontId="0" fillId="0" borderId="0" xfId="1" applyNumberFormat="1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>
      <alignment vertical="center"/>
    </xf>
    <xf numFmtId="184" fontId="4" fillId="0" borderId="15" xfId="1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4" fillId="0" borderId="6" xfId="0" applyFont="1" applyBorder="1">
      <alignment vertical="center"/>
    </xf>
    <xf numFmtId="184" fontId="4" fillId="0" borderId="7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84" fontId="4" fillId="0" borderId="12" xfId="1" applyNumberFormat="1" applyFont="1" applyBorder="1" applyAlignment="1">
      <alignment vertical="center"/>
    </xf>
    <xf numFmtId="0" fontId="4" fillId="0" borderId="15" xfId="0" applyFont="1" applyBorder="1">
      <alignment vertical="center"/>
    </xf>
    <xf numFmtId="184" fontId="4" fillId="0" borderId="14" xfId="1" applyNumberFormat="1" applyFont="1" applyBorder="1" applyAlignment="1">
      <alignment vertical="center"/>
    </xf>
    <xf numFmtId="184" fontId="0" fillId="0" borderId="16" xfId="1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10" fontId="4" fillId="0" borderId="15" xfId="1" applyNumberFormat="1" applyFont="1" applyBorder="1" applyAlignment="1">
      <alignment vertical="center"/>
    </xf>
    <xf numFmtId="10" fontId="0" fillId="0" borderId="16" xfId="1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83" fontId="4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7" fillId="0" borderId="0" xfId="0" applyFon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184" fontId="0" fillId="0" borderId="16" xfId="1" applyNumberFormat="1" applyFont="1" applyBorder="1" applyAlignment="1">
      <alignment vertical="center"/>
    </xf>
    <xf numFmtId="184" fontId="0" fillId="0" borderId="0" xfId="1" applyNumberFormat="1" applyFont="1" applyBorder="1" applyAlignment="1">
      <alignment vertical="center"/>
    </xf>
    <xf numFmtId="184" fontId="0" fillId="0" borderId="13" xfId="1" applyNumberFormat="1" applyFont="1" applyBorder="1" applyAlignment="1">
      <alignment vertical="center"/>
    </xf>
    <xf numFmtId="0" fontId="0" fillId="0" borderId="16" xfId="0" applyBorder="1">
      <alignment vertical="center"/>
    </xf>
    <xf numFmtId="2" fontId="0" fillId="0" borderId="13" xfId="0" applyNumberFormat="1" applyBorder="1">
      <alignment vertical="center"/>
    </xf>
    <xf numFmtId="2" fontId="0" fillId="0" borderId="0" xfId="0" applyNumberFormat="1" applyBorder="1">
      <alignment vertical="center"/>
    </xf>
    <xf numFmtId="2" fontId="8" fillId="5" borderId="18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>
      <alignment vertical="center"/>
    </xf>
    <xf numFmtId="10" fontId="0" fillId="0" borderId="16" xfId="1" applyNumberFormat="1" applyFont="1" applyBorder="1" applyAlignment="1">
      <alignment vertical="center"/>
    </xf>
    <xf numFmtId="183" fontId="0" fillId="0" borderId="10" xfId="0" applyNumberFormat="1" applyBorder="1">
      <alignment vertical="center"/>
    </xf>
    <xf numFmtId="184" fontId="7" fillId="0" borderId="0" xfId="1" applyNumberFormat="1" applyFont="1" applyBorder="1" applyAlignment="1">
      <alignment vertical="center"/>
    </xf>
    <xf numFmtId="2" fontId="8" fillId="5" borderId="18" xfId="0" applyNumberFormat="1" applyFont="1" applyFill="1" applyBorder="1" applyAlignment="1">
      <alignment horizontal="left" vertical="center"/>
    </xf>
    <xf numFmtId="2" fontId="7" fillId="0" borderId="0" xfId="0" applyNumberFormat="1" applyFont="1" applyBorder="1">
      <alignment vertical="center"/>
    </xf>
    <xf numFmtId="10" fontId="7" fillId="0" borderId="0" xfId="1" applyNumberFormat="1" applyFont="1" applyBorder="1" applyAlignment="1">
      <alignment vertical="center"/>
    </xf>
    <xf numFmtId="183" fontId="7" fillId="0" borderId="0" xfId="0" applyNumberFormat="1" applyFont="1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 applyFill="1">
      <alignment vertical="center"/>
    </xf>
    <xf numFmtId="0" fontId="0" fillId="0" borderId="7" xfId="0" applyBorder="1">
      <alignment vertical="center"/>
    </xf>
    <xf numFmtId="0" fontId="1" fillId="0" borderId="7" xfId="0" applyFont="1" applyBorder="1">
      <alignment vertical="center"/>
    </xf>
    <xf numFmtId="184" fontId="0" fillId="0" borderId="7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84" fontId="4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>
      <alignment vertical="center"/>
    </xf>
    <xf numFmtId="10" fontId="4" fillId="0" borderId="0" xfId="1" applyNumberFormat="1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183" fontId="4" fillId="0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>
      <alignment vertical="center"/>
    </xf>
    <xf numFmtId="2" fontId="8" fillId="0" borderId="0" xfId="0" applyNumberFormat="1" applyFont="1" applyFill="1" applyBorder="1" applyAlignment="1">
      <alignment horizontal="left" vertical="center" wrapText="1"/>
    </xf>
    <xf numFmtId="10" fontId="0" fillId="0" borderId="0" xfId="1" applyNumberFormat="1" applyFont="1" applyFill="1" applyBorder="1" applyAlignment="1">
      <alignment vertical="center"/>
    </xf>
    <xf numFmtId="10" fontId="8" fillId="0" borderId="0" xfId="1" applyNumberFormat="1" applyFont="1" applyFill="1" applyBorder="1" applyAlignment="1">
      <alignment vertical="center" wrapText="1"/>
    </xf>
    <xf numFmtId="183" fontId="0" fillId="0" borderId="0" xfId="0" applyNumberForma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0" fontId="14" fillId="0" borderId="0" xfId="0" applyNumberFormat="1" applyFont="1">
      <alignment vertical="center"/>
    </xf>
    <xf numFmtId="0" fontId="15" fillId="0" borderId="0" xfId="0" applyFont="1">
      <alignment vertical="center"/>
    </xf>
    <xf numFmtId="9" fontId="14" fillId="0" borderId="0" xfId="0" applyNumberFormat="1" applyFont="1">
      <alignment vertical="center"/>
    </xf>
    <xf numFmtId="0" fontId="16" fillId="0" borderId="0" xfId="0" applyFont="1">
      <alignment vertical="center"/>
    </xf>
    <xf numFmtId="10" fontId="17" fillId="0" borderId="0" xfId="0" applyNumberFormat="1" applyFont="1">
      <alignment vertical="center"/>
    </xf>
    <xf numFmtId="0" fontId="18" fillId="0" borderId="0" xfId="2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0" fontId="16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2" applyFont="1">
      <alignment vertical="center"/>
    </xf>
    <xf numFmtId="0" fontId="11" fillId="7" borderId="0" xfId="0" applyFont="1" applyFill="1" applyAlignment="1">
      <alignment horizontal="right" vertical="center"/>
    </xf>
    <xf numFmtId="0" fontId="26" fillId="0" borderId="0" xfId="0" applyFo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2">
      <alignment vertical="center"/>
    </xf>
    <xf numFmtId="14" fontId="26" fillId="0" borderId="0" xfId="0" applyNumberFormat="1" applyFont="1">
      <alignment vertical="center"/>
    </xf>
    <xf numFmtId="14" fontId="22" fillId="0" borderId="0" xfId="0" applyNumberFormat="1" applyFont="1">
      <alignment vertical="center"/>
    </xf>
    <xf numFmtId="0" fontId="7" fillId="0" borderId="0" xfId="0" applyFont="1">
      <alignment vertical="center"/>
    </xf>
    <xf numFmtId="10" fontId="26" fillId="0" borderId="0" xfId="0" applyNumberFormat="1" applyFont="1">
      <alignment vertical="center"/>
    </xf>
    <xf numFmtId="0" fontId="29" fillId="0" borderId="0" xfId="2" applyFont="1">
      <alignment vertical="center"/>
    </xf>
    <xf numFmtId="0" fontId="30" fillId="9" borderId="5" xfId="0" applyFont="1" applyFill="1" applyBorder="1">
      <alignment vertical="center"/>
    </xf>
    <xf numFmtId="0" fontId="12" fillId="9" borderId="5" xfId="0" applyFont="1" applyFill="1" applyBorder="1">
      <alignment vertical="center"/>
    </xf>
    <xf numFmtId="0" fontId="11" fillId="0" borderId="0" xfId="0" applyFont="1" applyFill="1">
      <alignment vertical="center"/>
    </xf>
    <xf numFmtId="0" fontId="30" fillId="9" borderId="10" xfId="0" applyFont="1" applyFill="1" applyBorder="1">
      <alignment vertical="center"/>
    </xf>
    <xf numFmtId="0" fontId="12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0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30" fillId="0" borderId="0" xfId="0" applyFont="1">
      <alignment vertical="center"/>
    </xf>
    <xf numFmtId="0" fontId="30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32" fillId="0" borderId="10" xfId="0" applyFont="1" applyBorder="1">
      <alignment vertical="center"/>
    </xf>
    <xf numFmtId="0" fontId="30" fillId="10" borderId="0" xfId="0" applyFont="1" applyFill="1">
      <alignment vertical="center"/>
    </xf>
    <xf numFmtId="0" fontId="33" fillId="7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26" fillId="0" borderId="0" xfId="0" applyFont="1" applyAlignment="1">
      <alignment vertical="center"/>
    </xf>
    <xf numFmtId="21" fontId="26" fillId="0" borderId="0" xfId="0" applyNumberFormat="1" applyFont="1">
      <alignment vertical="center"/>
    </xf>
    <xf numFmtId="21" fontId="22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23" xfId="0" applyFont="1" applyBorder="1" applyAlignment="1">
      <alignment horizontal="left" vertical="center" wrapText="1" indent="1"/>
    </xf>
    <xf numFmtId="0" fontId="29" fillId="0" borderId="23" xfId="2" applyFont="1" applyBorder="1" applyAlignment="1">
      <alignment horizontal="left" vertical="center" wrapText="1" indent="1"/>
    </xf>
    <xf numFmtId="0" fontId="29" fillId="11" borderId="23" xfId="2" applyFont="1" applyFill="1" applyBorder="1" applyAlignment="1">
      <alignment horizontal="left" vertical="center" wrapText="1" indent="1"/>
    </xf>
    <xf numFmtId="0" fontId="26" fillId="11" borderId="23" xfId="0" applyFont="1" applyFill="1" applyBorder="1" applyAlignment="1">
      <alignment horizontal="left" vertical="center" wrapText="1" indent="1"/>
    </xf>
    <xf numFmtId="9" fontId="26" fillId="0" borderId="0" xfId="0" applyNumberFormat="1" applyFont="1">
      <alignment vertical="center"/>
    </xf>
    <xf numFmtId="0" fontId="26" fillId="0" borderId="23" xfId="0" applyFont="1" applyBorder="1" applyAlignment="1">
      <alignment horizontal="left" vertical="center" indent="1"/>
    </xf>
    <xf numFmtId="0" fontId="26" fillId="11" borderId="23" xfId="0" applyFont="1" applyFill="1" applyBorder="1" applyAlignment="1">
      <alignment horizontal="left" vertical="center" indent="1"/>
    </xf>
    <xf numFmtId="9" fontId="11" fillId="0" borderId="0" xfId="0" applyNumberFormat="1" applyFont="1">
      <alignment vertical="center"/>
    </xf>
    <xf numFmtId="0" fontId="11" fillId="0" borderId="24" xfId="0" applyFont="1" applyBorder="1">
      <alignment vertical="center"/>
    </xf>
    <xf numFmtId="181" fontId="36" fillId="0" borderId="0" xfId="0" applyNumberFormat="1" applyFont="1" applyBorder="1" applyAlignment="1">
      <alignment wrapText="1"/>
    </xf>
    <xf numFmtId="181" fontId="7" fillId="8" borderId="0" xfId="0" applyNumberFormat="1" applyFont="1" applyFill="1" applyBorder="1">
      <alignment vertical="center"/>
    </xf>
    <xf numFmtId="181" fontId="7" fillId="0" borderId="0" xfId="0" applyNumberFormat="1" applyFont="1" applyFill="1" applyBorder="1">
      <alignment vertical="center"/>
    </xf>
    <xf numFmtId="181" fontId="7" fillId="8" borderId="0" xfId="0" applyNumberFormat="1" applyFont="1" applyFill="1">
      <alignment vertical="center"/>
    </xf>
    <xf numFmtId="181" fontId="7" fillId="0" borderId="0" xfId="0" applyNumberFormat="1" applyFont="1">
      <alignment vertical="center"/>
    </xf>
    <xf numFmtId="14" fontId="7" fillId="0" borderId="0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81" fontId="37" fillId="0" borderId="0" xfId="0" applyNumberFormat="1" applyFont="1" applyBorder="1">
      <alignment vertical="center"/>
    </xf>
    <xf numFmtId="181" fontId="7" fillId="0" borderId="0" xfId="0" applyNumberFormat="1" applyFont="1" applyBorder="1">
      <alignment vertical="center"/>
    </xf>
    <xf numFmtId="178" fontId="37" fillId="0" borderId="0" xfId="0" applyNumberFormat="1" applyFont="1" applyBorder="1">
      <alignment vertical="center"/>
    </xf>
    <xf numFmtId="10" fontId="37" fillId="0" borderId="0" xfId="0" applyNumberFormat="1" applyFont="1" applyBorder="1">
      <alignment vertical="center"/>
    </xf>
    <xf numFmtId="181" fontId="4" fillId="0" borderId="0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77" fontId="7" fillId="0" borderId="0" xfId="0" applyNumberFormat="1" applyFont="1" applyBorder="1">
      <alignment vertical="center"/>
    </xf>
    <xf numFmtId="185" fontId="37" fillId="0" borderId="0" xfId="0" applyNumberFormat="1" applyFont="1" applyBorder="1">
      <alignment vertical="center"/>
    </xf>
    <xf numFmtId="10" fontId="7" fillId="0" borderId="0" xfId="0" applyNumberFormat="1" applyFont="1" applyBorder="1">
      <alignment vertical="center"/>
    </xf>
    <xf numFmtId="10" fontId="4" fillId="0" borderId="0" xfId="1" applyNumberFormat="1" applyFont="1" applyBorder="1" applyAlignment="1">
      <alignment vertical="center"/>
    </xf>
    <xf numFmtId="181" fontId="36" fillId="12" borderId="28" xfId="0" applyNumberFormat="1" applyFont="1" applyFill="1" applyBorder="1" applyAlignment="1">
      <alignment horizontal="center" vertical="center" wrapText="1"/>
    </xf>
    <xf numFmtId="14" fontId="7" fillId="14" borderId="0" xfId="0" applyNumberFormat="1" applyFont="1" applyFill="1" applyBorder="1" applyAlignment="1">
      <alignment horizontal="center" vertical="center"/>
    </xf>
    <xf numFmtId="181" fontId="7" fillId="3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179" fontId="37" fillId="0" borderId="0" xfId="0" applyNumberFormat="1" applyFont="1" applyFill="1" applyBorder="1">
      <alignment vertical="center"/>
    </xf>
    <xf numFmtId="181" fontId="37" fillId="0" borderId="0" xfId="0" applyNumberFormat="1" applyFont="1" applyFill="1" applyBorder="1">
      <alignment vertical="center"/>
    </xf>
    <xf numFmtId="178" fontId="37" fillId="0" borderId="0" xfId="0" applyNumberFormat="1" applyFont="1" applyFill="1" applyBorder="1">
      <alignment vertical="center"/>
    </xf>
    <xf numFmtId="178" fontId="37" fillId="0" borderId="10" xfId="0" applyNumberFormat="1" applyFont="1" applyFill="1" applyBorder="1">
      <alignment vertical="center"/>
    </xf>
    <xf numFmtId="178" fontId="37" fillId="0" borderId="0" xfId="0" applyNumberFormat="1" applyFont="1" applyAlignment="1"/>
    <xf numFmtId="184" fontId="7" fillId="0" borderId="0" xfId="1" applyNumberFormat="1" applyFont="1" applyFill="1" applyBorder="1" applyAlignment="1">
      <alignment vertical="center"/>
    </xf>
    <xf numFmtId="176" fontId="7" fillId="0" borderId="0" xfId="0" applyNumberFormat="1" applyFont="1" applyBorder="1">
      <alignment vertical="center"/>
    </xf>
    <xf numFmtId="177" fontId="7" fillId="0" borderId="0" xfId="0" applyNumberFormat="1" applyFont="1" applyFill="1" applyBorder="1">
      <alignment vertical="center"/>
    </xf>
    <xf numFmtId="14" fontId="7" fillId="8" borderId="0" xfId="0" applyNumberFormat="1" applyFont="1" applyFill="1" applyBorder="1" applyAlignment="1">
      <alignment horizontal="center" vertical="center"/>
    </xf>
    <xf numFmtId="181" fontId="7" fillId="8" borderId="0" xfId="0" applyNumberFormat="1" applyFont="1" applyFill="1" applyBorder="1" applyAlignment="1">
      <alignment horizontal="center" vertical="center"/>
    </xf>
    <xf numFmtId="179" fontId="37" fillId="8" borderId="0" xfId="0" applyNumberFormat="1" applyFont="1" applyFill="1" applyBorder="1">
      <alignment vertical="center"/>
    </xf>
    <xf numFmtId="181" fontId="7" fillId="2" borderId="0" xfId="0" applyNumberFormat="1" applyFont="1" applyFill="1" applyBorder="1" applyAlignment="1">
      <alignment horizontal="center" vertical="center"/>
    </xf>
    <xf numFmtId="181" fontId="37" fillId="8" borderId="0" xfId="0" applyNumberFormat="1" applyFont="1" applyFill="1" applyBorder="1">
      <alignment vertical="center"/>
    </xf>
    <xf numFmtId="178" fontId="37" fillId="8" borderId="0" xfId="0" applyNumberFormat="1" applyFont="1" applyFill="1" applyAlignment="1"/>
    <xf numFmtId="9" fontId="37" fillId="0" borderId="0" xfId="0" applyNumberFormat="1" applyFont="1" applyBorder="1">
      <alignment vertical="center"/>
    </xf>
    <xf numFmtId="10" fontId="37" fillId="8" borderId="0" xfId="0" applyNumberFormat="1" applyFont="1" applyFill="1" applyBorder="1">
      <alignment vertical="center"/>
    </xf>
    <xf numFmtId="181" fontId="4" fillId="8" borderId="0" xfId="0" applyNumberFormat="1" applyFont="1" applyFill="1" applyBorder="1">
      <alignment vertical="center"/>
    </xf>
    <xf numFmtId="184" fontId="7" fillId="8" borderId="0" xfId="1" applyNumberFormat="1" applyFont="1" applyFill="1" applyBorder="1" applyAlignment="1">
      <alignment vertical="center"/>
    </xf>
    <xf numFmtId="179" fontId="7" fillId="8" borderId="0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176" fontId="7" fillId="8" borderId="0" xfId="0" applyNumberFormat="1" applyFont="1" applyFill="1" applyBorder="1">
      <alignment vertical="center"/>
    </xf>
    <xf numFmtId="177" fontId="7" fillId="8" borderId="0" xfId="0" applyNumberFormat="1" applyFont="1" applyFill="1" applyBorder="1">
      <alignment vertical="center"/>
    </xf>
    <xf numFmtId="185" fontId="37" fillId="8" borderId="0" xfId="0" applyNumberFormat="1" applyFont="1" applyFill="1" applyBorder="1">
      <alignment vertical="center"/>
    </xf>
    <xf numFmtId="10" fontId="7" fillId="8" borderId="0" xfId="0" applyNumberFormat="1" applyFont="1" applyFill="1" applyBorder="1">
      <alignment vertical="center"/>
    </xf>
    <xf numFmtId="10" fontId="7" fillId="8" borderId="0" xfId="1" applyNumberFormat="1" applyFont="1" applyFill="1" applyBorder="1" applyAlignment="1">
      <alignment vertical="center"/>
    </xf>
    <xf numFmtId="10" fontId="4" fillId="8" borderId="0" xfId="1" applyNumberFormat="1" applyFont="1" applyFill="1" applyBorder="1" applyAlignment="1">
      <alignment vertical="center"/>
    </xf>
    <xf numFmtId="177" fontId="26" fillId="0" borderId="0" xfId="0" applyNumberFormat="1" applyFont="1" applyBorder="1">
      <alignment vertical="center"/>
    </xf>
    <xf numFmtId="177" fontId="26" fillId="8" borderId="0" xfId="0" applyNumberFormat="1" applyFont="1" applyFill="1" applyBorder="1">
      <alignment vertical="center"/>
    </xf>
    <xf numFmtId="178" fontId="37" fillId="8" borderId="0" xfId="0" applyNumberFormat="1" applyFont="1" applyFill="1" applyBorder="1">
      <alignment vertical="center"/>
    </xf>
    <xf numFmtId="178" fontId="37" fillId="0" borderId="0" xfId="0" applyNumberFormat="1" applyFont="1" applyFill="1" applyAlignment="1"/>
    <xf numFmtId="10" fontId="37" fillId="0" borderId="0" xfId="0" applyNumberFormat="1" applyFont="1" applyFill="1" applyBorder="1">
      <alignment vertical="center"/>
    </xf>
    <xf numFmtId="181" fontId="4" fillId="0" borderId="0" xfId="0" applyNumberFormat="1" applyFont="1" applyFill="1" applyBorder="1">
      <alignment vertical="center"/>
    </xf>
    <xf numFmtId="176" fontId="7" fillId="0" borderId="0" xfId="0" applyNumberFormat="1" applyFont="1" applyFill="1" applyBorder="1">
      <alignment vertical="center"/>
    </xf>
    <xf numFmtId="185" fontId="37" fillId="0" borderId="0" xfId="0" applyNumberFormat="1" applyFont="1" applyFill="1" applyBorder="1">
      <alignment vertical="center"/>
    </xf>
    <xf numFmtId="10" fontId="7" fillId="0" borderId="0" xfId="0" applyNumberFormat="1" applyFont="1" applyFill="1" applyBorder="1">
      <alignment vertical="center"/>
    </xf>
    <xf numFmtId="10" fontId="7" fillId="0" borderId="0" xfId="1" applyNumberFormat="1" applyFont="1" applyFill="1" applyBorder="1" applyAlignment="1">
      <alignment vertical="center"/>
    </xf>
    <xf numFmtId="10" fontId="37" fillId="0" borderId="0" xfId="0" applyNumberFormat="1" applyFont="1">
      <alignment vertical="center"/>
    </xf>
    <xf numFmtId="14" fontId="7" fillId="8" borderId="0" xfId="0" applyNumberFormat="1" applyFont="1" applyFill="1" applyAlignment="1">
      <alignment horizontal="center" vertical="center"/>
    </xf>
    <xf numFmtId="181" fontId="7" fillId="8" borderId="0" xfId="0" applyNumberFormat="1" applyFont="1" applyFill="1" applyAlignment="1">
      <alignment horizontal="center" vertical="center"/>
    </xf>
    <xf numFmtId="179" fontId="37" fillId="8" borderId="0" xfId="0" applyNumberFormat="1" applyFont="1" applyFill="1">
      <alignment vertical="center"/>
    </xf>
    <xf numFmtId="14" fontId="7" fillId="0" borderId="0" xfId="0" applyNumberFormat="1" applyFont="1" applyAlignment="1">
      <alignment horizontal="center" vertical="center"/>
    </xf>
    <xf numFmtId="181" fontId="7" fillId="0" borderId="0" xfId="0" applyNumberFormat="1" applyFont="1" applyAlignment="1">
      <alignment horizontal="center" vertical="center"/>
    </xf>
    <xf numFmtId="179" fontId="37" fillId="0" borderId="0" xfId="0" applyNumberFormat="1" applyFont="1">
      <alignment vertical="center"/>
    </xf>
    <xf numFmtId="181" fontId="7" fillId="3" borderId="0" xfId="0" applyNumberFormat="1" applyFont="1" applyFill="1" applyAlignment="1">
      <alignment horizontal="center" vertical="center"/>
    </xf>
    <xf numFmtId="181" fontId="7" fillId="0" borderId="0" xfId="0" applyNumberFormat="1" applyFont="1" applyFill="1" applyAlignment="1">
      <alignment horizontal="center" vertical="center"/>
    </xf>
    <xf numFmtId="181" fontId="37" fillId="8" borderId="0" xfId="0" applyNumberFormat="1" applyFont="1" applyFill="1">
      <alignment vertical="center"/>
    </xf>
    <xf numFmtId="178" fontId="37" fillId="8" borderId="0" xfId="0" applyNumberFormat="1" applyFont="1" applyFill="1">
      <alignment vertical="center"/>
    </xf>
    <xf numFmtId="181" fontId="37" fillId="0" borderId="0" xfId="0" applyNumberFormat="1" applyFont="1">
      <alignment vertical="center"/>
    </xf>
    <xf numFmtId="178" fontId="37" fillId="0" borderId="0" xfId="0" applyNumberFormat="1" applyFont="1">
      <alignment vertical="center"/>
    </xf>
    <xf numFmtId="10" fontId="37" fillId="8" borderId="0" xfId="0" applyNumberFormat="1" applyFont="1" applyFill="1">
      <alignment vertical="center"/>
    </xf>
    <xf numFmtId="181" fontId="4" fillId="8" borderId="0" xfId="0" applyNumberFormat="1" applyFont="1" applyFill="1">
      <alignment vertical="center"/>
    </xf>
    <xf numFmtId="184" fontId="7" fillId="8" borderId="0" xfId="1" applyNumberFormat="1" applyFont="1" applyFill="1" applyAlignment="1">
      <alignment vertical="center"/>
    </xf>
    <xf numFmtId="181" fontId="4" fillId="0" borderId="0" xfId="0" applyNumberFormat="1" applyFont="1">
      <alignment vertical="center"/>
    </xf>
    <xf numFmtId="184" fontId="7" fillId="0" borderId="0" xfId="1" applyNumberFormat="1" applyFont="1" applyAlignment="1">
      <alignment vertical="center"/>
    </xf>
    <xf numFmtId="179" fontId="7" fillId="8" borderId="0" xfId="0" applyNumberFormat="1" applyFont="1" applyFill="1">
      <alignment vertical="center"/>
    </xf>
    <xf numFmtId="179" fontId="7" fillId="0" borderId="0" xfId="0" applyNumberFormat="1" applyFont="1">
      <alignment vertical="center"/>
    </xf>
    <xf numFmtId="176" fontId="7" fillId="8" borderId="0" xfId="0" applyNumberFormat="1" applyFont="1" applyFill="1">
      <alignment vertical="center"/>
    </xf>
    <xf numFmtId="177" fontId="7" fillId="8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5" fontId="37" fillId="8" borderId="0" xfId="0" applyNumberFormat="1" applyFont="1" applyFill="1">
      <alignment vertical="center"/>
    </xf>
    <xf numFmtId="10" fontId="7" fillId="8" borderId="0" xfId="0" applyNumberFormat="1" applyFont="1" applyFill="1">
      <alignment vertical="center"/>
    </xf>
    <xf numFmtId="185" fontId="37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10" fontId="7" fillId="8" borderId="0" xfId="1" applyNumberFormat="1" applyFont="1" applyFill="1" applyAlignment="1">
      <alignment vertical="center"/>
    </xf>
    <xf numFmtId="10" fontId="4" fillId="8" borderId="0" xfId="1" applyNumberFormat="1" applyFont="1" applyFill="1" applyAlignment="1">
      <alignment vertical="center"/>
    </xf>
    <xf numFmtId="10" fontId="7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26" fillId="0" borderId="0" xfId="0" applyFont="1" applyBorder="1">
      <alignment vertical="center"/>
    </xf>
    <xf numFmtId="21" fontId="26" fillId="0" borderId="0" xfId="0" applyNumberFormat="1" applyFont="1" applyBorder="1">
      <alignment vertical="center"/>
    </xf>
    <xf numFmtId="21" fontId="26" fillId="8" borderId="0" xfId="0" applyNumberFormat="1" applyFont="1" applyFill="1" applyBorder="1">
      <alignment vertical="center"/>
    </xf>
    <xf numFmtId="2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81" fontId="7" fillId="0" borderId="0" xfId="0" applyNumberFormat="1" applyFont="1" applyFill="1" applyBorder="1" applyAlignment="1">
      <alignment horizontal="right"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Fill="1" applyBorder="1">
      <alignment vertical="center"/>
    </xf>
    <xf numFmtId="10" fontId="36" fillId="12" borderId="26" xfId="1" applyNumberFormat="1" applyFont="1" applyFill="1" applyBorder="1" applyAlignment="1">
      <alignment horizontal="center" vertical="center" wrapText="1"/>
    </xf>
    <xf numFmtId="10" fontId="36" fillId="12" borderId="28" xfId="1" applyNumberFormat="1" applyFont="1" applyFill="1" applyBorder="1" applyAlignment="1">
      <alignment horizontal="center" vertical="center" wrapText="1"/>
    </xf>
    <xf numFmtId="10" fontId="36" fillId="12" borderId="26" xfId="0" applyNumberFormat="1" applyFont="1" applyFill="1" applyBorder="1" applyAlignment="1">
      <alignment horizontal="center" vertical="center" wrapText="1"/>
    </xf>
    <xf numFmtId="10" fontId="36" fillId="12" borderId="28" xfId="0" applyNumberFormat="1" applyFont="1" applyFill="1" applyBorder="1" applyAlignment="1">
      <alignment horizontal="center" vertical="center" wrapText="1"/>
    </xf>
    <xf numFmtId="181" fontId="36" fillId="12" borderId="26" xfId="0" applyNumberFormat="1" applyFont="1" applyFill="1" applyBorder="1" applyAlignment="1">
      <alignment horizontal="center" vertical="center" wrapText="1"/>
    </xf>
    <xf numFmtId="181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0" applyNumberFormat="1" applyFont="1" applyFill="1" applyBorder="1" applyAlignment="1">
      <alignment horizontal="center" vertical="center" wrapText="1"/>
    </xf>
    <xf numFmtId="177" fontId="36" fillId="12" borderId="28" xfId="0" applyNumberFormat="1" applyFont="1" applyFill="1" applyBorder="1" applyAlignment="1">
      <alignment horizontal="center" vertical="center" wrapText="1"/>
    </xf>
    <xf numFmtId="10" fontId="36" fillId="13" borderId="26" xfId="0" applyNumberFormat="1" applyFont="1" applyFill="1" applyBorder="1" applyAlignment="1">
      <alignment horizontal="center" vertical="center" wrapText="1"/>
    </xf>
    <xf numFmtId="10" fontId="36" fillId="13" borderId="28" xfId="0" applyNumberFormat="1" applyFont="1" applyFill="1" applyBorder="1" applyAlignment="1">
      <alignment horizontal="center" vertical="center" wrapText="1"/>
    </xf>
    <xf numFmtId="179" fontId="36" fillId="12" borderId="26" xfId="0" applyNumberFormat="1" applyFont="1" applyFill="1" applyBorder="1" applyAlignment="1">
      <alignment horizontal="center" vertical="center" wrapText="1"/>
    </xf>
    <xf numFmtId="179" fontId="36" fillId="12" borderId="28" xfId="0" applyNumberFormat="1" applyFont="1" applyFill="1" applyBorder="1" applyAlignment="1">
      <alignment horizontal="center" vertical="center" wrapText="1"/>
    </xf>
    <xf numFmtId="14" fontId="36" fillId="12" borderId="25" xfId="0" applyNumberFormat="1" applyFont="1" applyFill="1" applyBorder="1" applyAlignment="1">
      <alignment horizontal="center" vertical="center" wrapText="1"/>
    </xf>
    <xf numFmtId="14" fontId="36" fillId="12" borderId="27" xfId="0" applyNumberFormat="1" applyFont="1" applyFill="1" applyBorder="1" applyAlignment="1">
      <alignment horizontal="center" vertical="center" wrapText="1"/>
    </xf>
    <xf numFmtId="179" fontId="36" fillId="13" borderId="26" xfId="0" applyNumberFormat="1" applyFont="1" applyFill="1" applyBorder="1" applyAlignment="1">
      <alignment horizontal="center" vertical="center" wrapText="1"/>
    </xf>
    <xf numFmtId="179" fontId="36" fillId="13" borderId="28" xfId="0" applyNumberFormat="1" applyFont="1" applyFill="1" applyBorder="1" applyAlignment="1">
      <alignment horizontal="center" vertical="center" wrapText="1"/>
    </xf>
    <xf numFmtId="181" fontId="36" fillId="13" borderId="26" xfId="0" applyNumberFormat="1" applyFont="1" applyFill="1" applyBorder="1" applyAlignment="1">
      <alignment horizontal="center" vertical="center" wrapText="1"/>
    </xf>
    <xf numFmtId="181" fontId="36" fillId="13" borderId="28" xfId="0" applyNumberFormat="1" applyFont="1" applyFill="1" applyBorder="1" applyAlignment="1">
      <alignment horizontal="center" vertical="center" wrapText="1"/>
    </xf>
    <xf numFmtId="178" fontId="36" fillId="13" borderId="26" xfId="0" applyNumberFormat="1" applyFont="1" applyFill="1" applyBorder="1" applyAlignment="1">
      <alignment horizontal="center" vertical="center" wrapText="1"/>
    </xf>
    <xf numFmtId="178" fontId="36" fillId="13" borderId="28" xfId="0" applyNumberFormat="1" applyFont="1" applyFill="1" applyBorder="1" applyAlignment="1">
      <alignment horizontal="center" vertical="center" wrapText="1"/>
    </xf>
    <xf numFmtId="178" fontId="36" fillId="13" borderId="29" xfId="0" applyNumberFormat="1" applyFont="1" applyFill="1" applyBorder="1" applyAlignment="1">
      <alignment horizontal="center" vertical="center" wrapText="1"/>
    </xf>
    <xf numFmtId="184" fontId="36" fillId="12" borderId="29" xfId="1" applyNumberFormat="1" applyFont="1" applyFill="1" applyBorder="1" applyAlignment="1">
      <alignment horizontal="center" vertical="center" wrapText="1"/>
    </xf>
    <xf numFmtId="177" fontId="36" fillId="12" borderId="26" xfId="1" applyNumberFormat="1" applyFont="1" applyFill="1" applyBorder="1" applyAlignment="1">
      <alignment horizontal="center" vertical="center" wrapText="1"/>
    </xf>
    <xf numFmtId="177" fontId="36" fillId="12" borderId="28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84" fontId="9" fillId="5" borderId="21" xfId="1" applyNumberFormat="1" applyFont="1" applyFill="1" applyBorder="1" applyAlignment="1">
      <alignment horizontal="left" vertical="center" wrapText="1"/>
    </xf>
    <xf numFmtId="184" fontId="10" fillId="5" borderId="18" xfId="1" applyNumberFormat="1" applyFont="1" applyFill="1" applyBorder="1" applyAlignment="1">
      <alignment horizontal="left" vertical="center" wrapText="1"/>
    </xf>
    <xf numFmtId="184" fontId="10" fillId="5" borderId="20" xfId="1" applyNumberFormat="1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 wrapText="1"/>
    </xf>
    <xf numFmtId="2" fontId="8" fillId="5" borderId="20" xfId="0" applyNumberFormat="1" applyFont="1" applyFill="1" applyBorder="1" applyAlignment="1">
      <alignment horizontal="left" vertical="center" wrapText="1"/>
    </xf>
    <xf numFmtId="10" fontId="8" fillId="5" borderId="21" xfId="1" applyNumberFormat="1" applyFont="1" applyFill="1" applyBorder="1" applyAlignment="1">
      <alignment horizontal="left" vertical="center" wrapText="1"/>
    </xf>
    <xf numFmtId="10" fontId="8" fillId="5" borderId="19" xfId="1" applyNumberFormat="1" applyFont="1" applyFill="1" applyBorder="1" applyAlignment="1">
      <alignment horizontal="left" vertical="center" wrapText="1"/>
    </xf>
    <xf numFmtId="0" fontId="8" fillId="5" borderId="17" xfId="0" applyFont="1" applyFill="1" applyBorder="1" applyAlignment="1">
      <alignment horizontal="left" vertical="center" wrapText="1"/>
    </xf>
    <xf numFmtId="184" fontId="8" fillId="5" borderId="18" xfId="1" applyNumberFormat="1" applyFont="1" applyFill="1" applyBorder="1" applyAlignment="1">
      <alignment horizontal="left" vertical="center" wrapText="1"/>
    </xf>
    <xf numFmtId="184" fontId="8" fillId="5" borderId="20" xfId="1" applyNumberFormat="1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/>
    </xf>
    <xf numFmtId="2" fontId="8" fillId="5" borderId="20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C7CE"/>
      <color rgb="FFC6EFCE"/>
      <color rgb="FFFF9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'TBC3'!$C$54:$C$94</c:f>
              <c:numCache>
                <c:formatCode>General</c:formatCode>
                <c:ptCount val="41"/>
                <c:pt idx="0">
                  <c:v>7896</c:v>
                </c:pt>
                <c:pt idx="1">
                  <c:v>7272</c:v>
                </c:pt>
                <c:pt idx="2">
                  <c:v>7540</c:v>
                </c:pt>
                <c:pt idx="3">
                  <c:v>8769</c:v>
                </c:pt>
                <c:pt idx="4">
                  <c:v>11199</c:v>
                </c:pt>
                <c:pt idx="5">
                  <c:v>11547</c:v>
                </c:pt>
                <c:pt idx="6">
                  <c:v>9479</c:v>
                </c:pt>
                <c:pt idx="7">
                  <c:v>6432</c:v>
                </c:pt>
                <c:pt idx="8">
                  <c:v>7280</c:v>
                </c:pt>
                <c:pt idx="9">
                  <c:v>9923</c:v>
                </c:pt>
                <c:pt idx="10">
                  <c:v>14940</c:v>
                </c:pt>
                <c:pt idx="11">
                  <c:v>19870</c:v>
                </c:pt>
                <c:pt idx="12">
                  <c:v>11178</c:v>
                </c:pt>
                <c:pt idx="13">
                  <c:v>9396</c:v>
                </c:pt>
                <c:pt idx="14">
                  <c:v>7480</c:v>
                </c:pt>
                <c:pt idx="15">
                  <c:v>8785</c:v>
                </c:pt>
                <c:pt idx="16">
                  <c:v>10600</c:v>
                </c:pt>
                <c:pt idx="17">
                  <c:v>10823</c:v>
                </c:pt>
                <c:pt idx="18">
                  <c:v>11160</c:v>
                </c:pt>
                <c:pt idx="19">
                  <c:v>12703</c:v>
                </c:pt>
                <c:pt idx="20">
                  <c:v>10337</c:v>
                </c:pt>
                <c:pt idx="21">
                  <c:v>7207</c:v>
                </c:pt>
                <c:pt idx="22">
                  <c:v>8990</c:v>
                </c:pt>
                <c:pt idx="23">
                  <c:v>7716</c:v>
                </c:pt>
                <c:pt idx="24">
                  <c:v>10577</c:v>
                </c:pt>
                <c:pt idx="25">
                  <c:v>11436</c:v>
                </c:pt>
                <c:pt idx="26">
                  <c:v>9256</c:v>
                </c:pt>
                <c:pt idx="27">
                  <c:v>8005</c:v>
                </c:pt>
                <c:pt idx="28">
                  <c:v>9624</c:v>
                </c:pt>
                <c:pt idx="29">
                  <c:v>9503</c:v>
                </c:pt>
                <c:pt idx="30">
                  <c:v>11136</c:v>
                </c:pt>
                <c:pt idx="31">
                  <c:v>10072</c:v>
                </c:pt>
                <c:pt idx="32">
                  <c:v>7461</c:v>
                </c:pt>
                <c:pt idx="33">
                  <c:v>5921</c:v>
                </c:pt>
                <c:pt idx="34">
                  <c:v>4713</c:v>
                </c:pt>
                <c:pt idx="35">
                  <c:v>5630</c:v>
                </c:pt>
                <c:pt idx="36">
                  <c:v>13533</c:v>
                </c:pt>
                <c:pt idx="37">
                  <c:v>13139</c:v>
                </c:pt>
                <c:pt idx="38">
                  <c:v>13028</c:v>
                </c:pt>
                <c:pt idx="39">
                  <c:v>12095</c:v>
                </c:pt>
                <c:pt idx="40">
                  <c:v>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497-B340-73CFC16991A9}"/>
            </c:ext>
          </c:extLst>
        </c:ser>
        <c:ser>
          <c:idx val="1"/>
          <c:order val="1"/>
          <c:tx>
            <c:strRef>
              <c:f>'TBC3'!$D$53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'TBC3'!$D$54:$D$94</c:f>
              <c:numCache>
                <c:formatCode>General</c:formatCode>
                <c:ptCount val="41"/>
                <c:pt idx="0">
                  <c:v>44907</c:v>
                </c:pt>
                <c:pt idx="1">
                  <c:v>44022</c:v>
                </c:pt>
                <c:pt idx="2">
                  <c:v>45205</c:v>
                </c:pt>
                <c:pt idx="3">
                  <c:v>45574</c:v>
                </c:pt>
                <c:pt idx="4">
                  <c:v>46930</c:v>
                </c:pt>
                <c:pt idx="5">
                  <c:v>47384</c:v>
                </c:pt>
                <c:pt idx="6">
                  <c:v>45171</c:v>
                </c:pt>
                <c:pt idx="7">
                  <c:v>41460</c:v>
                </c:pt>
                <c:pt idx="8">
                  <c:v>42574</c:v>
                </c:pt>
                <c:pt idx="9">
                  <c:v>46162</c:v>
                </c:pt>
                <c:pt idx="10">
                  <c:v>51114</c:v>
                </c:pt>
                <c:pt idx="11">
                  <c:v>56055</c:v>
                </c:pt>
                <c:pt idx="12">
                  <c:v>51043</c:v>
                </c:pt>
                <c:pt idx="13">
                  <c:v>48149</c:v>
                </c:pt>
                <c:pt idx="14">
                  <c:v>45584</c:v>
                </c:pt>
                <c:pt idx="15">
                  <c:v>46304</c:v>
                </c:pt>
                <c:pt idx="16">
                  <c:v>48987</c:v>
                </c:pt>
                <c:pt idx="17">
                  <c:v>49026</c:v>
                </c:pt>
                <c:pt idx="18">
                  <c:v>47842</c:v>
                </c:pt>
                <c:pt idx="19">
                  <c:v>48972</c:v>
                </c:pt>
                <c:pt idx="20">
                  <c:v>46407</c:v>
                </c:pt>
                <c:pt idx="21">
                  <c:v>42761</c:v>
                </c:pt>
                <c:pt idx="22">
                  <c:v>44336</c:v>
                </c:pt>
                <c:pt idx="23">
                  <c:v>43905</c:v>
                </c:pt>
                <c:pt idx="24">
                  <c:v>45917</c:v>
                </c:pt>
                <c:pt idx="25">
                  <c:v>45671</c:v>
                </c:pt>
                <c:pt idx="26">
                  <c:v>43261</c:v>
                </c:pt>
                <c:pt idx="27">
                  <c:v>41140</c:v>
                </c:pt>
                <c:pt idx="28">
                  <c:v>42456</c:v>
                </c:pt>
                <c:pt idx="29">
                  <c:v>43498</c:v>
                </c:pt>
                <c:pt idx="30">
                  <c:v>45975</c:v>
                </c:pt>
                <c:pt idx="31">
                  <c:v>45358</c:v>
                </c:pt>
                <c:pt idx="32">
                  <c:v>40346</c:v>
                </c:pt>
                <c:pt idx="33">
                  <c:v>37393</c:v>
                </c:pt>
                <c:pt idx="34">
                  <c:v>35301</c:v>
                </c:pt>
                <c:pt idx="35">
                  <c:v>35876</c:v>
                </c:pt>
                <c:pt idx="36">
                  <c:v>45195</c:v>
                </c:pt>
                <c:pt idx="37">
                  <c:v>47248</c:v>
                </c:pt>
                <c:pt idx="38">
                  <c:v>47920</c:v>
                </c:pt>
                <c:pt idx="39">
                  <c:v>46484</c:v>
                </c:pt>
                <c:pt idx="40">
                  <c:v>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4497-B340-73CFC169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1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'TBC3'!$AA$54:$AA$94</c:f>
              <c:numCache>
                <c:formatCode>0.00%</c:formatCode>
                <c:ptCount val="41"/>
                <c:pt idx="0">
                  <c:v>9.0750919372059001E-3</c:v>
                </c:pt>
                <c:pt idx="1">
                  <c:v>8.2798554252415703E-3</c:v>
                </c:pt>
                <c:pt idx="2">
                  <c:v>7.5200954534036697E-3</c:v>
                </c:pt>
                <c:pt idx="3">
                  <c:v>6.3393948106087797E-3</c:v>
                </c:pt>
                <c:pt idx="4">
                  <c:v>6.2798329355608596E-3</c:v>
                </c:pt>
                <c:pt idx="5">
                  <c:v>5.6446779746059201E-3</c:v>
                </c:pt>
                <c:pt idx="6">
                  <c:v>5.5989141499830303E-3</c:v>
                </c:pt>
                <c:pt idx="7">
                  <c:v>8.3102930721225994E-3</c:v>
                </c:pt>
                <c:pt idx="8">
                  <c:v>7.5848427741523504E-3</c:v>
                </c:pt>
                <c:pt idx="9">
                  <c:v>6.0790273556231003E-3</c:v>
                </c:pt>
                <c:pt idx="10">
                  <c:v>6.5052262546257201E-3</c:v>
                </c:pt>
                <c:pt idx="11">
                  <c:v>5.1135968873758098E-3</c:v>
                </c:pt>
                <c:pt idx="12">
                  <c:v>5.7953424865356904E-3</c:v>
                </c:pt>
                <c:pt idx="13">
                  <c:v>6.2581355762491202E-3</c:v>
                </c:pt>
                <c:pt idx="14">
                  <c:v>7.7977810341218297E-3</c:v>
                </c:pt>
                <c:pt idx="15">
                  <c:v>7.5486554492391403E-3</c:v>
                </c:pt>
                <c:pt idx="16">
                  <c:v>7.57377049180328E-3</c:v>
                </c:pt>
                <c:pt idx="17">
                  <c:v>7.1370537350050204E-3</c:v>
                </c:pt>
                <c:pt idx="18">
                  <c:v>5.9307535641547901E-3</c:v>
                </c:pt>
                <c:pt idx="19">
                  <c:v>5.7515083206258703E-3</c:v>
                </c:pt>
                <c:pt idx="20">
                  <c:v>6.0239950192666897E-3</c:v>
                </c:pt>
                <c:pt idx="21">
                  <c:v>7.5957132031898404E-3</c:v>
                </c:pt>
                <c:pt idx="22">
                  <c:v>7.2043608082772003E-3</c:v>
                </c:pt>
                <c:pt idx="23">
                  <c:v>7.2285846740268904E-3</c:v>
                </c:pt>
                <c:pt idx="24">
                  <c:v>7.1743169774963903E-3</c:v>
                </c:pt>
                <c:pt idx="25">
                  <c:v>6.08304221631298E-3</c:v>
                </c:pt>
                <c:pt idx="26">
                  <c:v>6.2391745665170504E-3</c:v>
                </c:pt>
                <c:pt idx="27">
                  <c:v>5.9142912546053901E-3</c:v>
                </c:pt>
                <c:pt idx="28">
                  <c:v>8.4689882546878197E-3</c:v>
                </c:pt>
                <c:pt idx="29">
                  <c:v>8.2872368447713396E-3</c:v>
                </c:pt>
                <c:pt idx="30">
                  <c:v>8.4816674273543308E-3</c:v>
                </c:pt>
                <c:pt idx="31">
                  <c:v>7.31476656437574E-3</c:v>
                </c:pt>
                <c:pt idx="32">
                  <c:v>6.1084296328933899E-3</c:v>
                </c:pt>
                <c:pt idx="33">
                  <c:v>6.6757996825189698E-3</c:v>
                </c:pt>
                <c:pt idx="34">
                  <c:v>6.7241933262955E-3</c:v>
                </c:pt>
                <c:pt idx="35">
                  <c:v>9.9758232988287204E-3</c:v>
                </c:pt>
                <c:pt idx="36">
                  <c:v>9.2865802054026905E-3</c:v>
                </c:pt>
                <c:pt idx="37">
                  <c:v>7.5162740755654002E-3</c:v>
                </c:pt>
                <c:pt idx="38">
                  <c:v>8.0568168587728493E-3</c:v>
                </c:pt>
                <c:pt idx="39">
                  <c:v>7.4057394480722596E-3</c:v>
                </c:pt>
                <c:pt idx="40">
                  <c:v>7.1703524794324101E-3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793-AC1F-D0D31CD5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1"/>
        <c:lblOffset val="100"/>
        <c:baseTimeUnit val="days"/>
      </c:dateAx>
      <c:valAx>
        <c:axId val="377735824"/>
        <c:scaling>
          <c:orientation val="minMax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'TBC3'!$AB$54:$AB$94</c:f>
              <c:numCache>
                <c:formatCode>0.0000</c:formatCode>
                <c:ptCount val="41"/>
                <c:pt idx="0">
                  <c:v>0.11364269049784501</c:v>
                </c:pt>
                <c:pt idx="1">
                  <c:v>0.11102954193405599</c:v>
                </c:pt>
                <c:pt idx="2">
                  <c:v>8.6662898769153507E-2</c:v>
                </c:pt>
                <c:pt idx="3">
                  <c:v>7.1391073097103394E-2</c:v>
                </c:pt>
                <c:pt idx="4">
                  <c:v>5.68908114558472E-2</c:v>
                </c:pt>
                <c:pt idx="5">
                  <c:v>4.8812666378625497E-2</c:v>
                </c:pt>
                <c:pt idx="6">
                  <c:v>4.8288230969347402E-2</c:v>
                </c:pt>
                <c:pt idx="7">
                  <c:v>0.101113832056245</c:v>
                </c:pt>
                <c:pt idx="8">
                  <c:v>0.108783310230972</c:v>
                </c:pt>
                <c:pt idx="9">
                  <c:v>7.8167662665498905E-2</c:v>
                </c:pt>
                <c:pt idx="10">
                  <c:v>7.0815036031941794E-2</c:v>
                </c:pt>
                <c:pt idx="11">
                  <c:v>4.4948516640033298E-2</c:v>
                </c:pt>
                <c:pt idx="12">
                  <c:v>4.9074110596980997E-2</c:v>
                </c:pt>
                <c:pt idx="13">
                  <c:v>4.9409732652448198E-2</c:v>
                </c:pt>
                <c:pt idx="14">
                  <c:v>0.10043210522643201</c:v>
                </c:pt>
                <c:pt idx="15">
                  <c:v>9.3252768696187996E-2</c:v>
                </c:pt>
                <c:pt idx="16">
                  <c:v>7.7090491803278705E-2</c:v>
                </c:pt>
                <c:pt idx="17">
                  <c:v>6.1666693218205899E-2</c:v>
                </c:pt>
                <c:pt idx="18">
                  <c:v>5.1809205702647597E-2</c:v>
                </c:pt>
                <c:pt idx="19">
                  <c:v>5.3571902141483801E-2</c:v>
                </c:pt>
                <c:pt idx="20">
                  <c:v>5.2234935805751399E-2</c:v>
                </c:pt>
                <c:pt idx="21">
                  <c:v>0.105485692635225</c:v>
                </c:pt>
                <c:pt idx="22">
                  <c:v>8.3132074161516495E-2</c:v>
                </c:pt>
                <c:pt idx="23">
                  <c:v>6.8251747051046502E-2</c:v>
                </c:pt>
                <c:pt idx="24">
                  <c:v>7.0332908953272294E-2</c:v>
                </c:pt>
                <c:pt idx="25">
                  <c:v>5.5597789248657402E-2</c:v>
                </c:pt>
                <c:pt idx="26">
                  <c:v>6.6401765593280301E-2</c:v>
                </c:pt>
                <c:pt idx="27">
                  <c:v>5.5471204188481699E-2</c:v>
                </c:pt>
                <c:pt idx="28">
                  <c:v>0.110935297753967</c:v>
                </c:pt>
                <c:pt idx="29">
                  <c:v>8.9820274350090198E-2</c:v>
                </c:pt>
                <c:pt idx="30">
                  <c:v>9.4582192301840798E-2</c:v>
                </c:pt>
                <c:pt idx="31">
                  <c:v>9.9066257502943303E-2</c:v>
                </c:pt>
                <c:pt idx="32">
                  <c:v>8.0994572510063895E-2</c:v>
                </c:pt>
                <c:pt idx="33">
                  <c:v>5.8901211211864202E-2</c:v>
                </c:pt>
                <c:pt idx="34">
                  <c:v>5.7302978840593002E-2</c:v>
                </c:pt>
                <c:pt idx="35">
                  <c:v>0.110784686524423</c:v>
                </c:pt>
                <c:pt idx="36">
                  <c:v>0.104309796655916</c:v>
                </c:pt>
                <c:pt idx="37">
                  <c:v>8.0356351922689806E-2</c:v>
                </c:pt>
                <c:pt idx="38">
                  <c:v>7.9453719874257797E-2</c:v>
                </c:pt>
                <c:pt idx="39">
                  <c:v>5.8343966574094901E-2</c:v>
                </c:pt>
                <c:pt idx="40">
                  <c:v>5.4723878531713094E-2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2B9-8E68-B769EE93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1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'TBC3'!$Z$54:$Z$94</c:f>
              <c:numCache>
                <c:formatCode>0.00</c:formatCode>
                <c:ptCount val="41"/>
                <c:pt idx="0">
                  <c:v>13.0608762703152</c:v>
                </c:pt>
                <c:pt idx="1">
                  <c:v>12.098841926679899</c:v>
                </c:pt>
                <c:pt idx="2">
                  <c:v>11.1871075106757</c:v>
                </c:pt>
                <c:pt idx="3">
                  <c:v>10.1601667505211</c:v>
                </c:pt>
                <c:pt idx="4">
                  <c:v>9.53013126491647</c:v>
                </c:pt>
                <c:pt idx="5">
                  <c:v>8.7828959288631197</c:v>
                </c:pt>
                <c:pt idx="6">
                  <c:v>8.6920879990951203</c:v>
                </c:pt>
                <c:pt idx="7">
                  <c:v>12.237664902441001</c:v>
                </c:pt>
                <c:pt idx="8">
                  <c:v>11.254146744124499</c:v>
                </c:pt>
                <c:pt idx="9">
                  <c:v>10.1768198444181</c:v>
                </c:pt>
                <c:pt idx="10">
                  <c:v>10.006972667662099</c:v>
                </c:pt>
                <c:pt idx="11">
                  <c:v>9.1782255262975099</c:v>
                </c:pt>
                <c:pt idx="12">
                  <c:v>9.27722066297504</c:v>
                </c:pt>
                <c:pt idx="13">
                  <c:v>9.3388071159173602</c:v>
                </c:pt>
                <c:pt idx="14">
                  <c:v>12.767898262507799</c:v>
                </c:pt>
                <c:pt idx="15">
                  <c:v>11.9331233631742</c:v>
                </c:pt>
                <c:pt idx="16">
                  <c:v>11.7779016393443</c:v>
                </c:pt>
                <c:pt idx="17">
                  <c:v>10.6420480795272</c:v>
                </c:pt>
                <c:pt idx="18">
                  <c:v>9.3692382892057005</c:v>
                </c:pt>
                <c:pt idx="19">
                  <c:v>8.9843863952794507</c:v>
                </c:pt>
                <c:pt idx="20">
                  <c:v>8.8890272425920003</c:v>
                </c:pt>
                <c:pt idx="21">
                  <c:v>12.3366109767979</c:v>
                </c:pt>
                <c:pt idx="22">
                  <c:v>11.5400319422262</c:v>
                </c:pt>
                <c:pt idx="23">
                  <c:v>11.5568585704229</c:v>
                </c:pt>
                <c:pt idx="24">
                  <c:v>10.718240313811901</c:v>
                </c:pt>
                <c:pt idx="25">
                  <c:v>9.1131272051027992</c:v>
                </c:pt>
                <c:pt idx="26">
                  <c:v>9.2256160020859301</c:v>
                </c:pt>
                <c:pt idx="27">
                  <c:v>8.8181888694977708</c:v>
                </c:pt>
                <c:pt idx="28">
                  <c:v>12.677271790644999</c:v>
                </c:pt>
                <c:pt idx="29">
                  <c:v>12.0008307499038</c:v>
                </c:pt>
                <c:pt idx="30">
                  <c:v>11.3977825954663</c:v>
                </c:pt>
                <c:pt idx="31">
                  <c:v>10.2137108447687</c:v>
                </c:pt>
                <c:pt idx="32">
                  <c:v>9.1507480322845502</c:v>
                </c:pt>
                <c:pt idx="33">
                  <c:v>9.5161023767586492</c:v>
                </c:pt>
                <c:pt idx="34">
                  <c:v>9.1997291963097307</c:v>
                </c:pt>
                <c:pt idx="35">
                  <c:v>13.2412975612046</c:v>
                </c:pt>
                <c:pt idx="36">
                  <c:v>12.3979505478167</c:v>
                </c:pt>
                <c:pt idx="37">
                  <c:v>11.918707916694601</c:v>
                </c:pt>
                <c:pt idx="38">
                  <c:v>11.292490394690899</c:v>
                </c:pt>
                <c:pt idx="39">
                  <c:v>9.7495308864369896</c:v>
                </c:pt>
                <c:pt idx="40">
                  <c:v>9.3860417138400383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8FE-8938-2DFF11E4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1"/>
        <c:lblOffset val="100"/>
        <c:baseTimeUnit val="days"/>
      </c:dateAx>
      <c:valAx>
        <c:axId val="378366240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'TBC3'!$M$54:$M$92</c:f>
              <c:numCache>
                <c:formatCode>General</c:formatCode>
                <c:ptCount val="39"/>
                <c:pt idx="0">
                  <c:v>5.7850000000000001</c:v>
                </c:pt>
                <c:pt idx="1">
                  <c:v>5.4509999999999996</c:v>
                </c:pt>
                <c:pt idx="2">
                  <c:v>4.827</c:v>
                </c:pt>
                <c:pt idx="3">
                  <c:v>4.7789999999999999</c:v>
                </c:pt>
                <c:pt idx="4">
                  <c:v>4.7619999999999996</c:v>
                </c:pt>
                <c:pt idx="5">
                  <c:v>4.742</c:v>
                </c:pt>
                <c:pt idx="6">
                  <c:v>4.4059999999999997</c:v>
                </c:pt>
                <c:pt idx="7">
                  <c:v>4.3769999999999998</c:v>
                </c:pt>
                <c:pt idx="8">
                  <c:v>5.1260000000000003</c:v>
                </c:pt>
                <c:pt idx="9">
                  <c:v>5.1139999999999999</c:v>
                </c:pt>
                <c:pt idx="10">
                  <c:v>5.335</c:v>
                </c:pt>
                <c:pt idx="11">
                  <c:v>4.8529999999999998</c:v>
                </c:pt>
                <c:pt idx="12">
                  <c:v>5.2089999999999996</c:v>
                </c:pt>
                <c:pt idx="13">
                  <c:v>4.5609999999999999</c:v>
                </c:pt>
                <c:pt idx="14">
                  <c:v>5.6879999999999997</c:v>
                </c:pt>
                <c:pt idx="15">
                  <c:v>5.6710000000000003</c:v>
                </c:pt>
                <c:pt idx="16">
                  <c:v>4.9740000000000002</c:v>
                </c:pt>
                <c:pt idx="17">
                  <c:v>4.0190000000000001</c:v>
                </c:pt>
                <c:pt idx="18">
                  <c:v>4.55</c:v>
                </c:pt>
                <c:pt idx="19">
                  <c:v>5.1890000000000001</c:v>
                </c:pt>
                <c:pt idx="20">
                  <c:v>4.4980000000000002</c:v>
                </c:pt>
                <c:pt idx="21">
                  <c:v>5</c:v>
                </c:pt>
                <c:pt idx="22">
                  <c:v>4.7729999999999997</c:v>
                </c:pt>
                <c:pt idx="23">
                  <c:v>4.7889999999999997</c:v>
                </c:pt>
                <c:pt idx="24">
                  <c:v>4.4909999999999997</c:v>
                </c:pt>
                <c:pt idx="25">
                  <c:v>5.2590000000000003</c:v>
                </c:pt>
                <c:pt idx="26">
                  <c:v>4.6310000000000002</c:v>
                </c:pt>
                <c:pt idx="27">
                  <c:v>4.4740000000000002</c:v>
                </c:pt>
                <c:pt idx="28">
                  <c:v>5.1950000000000003</c:v>
                </c:pt>
                <c:pt idx="29">
                  <c:v>4.7050000000000001</c:v>
                </c:pt>
                <c:pt idx="30">
                  <c:v>5.0490000000000004</c:v>
                </c:pt>
                <c:pt idx="31">
                  <c:v>5.2380000000000004</c:v>
                </c:pt>
                <c:pt idx="32">
                  <c:v>5.226</c:v>
                </c:pt>
                <c:pt idx="33">
                  <c:v>5.9989999999999997</c:v>
                </c:pt>
                <c:pt idx="34">
                  <c:v>5.2119999999999997</c:v>
                </c:pt>
                <c:pt idx="35">
                  <c:v>5.96</c:v>
                </c:pt>
                <c:pt idx="36">
                  <c:v>7.2910000000000004</c:v>
                </c:pt>
                <c:pt idx="37">
                  <c:v>7.0519999999999996</c:v>
                </c:pt>
                <c:pt idx="38">
                  <c:v>6.7220000000000004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5E0-80F6-6F8411EF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'TBC3'!$AC$54:$AC$92</c:f>
              <c:numCache>
                <c:formatCode>0.0000</c:formatCode>
                <c:ptCount val="39"/>
                <c:pt idx="0">
                  <c:v>6.1390000000000002</c:v>
                </c:pt>
                <c:pt idx="1">
                  <c:v>6.5049999999999999</c:v>
                </c:pt>
                <c:pt idx="2">
                  <c:v>6.2859999999999996</c:v>
                </c:pt>
                <c:pt idx="3">
                  <c:v>5.9</c:v>
                </c:pt>
                <c:pt idx="4">
                  <c:v>5.4740000000000002</c:v>
                </c:pt>
                <c:pt idx="5">
                  <c:v>5.2149999999999999</c:v>
                </c:pt>
                <c:pt idx="6">
                  <c:v>6.2690000000000001</c:v>
                </c:pt>
                <c:pt idx="7">
                  <c:v>6.82</c:v>
                </c:pt>
                <c:pt idx="8">
                  <c:v>6.5549999999999997</c:v>
                </c:pt>
                <c:pt idx="9">
                  <c:v>5.8860000000000001</c:v>
                </c:pt>
                <c:pt idx="10">
                  <c:v>5.4189999999999996</c:v>
                </c:pt>
                <c:pt idx="11">
                  <c:v>5.8129999999999997</c:v>
                </c:pt>
                <c:pt idx="12">
                  <c:v>5.6050000000000004</c:v>
                </c:pt>
                <c:pt idx="13">
                  <c:v>6.3010000000000002</c:v>
                </c:pt>
                <c:pt idx="14">
                  <c:v>5.9550000000000001</c:v>
                </c:pt>
                <c:pt idx="15">
                  <c:v>7.2089999999999996</c:v>
                </c:pt>
                <c:pt idx="16">
                  <c:v>6.2279999999999998</c:v>
                </c:pt>
                <c:pt idx="17">
                  <c:v>5.8209999999999997</c:v>
                </c:pt>
                <c:pt idx="18">
                  <c:v>5.3639999999999999</c:v>
                </c:pt>
                <c:pt idx="19">
                  <c:v>6.02</c:v>
                </c:pt>
                <c:pt idx="20">
                  <c:v>5.7350000000000003</c:v>
                </c:pt>
                <c:pt idx="21">
                  <c:v>6.0949999999999998</c:v>
                </c:pt>
                <c:pt idx="22">
                  <c:v>5.7709999999999999</c:v>
                </c:pt>
                <c:pt idx="23">
                  <c:v>5.9180000000000001</c:v>
                </c:pt>
                <c:pt idx="24">
                  <c:v>6.3760000000000003</c:v>
                </c:pt>
                <c:pt idx="25">
                  <c:v>6.4240000000000004</c:v>
                </c:pt>
                <c:pt idx="26">
                  <c:v>5.2060000000000004</c:v>
                </c:pt>
                <c:pt idx="27">
                  <c:v>5.75</c:v>
                </c:pt>
                <c:pt idx="28">
                  <c:v>5.4560000000000004</c:v>
                </c:pt>
                <c:pt idx="29">
                  <c:v>6.5949999999999998</c:v>
                </c:pt>
                <c:pt idx="30">
                  <c:v>6.452</c:v>
                </c:pt>
                <c:pt idx="31">
                  <c:v>5.94</c:v>
                </c:pt>
                <c:pt idx="32">
                  <c:v>6.6509999999999998</c:v>
                </c:pt>
                <c:pt idx="33">
                  <c:v>6.9459999999999997</c:v>
                </c:pt>
                <c:pt idx="34">
                  <c:v>5.3440000000000003</c:v>
                </c:pt>
                <c:pt idx="35">
                  <c:v>4.7699999999999996</c:v>
                </c:pt>
                <c:pt idx="36">
                  <c:v>5.5780000000000003</c:v>
                </c:pt>
                <c:pt idx="37">
                  <c:v>5.1029999999999998</c:v>
                </c:pt>
                <c:pt idx="38">
                  <c:v>6.7190000000000003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EF1-B916-49F5F66E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'TBC3'!$E$54:$E$94</c:f>
              <c:numCache>
                <c:formatCode>0.0%</c:formatCode>
                <c:ptCount val="41"/>
                <c:pt idx="0">
                  <c:v>0.25600000000000001</c:v>
                </c:pt>
                <c:pt idx="1">
                  <c:v>0.26600000000000001</c:v>
                </c:pt>
                <c:pt idx="2">
                  <c:v>0.28599999999999998</c:v>
                </c:pt>
                <c:pt idx="3">
                  <c:v>0.28499999999999998</c:v>
                </c:pt>
                <c:pt idx="4">
                  <c:v>0.27400000000000002</c:v>
                </c:pt>
                <c:pt idx="5">
                  <c:v>0.26600000000000001</c:v>
                </c:pt>
                <c:pt idx="6">
                  <c:v>0.254</c:v>
                </c:pt>
                <c:pt idx="7">
                  <c:v>0.26700000000000002</c:v>
                </c:pt>
                <c:pt idx="8">
                  <c:v>0.27400000000000002</c:v>
                </c:pt>
                <c:pt idx="9">
                  <c:v>0.25800000000000001</c:v>
                </c:pt>
                <c:pt idx="10">
                  <c:v>0.26</c:v>
                </c:pt>
                <c:pt idx="11">
                  <c:v>0.38800000000000001</c:v>
                </c:pt>
                <c:pt idx="12">
                  <c:v>0.32100000000000001</c:v>
                </c:pt>
                <c:pt idx="13">
                  <c:v>0.312</c:v>
                </c:pt>
                <c:pt idx="14">
                  <c:v>0.29799999999999999</c:v>
                </c:pt>
                <c:pt idx="15">
                  <c:v>0.311</c:v>
                </c:pt>
                <c:pt idx="16">
                  <c:v>0.28999999999999998</c:v>
                </c:pt>
                <c:pt idx="17">
                  <c:v>0.28100000000000003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0.246</c:v>
                </c:pt>
                <c:pt idx="21">
                  <c:v>0.245</c:v>
                </c:pt>
                <c:pt idx="22">
                  <c:v>0.252</c:v>
                </c:pt>
                <c:pt idx="23">
                  <c:v>0.25900000000000001</c:v>
                </c:pt>
                <c:pt idx="24">
                  <c:v>0.27200000000000002</c:v>
                </c:pt>
                <c:pt idx="25">
                  <c:v>0.248</c:v>
                </c:pt>
                <c:pt idx="26">
                  <c:v>0.26200000000000001</c:v>
                </c:pt>
                <c:pt idx="27">
                  <c:v>0.254</c:v>
                </c:pt>
                <c:pt idx="28">
                  <c:v>0.25600000000000001</c:v>
                </c:pt>
                <c:pt idx="29">
                  <c:v>0.25700000000000001</c:v>
                </c:pt>
                <c:pt idx="30">
                  <c:v>0.26700000000000002</c:v>
                </c:pt>
                <c:pt idx="31">
                  <c:v>0.248</c:v>
                </c:pt>
                <c:pt idx="32">
                  <c:v>0.255</c:v>
                </c:pt>
                <c:pt idx="33">
                  <c:v>0.27300000000000002</c:v>
                </c:pt>
                <c:pt idx="34">
                  <c:v>0.27300000000000002</c:v>
                </c:pt>
                <c:pt idx="35">
                  <c:v>0.29399999999999998</c:v>
                </c:pt>
                <c:pt idx="36">
                  <c:v>0.26400000000000001</c:v>
                </c:pt>
                <c:pt idx="37">
                  <c:v>0.28799999999999998</c:v>
                </c:pt>
                <c:pt idx="38">
                  <c:v>0.29499999999999998</c:v>
                </c:pt>
                <c:pt idx="39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122-941D-8A9B4A5A8349}"/>
            </c:ext>
          </c:extLst>
        </c:ser>
        <c:ser>
          <c:idx val="1"/>
          <c:order val="1"/>
          <c:tx>
            <c:strRef>
              <c:f>'TBC3'!$F$53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'TBC3'!$F$54:$F$94</c:f>
              <c:numCache>
                <c:formatCode>0.0%</c:formatCode>
                <c:ptCount val="41"/>
                <c:pt idx="0">
                  <c:v>0.125</c:v>
                </c:pt>
                <c:pt idx="1">
                  <c:v>0.13200000000000001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0.121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0.13900000000000001</c:v>
                </c:pt>
                <c:pt idx="9">
                  <c:v>0.11899999999999999</c:v>
                </c:pt>
                <c:pt idx="10">
                  <c:v>0.124</c:v>
                </c:pt>
                <c:pt idx="11">
                  <c:v>0.20300000000000001</c:v>
                </c:pt>
                <c:pt idx="12">
                  <c:v>0.159</c:v>
                </c:pt>
                <c:pt idx="13">
                  <c:v>0.161</c:v>
                </c:pt>
                <c:pt idx="14">
                  <c:v>0.14899999999999999</c:v>
                </c:pt>
                <c:pt idx="15">
                  <c:v>0.14199999999999999</c:v>
                </c:pt>
                <c:pt idx="16">
                  <c:v>0.14499999999999999</c:v>
                </c:pt>
                <c:pt idx="17">
                  <c:v>0.13900000000000001</c:v>
                </c:pt>
                <c:pt idx="18">
                  <c:v>0.128</c:v>
                </c:pt>
                <c:pt idx="19">
                  <c:v>0.127</c:v>
                </c:pt>
                <c:pt idx="20">
                  <c:v>0.122</c:v>
                </c:pt>
                <c:pt idx="21">
                  <c:v>0.122</c:v>
                </c:pt>
                <c:pt idx="22">
                  <c:v>0.114</c:v>
                </c:pt>
                <c:pt idx="23">
                  <c:v>0.13100000000000001</c:v>
                </c:pt>
                <c:pt idx="24">
                  <c:v>0.124</c:v>
                </c:pt>
                <c:pt idx="25">
                  <c:v>0.11600000000000001</c:v>
                </c:pt>
                <c:pt idx="26">
                  <c:v>0.124</c:v>
                </c:pt>
                <c:pt idx="27">
                  <c:v>0.129</c:v>
                </c:pt>
                <c:pt idx="28">
                  <c:v>0.126</c:v>
                </c:pt>
                <c:pt idx="29">
                  <c:v>0.123</c:v>
                </c:pt>
                <c:pt idx="30">
                  <c:v>0.11799999999999999</c:v>
                </c:pt>
                <c:pt idx="31">
                  <c:v>0.11899999999999999</c:v>
                </c:pt>
                <c:pt idx="32">
                  <c:v>0.13100000000000001</c:v>
                </c:pt>
                <c:pt idx="33">
                  <c:v>0.127</c:v>
                </c:pt>
                <c:pt idx="34">
                  <c:v>0.14199999999999999</c:v>
                </c:pt>
                <c:pt idx="35">
                  <c:v>0.128</c:v>
                </c:pt>
                <c:pt idx="36">
                  <c:v>0.13</c:v>
                </c:pt>
                <c:pt idx="37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F-4122-941D-8A9B4A5A8349}"/>
            </c:ext>
          </c:extLst>
        </c:ser>
        <c:ser>
          <c:idx val="2"/>
          <c:order val="2"/>
          <c:tx>
            <c:strRef>
              <c:f>'TBC3'!$G$53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>
              <a:solidFill>
                <a:schemeClr val="accent1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'TBC3'!$G$54:$G$94</c:f>
              <c:numCache>
                <c:formatCode>0.0%</c:formatCode>
                <c:ptCount val="41"/>
                <c:pt idx="0">
                  <c:v>6.6000000000000003E-2</c:v>
                </c:pt>
                <c:pt idx="1">
                  <c:v>7.6999999999999999E-2</c:v>
                </c:pt>
                <c:pt idx="2">
                  <c:v>7.8E-2</c:v>
                </c:pt>
                <c:pt idx="3">
                  <c:v>7.3999999999999996E-2</c:v>
                </c:pt>
                <c:pt idx="4">
                  <c:v>7.0999999999999994E-2</c:v>
                </c:pt>
                <c:pt idx="5">
                  <c:v>6.3E-2</c:v>
                </c:pt>
                <c:pt idx="6">
                  <c:v>6.4000000000000001E-2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6.6000000000000003E-2</c:v>
                </c:pt>
                <c:pt idx="10">
                  <c:v>6.8000000000000005E-2</c:v>
                </c:pt>
                <c:pt idx="11">
                  <c:v>0.106</c:v>
                </c:pt>
                <c:pt idx="12">
                  <c:v>8.7999999999999995E-2</c:v>
                </c:pt>
                <c:pt idx="13">
                  <c:v>8.2000000000000003E-2</c:v>
                </c:pt>
                <c:pt idx="14">
                  <c:v>7.6999999999999999E-2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7.9000000000000001E-2</c:v>
                </c:pt>
                <c:pt idx="18">
                  <c:v>7.0000000000000007E-2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0.08</c:v>
                </c:pt>
                <c:pt idx="24">
                  <c:v>6.6000000000000003E-2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7.0999999999999994E-2</c:v>
                </c:pt>
                <c:pt idx="28">
                  <c:v>6.8000000000000005E-2</c:v>
                </c:pt>
                <c:pt idx="29">
                  <c:v>7.0000000000000007E-2</c:v>
                </c:pt>
                <c:pt idx="30">
                  <c:v>6.8000000000000005E-2</c:v>
                </c:pt>
                <c:pt idx="31">
                  <c:v>6.2E-2</c:v>
                </c:pt>
                <c:pt idx="32">
                  <c:v>6.6000000000000003E-2</c:v>
                </c:pt>
                <c:pt idx="3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F-4122-941D-8A9B4A5A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1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'TBC3'!$H$54:$H$94</c:f>
              <c:numCache>
                <c:formatCode>General</c:formatCode>
                <c:ptCount val="41"/>
                <c:pt idx="0">
                  <c:v>7.3</c:v>
                </c:pt>
                <c:pt idx="1">
                  <c:v>7.41</c:v>
                </c:pt>
                <c:pt idx="2">
                  <c:v>7.59</c:v>
                </c:pt>
                <c:pt idx="3">
                  <c:v>8.43</c:v>
                </c:pt>
                <c:pt idx="4">
                  <c:v>8.83</c:v>
                </c:pt>
                <c:pt idx="5">
                  <c:v>9.8000000000000007</c:v>
                </c:pt>
                <c:pt idx="6">
                  <c:v>8.67</c:v>
                </c:pt>
                <c:pt idx="7">
                  <c:v>7.8</c:v>
                </c:pt>
                <c:pt idx="8">
                  <c:v>8.23</c:v>
                </c:pt>
                <c:pt idx="9">
                  <c:v>8.51</c:v>
                </c:pt>
                <c:pt idx="10">
                  <c:v>8.8000000000000007</c:v>
                </c:pt>
                <c:pt idx="11">
                  <c:v>8.1300000000000008</c:v>
                </c:pt>
                <c:pt idx="12">
                  <c:v>8.32</c:v>
                </c:pt>
                <c:pt idx="13">
                  <c:v>7.85</c:v>
                </c:pt>
                <c:pt idx="14">
                  <c:v>6.85</c:v>
                </c:pt>
                <c:pt idx="15">
                  <c:v>7.18</c:v>
                </c:pt>
                <c:pt idx="16">
                  <c:v>7.38</c:v>
                </c:pt>
                <c:pt idx="17">
                  <c:v>8.33</c:v>
                </c:pt>
                <c:pt idx="18">
                  <c:v>8.8800000000000008</c:v>
                </c:pt>
                <c:pt idx="19">
                  <c:v>9.3699999999999992</c:v>
                </c:pt>
                <c:pt idx="20">
                  <c:v>8.56</c:v>
                </c:pt>
                <c:pt idx="21">
                  <c:v>7.36</c:v>
                </c:pt>
                <c:pt idx="22">
                  <c:v>7.64</c:v>
                </c:pt>
                <c:pt idx="23">
                  <c:v>7.57</c:v>
                </c:pt>
                <c:pt idx="24">
                  <c:v>8.19</c:v>
                </c:pt>
                <c:pt idx="25">
                  <c:v>8.68</c:v>
                </c:pt>
                <c:pt idx="26">
                  <c:v>9.14</c:v>
                </c:pt>
                <c:pt idx="27">
                  <c:v>8.7200000000000006</c:v>
                </c:pt>
                <c:pt idx="28">
                  <c:v>8.34</c:v>
                </c:pt>
                <c:pt idx="29">
                  <c:v>7.95</c:v>
                </c:pt>
                <c:pt idx="30">
                  <c:v>8.17</c:v>
                </c:pt>
                <c:pt idx="31">
                  <c:v>9.0399999999999991</c:v>
                </c:pt>
                <c:pt idx="32">
                  <c:v>9.7799999999999994</c:v>
                </c:pt>
                <c:pt idx="33">
                  <c:v>9.6199999999999992</c:v>
                </c:pt>
                <c:pt idx="34">
                  <c:v>8.93</c:v>
                </c:pt>
                <c:pt idx="35">
                  <c:v>8.57</c:v>
                </c:pt>
                <c:pt idx="36">
                  <c:v>10.119999999999999</c:v>
                </c:pt>
                <c:pt idx="37">
                  <c:v>10.41</c:v>
                </c:pt>
                <c:pt idx="38">
                  <c:v>12.69</c:v>
                </c:pt>
                <c:pt idx="39">
                  <c:v>13.6</c:v>
                </c:pt>
                <c:pt idx="40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387-B8D1-270E9CB44982}"/>
            </c:ext>
          </c:extLst>
        </c:ser>
        <c:ser>
          <c:idx val="1"/>
          <c:order val="1"/>
          <c:tx>
            <c:strRef>
              <c:f>'TBC3'!$I$53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'TBC3'!$I$54:$I$94</c:f>
              <c:numCache>
                <c:formatCode>General</c:formatCode>
                <c:ptCount val="41"/>
                <c:pt idx="0">
                  <c:v>11.25</c:v>
                </c:pt>
                <c:pt idx="1">
                  <c:v>11.46</c:v>
                </c:pt>
                <c:pt idx="2">
                  <c:v>11.42</c:v>
                </c:pt>
                <c:pt idx="3">
                  <c:v>12.17</c:v>
                </c:pt>
                <c:pt idx="4">
                  <c:v>13.42</c:v>
                </c:pt>
                <c:pt idx="5">
                  <c:v>14.97</c:v>
                </c:pt>
                <c:pt idx="6">
                  <c:v>13.38</c:v>
                </c:pt>
                <c:pt idx="7">
                  <c:v>12.45</c:v>
                </c:pt>
                <c:pt idx="8">
                  <c:v>13.24</c:v>
                </c:pt>
                <c:pt idx="9">
                  <c:v>14.44</c:v>
                </c:pt>
                <c:pt idx="10">
                  <c:v>15.35</c:v>
                </c:pt>
                <c:pt idx="11">
                  <c:v>15.08</c:v>
                </c:pt>
                <c:pt idx="12">
                  <c:v>14.36</c:v>
                </c:pt>
                <c:pt idx="13">
                  <c:v>13.2</c:v>
                </c:pt>
                <c:pt idx="14">
                  <c:v>11.9</c:v>
                </c:pt>
                <c:pt idx="15">
                  <c:v>12.44</c:v>
                </c:pt>
                <c:pt idx="16">
                  <c:v>12.43</c:v>
                </c:pt>
                <c:pt idx="17">
                  <c:v>13.83</c:v>
                </c:pt>
                <c:pt idx="18">
                  <c:v>14.16</c:v>
                </c:pt>
                <c:pt idx="19">
                  <c:v>15.23</c:v>
                </c:pt>
                <c:pt idx="20">
                  <c:v>13.7</c:v>
                </c:pt>
                <c:pt idx="21">
                  <c:v>12.15</c:v>
                </c:pt>
                <c:pt idx="22">
                  <c:v>12.2</c:v>
                </c:pt>
                <c:pt idx="23">
                  <c:v>12.49</c:v>
                </c:pt>
                <c:pt idx="24">
                  <c:v>14.58</c:v>
                </c:pt>
                <c:pt idx="25">
                  <c:v>16.309999999999999</c:v>
                </c:pt>
                <c:pt idx="26">
                  <c:v>17.649999999999999</c:v>
                </c:pt>
                <c:pt idx="27">
                  <c:v>16.579999999999998</c:v>
                </c:pt>
                <c:pt idx="28">
                  <c:v>15.49</c:v>
                </c:pt>
                <c:pt idx="29">
                  <c:v>14.45</c:v>
                </c:pt>
                <c:pt idx="30">
                  <c:v>14.66</c:v>
                </c:pt>
                <c:pt idx="31">
                  <c:v>16.760000000000002</c:v>
                </c:pt>
                <c:pt idx="32">
                  <c:v>17.86</c:v>
                </c:pt>
                <c:pt idx="33">
                  <c:v>17.309999999999999</c:v>
                </c:pt>
                <c:pt idx="34">
                  <c:v>16.850000000000001</c:v>
                </c:pt>
                <c:pt idx="35">
                  <c:v>16.670000000000002</c:v>
                </c:pt>
                <c:pt idx="36">
                  <c:v>19.62</c:v>
                </c:pt>
                <c:pt idx="37">
                  <c:v>18.670000000000002</c:v>
                </c:pt>
                <c:pt idx="38">
                  <c:v>21</c:v>
                </c:pt>
                <c:pt idx="39">
                  <c:v>21.75</c:v>
                </c:pt>
                <c:pt idx="40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387-B8D1-270E9CB4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1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'TBC3'!$K$54:$K$94</c:f>
              <c:numCache>
                <c:formatCode>0.00%</c:formatCode>
                <c:ptCount val="41"/>
                <c:pt idx="0">
                  <c:v>9.9761729797136298E-3</c:v>
                </c:pt>
                <c:pt idx="1">
                  <c:v>9.4498205442733203E-3</c:v>
                </c:pt>
                <c:pt idx="2">
                  <c:v>8.2955425284813606E-3</c:v>
                </c:pt>
                <c:pt idx="3">
                  <c:v>8.22837582832317E-3</c:v>
                </c:pt>
                <c:pt idx="4">
                  <c:v>6.4351161304069902E-3</c:v>
                </c:pt>
                <c:pt idx="5">
                  <c:v>6.50008441668074E-3</c:v>
                </c:pt>
                <c:pt idx="6">
                  <c:v>7.2834340616767402E-3</c:v>
                </c:pt>
                <c:pt idx="7">
                  <c:v>1.0757356488181401E-2</c:v>
                </c:pt>
                <c:pt idx="8">
                  <c:v>9.1370319913562301E-3</c:v>
                </c:pt>
                <c:pt idx="9">
                  <c:v>7.7336337247086301E-3</c:v>
                </c:pt>
                <c:pt idx="10">
                  <c:v>6.65179794185546E-3</c:v>
                </c:pt>
                <c:pt idx="11">
                  <c:v>5.5659620016055697E-3</c:v>
                </c:pt>
                <c:pt idx="12">
                  <c:v>5.4659796642046897E-3</c:v>
                </c:pt>
                <c:pt idx="13">
                  <c:v>6.9991069388772396E-3</c:v>
                </c:pt>
                <c:pt idx="14">
                  <c:v>8.9505089505089504E-3</c:v>
                </c:pt>
                <c:pt idx="15">
                  <c:v>8.2282308223911495E-3</c:v>
                </c:pt>
                <c:pt idx="16">
                  <c:v>7.2468205850531797E-3</c:v>
                </c:pt>
                <c:pt idx="17">
                  <c:v>7.2818504467017497E-3</c:v>
                </c:pt>
                <c:pt idx="18">
                  <c:v>5.2673383219765096E-3</c:v>
                </c:pt>
                <c:pt idx="19">
                  <c:v>5.6767132238830396E-3</c:v>
                </c:pt>
                <c:pt idx="20">
                  <c:v>5.8611847350615197E-3</c:v>
                </c:pt>
                <c:pt idx="21">
                  <c:v>9.6115619372793004E-3</c:v>
                </c:pt>
                <c:pt idx="22">
                  <c:v>8.34536268495128E-3</c:v>
                </c:pt>
                <c:pt idx="23">
                  <c:v>7.4706753217173398E-3</c:v>
                </c:pt>
                <c:pt idx="24">
                  <c:v>6.8384258553476898E-3</c:v>
                </c:pt>
                <c:pt idx="25">
                  <c:v>5.3863502003459497E-3</c:v>
                </c:pt>
                <c:pt idx="26">
                  <c:v>5.8251080650008101E-3</c:v>
                </c:pt>
                <c:pt idx="27">
                  <c:v>7.5109382596013604E-3</c:v>
                </c:pt>
                <c:pt idx="28">
                  <c:v>9.3508573582061407E-3</c:v>
                </c:pt>
                <c:pt idx="29">
                  <c:v>8.2072738976504706E-3</c:v>
                </c:pt>
                <c:pt idx="30">
                  <c:v>7.4605764002175102E-3</c:v>
                </c:pt>
                <c:pt idx="31">
                  <c:v>7.1431720975351602E-3</c:v>
                </c:pt>
                <c:pt idx="32">
                  <c:v>5.6263322262430004E-3</c:v>
                </c:pt>
                <c:pt idx="33">
                  <c:v>5.5090524964565603E-3</c:v>
                </c:pt>
                <c:pt idx="34">
                  <c:v>6.6003795926460997E-3</c:v>
                </c:pt>
                <c:pt idx="35">
                  <c:v>1.00624372839781E-2</c:v>
                </c:pt>
                <c:pt idx="36">
                  <c:v>8.2309990043146399E-3</c:v>
                </c:pt>
                <c:pt idx="37">
                  <c:v>8.0426684727395899E-3</c:v>
                </c:pt>
                <c:pt idx="38">
                  <c:v>7.0534223706176999E-3</c:v>
                </c:pt>
                <c:pt idx="39">
                  <c:v>7.3573702779451003E-3</c:v>
                </c:pt>
                <c:pt idx="40">
                  <c:v>6.558617645204011E-3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48C-8747-086C9064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'TBC3'!$L$54:$L$94</c:f>
              <c:numCache>
                <c:formatCode>0.0000</c:formatCode>
                <c:ptCount val="41"/>
                <c:pt idx="0">
                  <c:v>0.13400427550270599</c:v>
                </c:pt>
                <c:pt idx="1">
                  <c:v>0.103813093453273</c:v>
                </c:pt>
                <c:pt idx="2">
                  <c:v>7.9267558898351895E-2</c:v>
                </c:pt>
                <c:pt idx="3">
                  <c:v>7.3294202834949695E-2</c:v>
                </c:pt>
                <c:pt idx="4">
                  <c:v>5.2624547197954397E-2</c:v>
                </c:pt>
                <c:pt idx="5">
                  <c:v>4.4778406213067702E-2</c:v>
                </c:pt>
                <c:pt idx="6">
                  <c:v>5.3156671315667099E-2</c:v>
                </c:pt>
                <c:pt idx="7">
                  <c:v>0.12242908827785801</c:v>
                </c:pt>
                <c:pt idx="8">
                  <c:v>8.8372950627143301E-2</c:v>
                </c:pt>
                <c:pt idx="9">
                  <c:v>7.8589532515922197E-2</c:v>
                </c:pt>
                <c:pt idx="10">
                  <c:v>5.5881950150643601E-2</c:v>
                </c:pt>
                <c:pt idx="11">
                  <c:v>3.6919454107572899E-2</c:v>
                </c:pt>
                <c:pt idx="12">
                  <c:v>3.6896930039378599E-2</c:v>
                </c:pt>
                <c:pt idx="13">
                  <c:v>5.4355438326860399E-2</c:v>
                </c:pt>
                <c:pt idx="14">
                  <c:v>0.10349925412425399</c:v>
                </c:pt>
                <c:pt idx="15">
                  <c:v>8.68937888735314E-2</c:v>
                </c:pt>
                <c:pt idx="16">
                  <c:v>7.76234511196848E-2</c:v>
                </c:pt>
                <c:pt idx="17">
                  <c:v>7.3906498592583497E-2</c:v>
                </c:pt>
                <c:pt idx="18">
                  <c:v>4.3148488775552898E-2</c:v>
                </c:pt>
                <c:pt idx="19">
                  <c:v>5.2926161888425999E-2</c:v>
                </c:pt>
                <c:pt idx="20">
                  <c:v>4.7794513758700197E-2</c:v>
                </c:pt>
                <c:pt idx="21">
                  <c:v>0.107861602862421</c:v>
                </c:pt>
                <c:pt idx="22">
                  <c:v>7.9267186936124098E-2</c:v>
                </c:pt>
                <c:pt idx="23">
                  <c:v>7.1976768021865395E-2</c:v>
                </c:pt>
                <c:pt idx="24">
                  <c:v>6.6424200187294405E-2</c:v>
                </c:pt>
                <c:pt idx="25">
                  <c:v>4.13492150379891E-2</c:v>
                </c:pt>
                <c:pt idx="26">
                  <c:v>4.7258963038302397E-2</c:v>
                </c:pt>
                <c:pt idx="27">
                  <c:v>5.50947982498785E-2</c:v>
                </c:pt>
                <c:pt idx="28">
                  <c:v>0.11436758055398499</c:v>
                </c:pt>
                <c:pt idx="29">
                  <c:v>8.4588946618235294E-2</c:v>
                </c:pt>
                <c:pt idx="30">
                  <c:v>7.2082218597063596E-2</c:v>
                </c:pt>
                <c:pt idx="31">
                  <c:v>6.8944838837691202E-2</c:v>
                </c:pt>
                <c:pt idx="32">
                  <c:v>4.18869280721757E-2</c:v>
                </c:pt>
                <c:pt idx="33">
                  <c:v>4.4660230524429703E-2</c:v>
                </c:pt>
                <c:pt idx="34">
                  <c:v>5.0045607773150903E-2</c:v>
                </c:pt>
                <c:pt idx="35">
                  <c:v>0.115376574868993</c:v>
                </c:pt>
                <c:pt idx="36">
                  <c:v>9.2427480916030494E-2</c:v>
                </c:pt>
                <c:pt idx="37">
                  <c:v>7.7557991872671803E-2</c:v>
                </c:pt>
                <c:pt idx="38">
                  <c:v>6.1485392320534203E-2</c:v>
                </c:pt>
                <c:pt idx="39">
                  <c:v>6.1424791326047702E-2</c:v>
                </c:pt>
                <c:pt idx="40">
                  <c:v>5.4457127241386565E-2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434-BCEA-98160CC4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1"/>
        <c:lblOffset val="100"/>
        <c:baseTimeUnit val="days"/>
      </c:dateAx>
      <c:valAx>
        <c:axId val="3768739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'TBC3'!$J$54:$J$94</c:f>
              <c:numCache>
                <c:formatCode>0.00</c:formatCode>
                <c:ptCount val="41"/>
                <c:pt idx="0">
                  <c:v>15.9668648540317</c:v>
                </c:pt>
                <c:pt idx="1">
                  <c:v>15.251328881014</c:v>
                </c:pt>
                <c:pt idx="2">
                  <c:v>14.4005751576153</c:v>
                </c:pt>
                <c:pt idx="3">
                  <c:v>12.877847018036601</c:v>
                </c:pt>
                <c:pt idx="4">
                  <c:v>10.4046025996164</c:v>
                </c:pt>
                <c:pt idx="5">
                  <c:v>10.0423560695593</c:v>
                </c:pt>
                <c:pt idx="6">
                  <c:v>10.199397843749299</c:v>
                </c:pt>
                <c:pt idx="7">
                  <c:v>16.1044380125422</c:v>
                </c:pt>
                <c:pt idx="8">
                  <c:v>14.9389768403251</c:v>
                </c:pt>
                <c:pt idx="9">
                  <c:v>13.5836835492396</c:v>
                </c:pt>
                <c:pt idx="10">
                  <c:v>11.593281684078701</c:v>
                </c:pt>
                <c:pt idx="11">
                  <c:v>11.277566675586501</c:v>
                </c:pt>
                <c:pt idx="12">
                  <c:v>11.2213427894128</c:v>
                </c:pt>
                <c:pt idx="13">
                  <c:v>11.1591102618954</c:v>
                </c:pt>
                <c:pt idx="14">
                  <c:v>16.6307915057915</c:v>
                </c:pt>
                <c:pt idx="15">
                  <c:v>14.978619557705599</c:v>
                </c:pt>
                <c:pt idx="16">
                  <c:v>14.0103292710311</c:v>
                </c:pt>
                <c:pt idx="17">
                  <c:v>12.707930485864599</c:v>
                </c:pt>
                <c:pt idx="18">
                  <c:v>10.357865473851399</c:v>
                </c:pt>
                <c:pt idx="19">
                  <c:v>9.9926897002368698</c:v>
                </c:pt>
                <c:pt idx="20">
                  <c:v>10.2272501993234</c:v>
                </c:pt>
                <c:pt idx="21">
                  <c:v>15.814854657281201</c:v>
                </c:pt>
                <c:pt idx="22">
                  <c:v>14.783516780945501</c:v>
                </c:pt>
                <c:pt idx="23">
                  <c:v>14.4770755039289</c:v>
                </c:pt>
                <c:pt idx="24">
                  <c:v>12.1946991310408</c:v>
                </c:pt>
                <c:pt idx="25">
                  <c:v>9.9335464517965395</c:v>
                </c:pt>
                <c:pt idx="26">
                  <c:v>9.9925336908531897</c:v>
                </c:pt>
                <c:pt idx="27">
                  <c:v>10.0409090909091</c:v>
                </c:pt>
                <c:pt idx="28">
                  <c:v>14.432235726399099</c:v>
                </c:pt>
                <c:pt idx="29">
                  <c:v>14.1000045979125</c:v>
                </c:pt>
                <c:pt idx="30">
                  <c:v>12.8470255573681</c:v>
                </c:pt>
                <c:pt idx="31">
                  <c:v>12.094977732704301</c:v>
                </c:pt>
                <c:pt idx="32">
                  <c:v>10.2983195360135</c:v>
                </c:pt>
                <c:pt idx="33">
                  <c:v>10.657609713047901</c:v>
                </c:pt>
                <c:pt idx="34">
                  <c:v>10.7312257443132</c:v>
                </c:pt>
                <c:pt idx="35">
                  <c:v>15.696315085293801</c:v>
                </c:pt>
                <c:pt idx="36">
                  <c:v>13.0435667662352</c:v>
                </c:pt>
                <c:pt idx="37">
                  <c:v>12.441246190314899</c:v>
                </c:pt>
                <c:pt idx="38">
                  <c:v>11.2116026711185</c:v>
                </c:pt>
                <c:pt idx="39">
                  <c:v>9.4305567507099202</c:v>
                </c:pt>
                <c:pt idx="40">
                  <c:v>8.9790418532299086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C06-9CE6-EA054259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1"/>
        <c:lblOffset val="100"/>
        <c:baseTimeUnit val="days"/>
      </c:dateAx>
      <c:valAx>
        <c:axId val="37687673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'TBC3'!$S$54:$S$94</c:f>
              <c:numCache>
                <c:formatCode>General</c:formatCode>
                <c:ptCount val="41"/>
                <c:pt idx="0">
                  <c:v>10929</c:v>
                </c:pt>
                <c:pt idx="1">
                  <c:v>14462</c:v>
                </c:pt>
                <c:pt idx="2">
                  <c:v>20929</c:v>
                </c:pt>
                <c:pt idx="3">
                  <c:v>24240</c:v>
                </c:pt>
                <c:pt idx="4">
                  <c:v>19565</c:v>
                </c:pt>
                <c:pt idx="5">
                  <c:v>24138</c:v>
                </c:pt>
                <c:pt idx="6">
                  <c:v>21075</c:v>
                </c:pt>
                <c:pt idx="7">
                  <c:v>14107</c:v>
                </c:pt>
                <c:pt idx="8">
                  <c:v>15975</c:v>
                </c:pt>
                <c:pt idx="9">
                  <c:v>27500</c:v>
                </c:pt>
                <c:pt idx="10">
                  <c:v>25084</c:v>
                </c:pt>
                <c:pt idx="11">
                  <c:v>20472</c:v>
                </c:pt>
                <c:pt idx="12">
                  <c:v>15466</c:v>
                </c:pt>
                <c:pt idx="13">
                  <c:v>11217</c:v>
                </c:pt>
                <c:pt idx="14">
                  <c:v>10628</c:v>
                </c:pt>
                <c:pt idx="15">
                  <c:v>12100</c:v>
                </c:pt>
                <c:pt idx="16">
                  <c:v>13539</c:v>
                </c:pt>
                <c:pt idx="17">
                  <c:v>16300</c:v>
                </c:pt>
                <c:pt idx="18">
                  <c:v>15739</c:v>
                </c:pt>
                <c:pt idx="19">
                  <c:v>15018</c:v>
                </c:pt>
                <c:pt idx="20">
                  <c:v>14650</c:v>
                </c:pt>
                <c:pt idx="21">
                  <c:v>11692</c:v>
                </c:pt>
                <c:pt idx="22">
                  <c:v>14168</c:v>
                </c:pt>
                <c:pt idx="23">
                  <c:v>13056</c:v>
                </c:pt>
                <c:pt idx="24">
                  <c:v>14039</c:v>
                </c:pt>
                <c:pt idx="25">
                  <c:v>14352</c:v>
                </c:pt>
                <c:pt idx="26">
                  <c:v>11364</c:v>
                </c:pt>
                <c:pt idx="27">
                  <c:v>10689</c:v>
                </c:pt>
                <c:pt idx="28">
                  <c:v>8777</c:v>
                </c:pt>
                <c:pt idx="29">
                  <c:v>9696</c:v>
                </c:pt>
                <c:pt idx="30">
                  <c:v>12331</c:v>
                </c:pt>
                <c:pt idx="31">
                  <c:v>10905</c:v>
                </c:pt>
                <c:pt idx="32">
                  <c:v>11371</c:v>
                </c:pt>
                <c:pt idx="33">
                  <c:v>7812</c:v>
                </c:pt>
                <c:pt idx="34">
                  <c:v>6420</c:v>
                </c:pt>
                <c:pt idx="35">
                  <c:v>6505</c:v>
                </c:pt>
                <c:pt idx="36">
                  <c:v>7496</c:v>
                </c:pt>
                <c:pt idx="37">
                  <c:v>7289</c:v>
                </c:pt>
                <c:pt idx="38">
                  <c:v>6925</c:v>
                </c:pt>
                <c:pt idx="39">
                  <c:v>5974</c:v>
                </c:pt>
                <c:pt idx="40">
                  <c:v>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6-4DBF-8599-FFB58C3385F3}"/>
            </c:ext>
          </c:extLst>
        </c:ser>
        <c:ser>
          <c:idx val="1"/>
          <c:order val="1"/>
          <c:tx>
            <c:strRef>
              <c:f>'TBC3'!$T$53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'TBC3'!$T$54:$T$94</c:f>
              <c:numCache>
                <c:formatCode>General</c:formatCode>
                <c:ptCount val="41"/>
                <c:pt idx="0">
                  <c:v>50578</c:v>
                </c:pt>
                <c:pt idx="1">
                  <c:v>54228</c:v>
                </c:pt>
                <c:pt idx="2">
                  <c:v>63696</c:v>
                </c:pt>
                <c:pt idx="3">
                  <c:v>69565</c:v>
                </c:pt>
                <c:pt idx="4">
                  <c:v>67040</c:v>
                </c:pt>
                <c:pt idx="5">
                  <c:v>71749</c:v>
                </c:pt>
                <c:pt idx="6">
                  <c:v>70728</c:v>
                </c:pt>
                <c:pt idx="7">
                  <c:v>63295</c:v>
                </c:pt>
                <c:pt idx="8">
                  <c:v>64207</c:v>
                </c:pt>
                <c:pt idx="9">
                  <c:v>77644</c:v>
                </c:pt>
                <c:pt idx="10">
                  <c:v>77015</c:v>
                </c:pt>
                <c:pt idx="11">
                  <c:v>71965</c:v>
                </c:pt>
                <c:pt idx="12">
                  <c:v>65915</c:v>
                </c:pt>
                <c:pt idx="13">
                  <c:v>59922</c:v>
                </c:pt>
                <c:pt idx="14">
                  <c:v>57324</c:v>
                </c:pt>
                <c:pt idx="15">
                  <c:v>58421</c:v>
                </c:pt>
                <c:pt idx="16">
                  <c:v>61000</c:v>
                </c:pt>
                <c:pt idx="17">
                  <c:v>62771</c:v>
                </c:pt>
                <c:pt idx="18">
                  <c:v>61375</c:v>
                </c:pt>
                <c:pt idx="19">
                  <c:v>60332</c:v>
                </c:pt>
                <c:pt idx="20">
                  <c:v>59429</c:v>
                </c:pt>
                <c:pt idx="21">
                  <c:v>55426</c:v>
                </c:pt>
                <c:pt idx="22">
                  <c:v>57604</c:v>
                </c:pt>
                <c:pt idx="23">
                  <c:v>58241</c:v>
                </c:pt>
                <c:pt idx="24">
                  <c:v>58124</c:v>
                </c:pt>
                <c:pt idx="25">
                  <c:v>57537</c:v>
                </c:pt>
                <c:pt idx="26">
                  <c:v>53693</c:v>
                </c:pt>
                <c:pt idx="27">
                  <c:v>51570</c:v>
                </c:pt>
                <c:pt idx="28">
                  <c:v>48530</c:v>
                </c:pt>
                <c:pt idx="29">
                  <c:v>49353</c:v>
                </c:pt>
                <c:pt idx="30">
                  <c:v>52584</c:v>
                </c:pt>
                <c:pt idx="31">
                  <c:v>51813</c:v>
                </c:pt>
                <c:pt idx="32">
                  <c:v>49931</c:v>
                </c:pt>
                <c:pt idx="33">
                  <c:v>45987</c:v>
                </c:pt>
                <c:pt idx="34">
                  <c:v>43574</c:v>
                </c:pt>
                <c:pt idx="35">
                  <c:v>42603</c:v>
                </c:pt>
                <c:pt idx="36">
                  <c:v>43719</c:v>
                </c:pt>
                <c:pt idx="37">
                  <c:v>44703</c:v>
                </c:pt>
                <c:pt idx="38">
                  <c:v>42945</c:v>
                </c:pt>
                <c:pt idx="39">
                  <c:v>39969</c:v>
                </c:pt>
                <c:pt idx="40">
                  <c:v>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6-4DBF-8599-FFB58C33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1"/>
        <c:lblOffset val="100"/>
        <c:baseTimeUnit val="days"/>
      </c:dateAx>
      <c:valAx>
        <c:axId val="3777240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'TBC3'!$U$54:$U$94</c:f>
              <c:numCache>
                <c:formatCode>0.0%</c:formatCode>
                <c:ptCount val="41"/>
                <c:pt idx="0">
                  <c:v>0.30399999999999999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0.33300000000000002</c:v>
                </c:pt>
                <c:pt idx="4">
                  <c:v>0.32200000000000001</c:v>
                </c:pt>
                <c:pt idx="5">
                  <c:v>0.314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0.317</c:v>
                </c:pt>
                <c:pt idx="9">
                  <c:v>0.27700000000000002</c:v>
                </c:pt>
                <c:pt idx="10">
                  <c:v>0.28000000000000003</c:v>
                </c:pt>
                <c:pt idx="11">
                  <c:v>0.30399999999999999</c:v>
                </c:pt>
                <c:pt idx="12">
                  <c:v>0.29799999999999999</c:v>
                </c:pt>
                <c:pt idx="13">
                  <c:v>0.30399999999999999</c:v>
                </c:pt>
                <c:pt idx="14">
                  <c:v>0.29099999999999998</c:v>
                </c:pt>
                <c:pt idx="15">
                  <c:v>0.3</c:v>
                </c:pt>
                <c:pt idx="16">
                  <c:v>0.30399999999999999</c:v>
                </c:pt>
                <c:pt idx="17">
                  <c:v>0.30199999999999999</c:v>
                </c:pt>
                <c:pt idx="18">
                  <c:v>0.29099999999999998</c:v>
                </c:pt>
                <c:pt idx="19">
                  <c:v>0.28100000000000003</c:v>
                </c:pt>
                <c:pt idx="20">
                  <c:v>0.26700000000000002</c:v>
                </c:pt>
                <c:pt idx="21">
                  <c:v>0.26500000000000001</c:v>
                </c:pt>
                <c:pt idx="22">
                  <c:v>0.26400000000000001</c:v>
                </c:pt>
                <c:pt idx="23">
                  <c:v>0.28199999999999997</c:v>
                </c:pt>
                <c:pt idx="24">
                  <c:v>0.28699999999999998</c:v>
                </c:pt>
                <c:pt idx="25">
                  <c:v>0.28499999999999998</c:v>
                </c:pt>
                <c:pt idx="26">
                  <c:v>0.27600000000000002</c:v>
                </c:pt>
                <c:pt idx="27">
                  <c:v>0.26200000000000001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0.28699999999999998</c:v>
                </c:pt>
                <c:pt idx="31">
                  <c:v>0.28599999999999998</c:v>
                </c:pt>
                <c:pt idx="32">
                  <c:v>0.29699999999999999</c:v>
                </c:pt>
                <c:pt idx="33">
                  <c:v>0.31</c:v>
                </c:pt>
                <c:pt idx="34">
                  <c:v>0.29499999999999998</c:v>
                </c:pt>
                <c:pt idx="35">
                  <c:v>0.28599999999999998</c:v>
                </c:pt>
                <c:pt idx="36">
                  <c:v>0.311</c:v>
                </c:pt>
                <c:pt idx="37">
                  <c:v>0.30299999999999999</c:v>
                </c:pt>
                <c:pt idx="38">
                  <c:v>0.317</c:v>
                </c:pt>
                <c:pt idx="3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A-4B7A-9134-8867ECF1DBC3}"/>
            </c:ext>
          </c:extLst>
        </c:ser>
        <c:ser>
          <c:idx val="1"/>
          <c:order val="1"/>
          <c:tx>
            <c:strRef>
              <c:f>'TBC3'!$V$53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'TBC3'!$V$54:$V$94</c:f>
              <c:numCache>
                <c:formatCode>0.0%</c:formatCode>
                <c:ptCount val="41"/>
                <c:pt idx="0">
                  <c:v>0.14599999999999999</c:v>
                </c:pt>
                <c:pt idx="1">
                  <c:v>0.158</c:v>
                </c:pt>
                <c:pt idx="2">
                  <c:v>0.16500000000000001</c:v>
                </c:pt>
                <c:pt idx="3">
                  <c:v>0.16600000000000001</c:v>
                </c:pt>
                <c:pt idx="4">
                  <c:v>0.161</c:v>
                </c:pt>
                <c:pt idx="5">
                  <c:v>0.153</c:v>
                </c:pt>
                <c:pt idx="6">
                  <c:v>0.13900000000000001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0.127</c:v>
                </c:pt>
                <c:pt idx="10">
                  <c:v>0.13100000000000001</c:v>
                </c:pt>
                <c:pt idx="11">
                  <c:v>0.154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0.14499999999999999</c:v>
                </c:pt>
                <c:pt idx="15">
                  <c:v>0.14199999999999999</c:v>
                </c:pt>
                <c:pt idx="16">
                  <c:v>0.159</c:v>
                </c:pt>
                <c:pt idx="17">
                  <c:v>0.151</c:v>
                </c:pt>
                <c:pt idx="18">
                  <c:v>0.13800000000000001</c:v>
                </c:pt>
                <c:pt idx="19">
                  <c:v>0.13100000000000001</c:v>
                </c:pt>
                <c:pt idx="20">
                  <c:v>0.13600000000000001</c:v>
                </c:pt>
                <c:pt idx="21">
                  <c:v>0.13300000000000001</c:v>
                </c:pt>
                <c:pt idx="22">
                  <c:v>0.123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0.128</c:v>
                </c:pt>
                <c:pt idx="26">
                  <c:v>0.13500000000000001</c:v>
                </c:pt>
                <c:pt idx="27">
                  <c:v>0.13</c:v>
                </c:pt>
                <c:pt idx="28">
                  <c:v>0.14199999999999999</c:v>
                </c:pt>
                <c:pt idx="29">
                  <c:v>0.13500000000000001</c:v>
                </c:pt>
                <c:pt idx="30">
                  <c:v>0.13700000000000001</c:v>
                </c:pt>
                <c:pt idx="31">
                  <c:v>0.14399999999999999</c:v>
                </c:pt>
                <c:pt idx="32">
                  <c:v>0.14499999999999999</c:v>
                </c:pt>
                <c:pt idx="33">
                  <c:v>0.14899999999999999</c:v>
                </c:pt>
                <c:pt idx="34">
                  <c:v>0.153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A-4B7A-9134-8867ECF1DBC3}"/>
            </c:ext>
          </c:extLst>
        </c:ser>
        <c:ser>
          <c:idx val="2"/>
          <c:order val="2"/>
          <c:tx>
            <c:strRef>
              <c:f>'TBC3'!$W$53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'TBC3'!$W$54:$W$94</c:f>
              <c:numCache>
                <c:formatCode>0.0%</c:formatCode>
                <c:ptCount val="41"/>
                <c:pt idx="0">
                  <c:v>8.3000000000000004E-2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7.4999999999999997E-2</c:v>
                </c:pt>
                <c:pt idx="6">
                  <c:v>6.7000000000000004E-2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8.1000000000000003E-2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8.7999999999999995E-2</c:v>
                </c:pt>
                <c:pt idx="17">
                  <c:v>7.8E-2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6.4000000000000001E-2</c:v>
                </c:pt>
                <c:pt idx="21">
                  <c:v>6.6000000000000003E-2</c:v>
                </c:pt>
                <c:pt idx="22">
                  <c:v>7.0000000000000007E-2</c:v>
                </c:pt>
                <c:pt idx="23">
                  <c:v>7.3999999999999996E-2</c:v>
                </c:pt>
                <c:pt idx="24">
                  <c:v>7.3999999999999996E-2</c:v>
                </c:pt>
                <c:pt idx="25">
                  <c:v>6.3E-2</c:v>
                </c:pt>
                <c:pt idx="26">
                  <c:v>6.8000000000000005E-2</c:v>
                </c:pt>
                <c:pt idx="27">
                  <c:v>6.3E-2</c:v>
                </c:pt>
                <c:pt idx="28">
                  <c:v>7.0999999999999994E-2</c:v>
                </c:pt>
                <c:pt idx="29">
                  <c:v>7.6999999999999999E-2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7.8E-2</c:v>
                </c:pt>
                <c:pt idx="33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A-4B7A-9134-8867ECF1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1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'TBC3'!$X$54:$X$94</c:f>
              <c:numCache>
                <c:formatCode>General</c:formatCode>
                <c:ptCount val="41"/>
                <c:pt idx="0">
                  <c:v>12.79</c:v>
                </c:pt>
                <c:pt idx="1">
                  <c:v>13.55</c:v>
                </c:pt>
                <c:pt idx="2">
                  <c:v>13.74</c:v>
                </c:pt>
                <c:pt idx="3">
                  <c:v>15.35</c:v>
                </c:pt>
                <c:pt idx="4">
                  <c:v>15.91</c:v>
                </c:pt>
                <c:pt idx="5">
                  <c:v>15.75</c:v>
                </c:pt>
                <c:pt idx="6">
                  <c:v>14.48</c:v>
                </c:pt>
                <c:pt idx="7">
                  <c:v>13.17</c:v>
                </c:pt>
                <c:pt idx="8">
                  <c:v>13.58</c:v>
                </c:pt>
                <c:pt idx="9">
                  <c:v>13.8</c:v>
                </c:pt>
                <c:pt idx="10">
                  <c:v>14.17</c:v>
                </c:pt>
                <c:pt idx="11">
                  <c:v>14.32</c:v>
                </c:pt>
                <c:pt idx="12">
                  <c:v>14.09</c:v>
                </c:pt>
                <c:pt idx="13">
                  <c:v>13.34</c:v>
                </c:pt>
                <c:pt idx="14">
                  <c:v>12.02</c:v>
                </c:pt>
                <c:pt idx="15">
                  <c:v>12.71</c:v>
                </c:pt>
                <c:pt idx="16">
                  <c:v>12.93</c:v>
                </c:pt>
                <c:pt idx="17">
                  <c:v>14.29</c:v>
                </c:pt>
                <c:pt idx="18">
                  <c:v>15.14</c:v>
                </c:pt>
                <c:pt idx="19">
                  <c:v>15.67</c:v>
                </c:pt>
                <c:pt idx="20">
                  <c:v>14.79</c:v>
                </c:pt>
                <c:pt idx="21">
                  <c:v>13.5</c:v>
                </c:pt>
                <c:pt idx="22">
                  <c:v>13.57</c:v>
                </c:pt>
                <c:pt idx="23">
                  <c:v>14.17</c:v>
                </c:pt>
                <c:pt idx="24">
                  <c:v>15.94</c:v>
                </c:pt>
                <c:pt idx="25">
                  <c:v>16.34</c:v>
                </c:pt>
                <c:pt idx="26">
                  <c:v>16.03</c:v>
                </c:pt>
                <c:pt idx="27">
                  <c:v>14.5</c:v>
                </c:pt>
                <c:pt idx="28">
                  <c:v>12.98</c:v>
                </c:pt>
                <c:pt idx="29">
                  <c:v>13.39</c:v>
                </c:pt>
                <c:pt idx="30">
                  <c:v>14.45</c:v>
                </c:pt>
                <c:pt idx="31">
                  <c:v>16.100000000000001</c:v>
                </c:pt>
                <c:pt idx="32">
                  <c:v>18.809999999999999</c:v>
                </c:pt>
                <c:pt idx="33">
                  <c:v>17.940000000000001</c:v>
                </c:pt>
                <c:pt idx="34">
                  <c:v>15.73</c:v>
                </c:pt>
                <c:pt idx="35">
                  <c:v>13.68</c:v>
                </c:pt>
                <c:pt idx="36">
                  <c:v>13.58</c:v>
                </c:pt>
                <c:pt idx="37">
                  <c:v>13.15</c:v>
                </c:pt>
                <c:pt idx="38">
                  <c:v>15.37</c:v>
                </c:pt>
                <c:pt idx="39">
                  <c:v>16.77</c:v>
                </c:pt>
                <c:pt idx="4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E41-BCEA-62404C1304E8}"/>
            </c:ext>
          </c:extLst>
        </c:ser>
        <c:ser>
          <c:idx val="1"/>
          <c:order val="1"/>
          <c:tx>
            <c:strRef>
              <c:f>'TBC3'!$Y$53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'TBC3'!$Y$54:$Y$94</c:f>
              <c:numCache>
                <c:formatCode>General</c:formatCode>
                <c:ptCount val="41"/>
                <c:pt idx="0">
                  <c:v>19.43</c:v>
                </c:pt>
                <c:pt idx="1">
                  <c:v>20.12</c:v>
                </c:pt>
                <c:pt idx="2">
                  <c:v>20.64</c:v>
                </c:pt>
                <c:pt idx="3">
                  <c:v>22.4</c:v>
                </c:pt>
                <c:pt idx="4">
                  <c:v>24.53</c:v>
                </c:pt>
                <c:pt idx="5">
                  <c:v>25.29</c:v>
                </c:pt>
                <c:pt idx="6">
                  <c:v>22.57</c:v>
                </c:pt>
                <c:pt idx="7">
                  <c:v>20.22</c:v>
                </c:pt>
                <c:pt idx="8">
                  <c:v>20.55</c:v>
                </c:pt>
                <c:pt idx="9">
                  <c:v>20.83</c:v>
                </c:pt>
                <c:pt idx="10">
                  <c:v>22.11</c:v>
                </c:pt>
                <c:pt idx="11">
                  <c:v>23.64</c:v>
                </c:pt>
                <c:pt idx="12">
                  <c:v>23.17</c:v>
                </c:pt>
                <c:pt idx="13">
                  <c:v>21.13</c:v>
                </c:pt>
                <c:pt idx="14">
                  <c:v>18.489999999999998</c:v>
                </c:pt>
                <c:pt idx="15">
                  <c:v>19.36</c:v>
                </c:pt>
                <c:pt idx="16">
                  <c:v>19.829999999999998</c:v>
                </c:pt>
                <c:pt idx="17">
                  <c:v>22.28</c:v>
                </c:pt>
                <c:pt idx="18">
                  <c:v>23.56</c:v>
                </c:pt>
                <c:pt idx="19">
                  <c:v>23.77</c:v>
                </c:pt>
                <c:pt idx="20">
                  <c:v>21.86</c:v>
                </c:pt>
                <c:pt idx="21">
                  <c:v>20.09</c:v>
                </c:pt>
                <c:pt idx="22">
                  <c:v>20.29</c:v>
                </c:pt>
                <c:pt idx="23">
                  <c:v>20.5</c:v>
                </c:pt>
                <c:pt idx="24">
                  <c:v>23.96</c:v>
                </c:pt>
                <c:pt idx="25">
                  <c:v>25.96</c:v>
                </c:pt>
                <c:pt idx="26">
                  <c:v>24.53</c:v>
                </c:pt>
                <c:pt idx="27">
                  <c:v>21.27</c:v>
                </c:pt>
                <c:pt idx="28">
                  <c:v>19.510000000000002</c:v>
                </c:pt>
                <c:pt idx="29">
                  <c:v>20.67</c:v>
                </c:pt>
                <c:pt idx="30">
                  <c:v>21.32</c:v>
                </c:pt>
                <c:pt idx="31">
                  <c:v>24.25</c:v>
                </c:pt>
                <c:pt idx="32">
                  <c:v>27.67</c:v>
                </c:pt>
                <c:pt idx="33">
                  <c:v>26.81</c:v>
                </c:pt>
                <c:pt idx="34">
                  <c:v>23.67</c:v>
                </c:pt>
                <c:pt idx="35">
                  <c:v>20.38</c:v>
                </c:pt>
                <c:pt idx="36">
                  <c:v>20.92</c:v>
                </c:pt>
                <c:pt idx="37">
                  <c:v>19.7</c:v>
                </c:pt>
                <c:pt idx="38">
                  <c:v>23.11</c:v>
                </c:pt>
                <c:pt idx="39">
                  <c:v>25.77</c:v>
                </c:pt>
                <c:pt idx="40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F-4E41-BCEA-62404C1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1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21</xdr:row>
      <xdr:rowOff>0</xdr:rowOff>
    </xdr:from>
    <xdr:to>
      <xdr:col>5</xdr:col>
      <xdr:colOff>628650</xdr:colOff>
      <xdr:row>34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34</xdr:row>
      <xdr:rowOff>139700</xdr:rowOff>
    </xdr:from>
    <xdr:to>
      <xdr:col>5</xdr:col>
      <xdr:colOff>622300</xdr:colOff>
      <xdr:row>48</xdr:row>
      <xdr:rowOff>42333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20</xdr:row>
      <xdr:rowOff>171450</xdr:rowOff>
    </xdr:from>
    <xdr:to>
      <xdr:col>10</xdr:col>
      <xdr:colOff>520700</xdr:colOff>
      <xdr:row>34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21</xdr:row>
      <xdr:rowOff>0</xdr:rowOff>
    </xdr:from>
    <xdr:to>
      <xdr:col>14</xdr:col>
      <xdr:colOff>609600</xdr:colOff>
      <xdr:row>34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34</xdr:row>
      <xdr:rowOff>139700</xdr:rowOff>
    </xdr:from>
    <xdr:to>
      <xdr:col>14</xdr:col>
      <xdr:colOff>609600</xdr:colOff>
      <xdr:row>48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34</xdr:row>
      <xdr:rowOff>139700</xdr:rowOff>
    </xdr:from>
    <xdr:to>
      <xdr:col>10</xdr:col>
      <xdr:colOff>482600</xdr:colOff>
      <xdr:row>48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21</xdr:row>
      <xdr:rowOff>0</xdr:rowOff>
    </xdr:from>
    <xdr:to>
      <xdr:col>21</xdr:col>
      <xdr:colOff>628650</xdr:colOff>
      <xdr:row>34</xdr:row>
      <xdr:rowOff>101600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34</xdr:row>
      <xdr:rowOff>139700</xdr:rowOff>
    </xdr:from>
    <xdr:to>
      <xdr:col>21</xdr:col>
      <xdr:colOff>622300</xdr:colOff>
      <xdr:row>48</xdr:row>
      <xdr:rowOff>42333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21</xdr:row>
      <xdr:rowOff>0</xdr:rowOff>
    </xdr:from>
    <xdr:to>
      <xdr:col>26</xdr:col>
      <xdr:colOff>482600</xdr:colOff>
      <xdr:row>34</xdr:row>
      <xdr:rowOff>101600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21</xdr:row>
      <xdr:rowOff>0</xdr:rowOff>
    </xdr:from>
    <xdr:to>
      <xdr:col>30</xdr:col>
      <xdr:colOff>609600</xdr:colOff>
      <xdr:row>34</xdr:row>
      <xdr:rowOff>101600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34</xdr:row>
      <xdr:rowOff>139700</xdr:rowOff>
    </xdr:from>
    <xdr:to>
      <xdr:col>31</xdr:col>
      <xdr:colOff>2822</xdr:colOff>
      <xdr:row>48</xdr:row>
      <xdr:rowOff>38100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34</xdr:row>
      <xdr:rowOff>139700</xdr:rowOff>
    </xdr:from>
    <xdr:to>
      <xdr:col>26</xdr:col>
      <xdr:colOff>482600</xdr:colOff>
      <xdr:row>48</xdr:row>
      <xdr:rowOff>38100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533400</xdr:colOff>
      <xdr:row>23</xdr:row>
      <xdr:rowOff>167640</xdr:rowOff>
    </xdr:from>
    <xdr:ext cx="673100" cy="2032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533900" y="6231255"/>
          <a:ext cx="673100" cy="2032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xdr:txBody>
    </xdr:sp>
    <xdr:clientData/>
  </xdr:oneCellAnchor>
  <xdr:oneCellAnchor>
    <xdr:from>
      <xdr:col>3</xdr:col>
      <xdr:colOff>165100</xdr:colOff>
      <xdr:row>23</xdr:row>
      <xdr:rowOff>167640</xdr:rowOff>
    </xdr:from>
    <xdr:ext cx="673100" cy="2032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810000" y="6231255"/>
          <a:ext cx="673100" cy="2032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xdr:txBody>
    </xdr:sp>
    <xdr:clientData/>
  </xdr:oneCellAnchor>
  <xdr:oneCellAnchor>
    <xdr:from>
      <xdr:col>1</xdr:col>
      <xdr:colOff>774700</xdr:colOff>
      <xdr:row>24</xdr:row>
      <xdr:rowOff>0</xdr:rowOff>
    </xdr:from>
    <xdr:ext cx="660400" cy="17780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612900" y="6231255"/>
          <a:ext cx="660400" cy="1778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xdr:txBody>
    </xdr:sp>
    <xdr:clientData/>
  </xdr:oneCellAnchor>
  <xdr:twoCellAnchor>
    <xdr:from>
      <xdr:col>15</xdr:col>
      <xdr:colOff>0</xdr:colOff>
      <xdr:row>21</xdr:row>
      <xdr:rowOff>0</xdr:rowOff>
    </xdr:from>
    <xdr:to>
      <xdr:col>15</xdr:col>
      <xdr:colOff>4889500</xdr:colOff>
      <xdr:row>34</xdr:row>
      <xdr:rowOff>101600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4889500</xdr:colOff>
      <xdr:row>34</xdr:row>
      <xdr:rowOff>101600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574800" y="5969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0.80827</cdr:x>
      <cdr:y>0.21837</cdr:y>
    </cdr:from>
    <cdr:to>
      <cdr:x>0.80827</cdr:x>
      <cdr:y>0.79904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417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0.65463</cdr:x>
      <cdr:y>0.21837</cdr:y>
    </cdr:from>
    <cdr:to>
      <cdr:x>0.65463</cdr:x>
      <cdr:y>0.79904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924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0.50098</cdr:x>
      <cdr:y>0.21837</cdr:y>
    </cdr:from>
    <cdr:to>
      <cdr:x>0.50098</cdr:x>
      <cdr:y>0.79904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431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0.19109</cdr:x>
      <cdr:y>0.21837</cdr:y>
    </cdr:from>
    <cdr:to>
      <cdr:x>0.19109</cdr:x>
      <cdr:y>0.79904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18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0.81558</cdr:x>
      <cdr:y>0.21818</cdr:y>
    </cdr:from>
    <cdr:to>
      <cdr:x>0.95324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878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0.66234</cdr:x>
      <cdr:y>0.21818</cdr:y>
    </cdr:from>
    <cdr:to>
      <cdr:x>0.8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385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87850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0.66485</cdr:x>
      <cdr:y>0.21824</cdr:y>
    </cdr:from>
    <cdr:to>
      <cdr:x>0.66485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07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0.51939</cdr:x>
      <cdr:y>0.21824</cdr:y>
    </cdr:from>
    <cdr:to>
      <cdr:x>0.51939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395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0.21824</cdr:y>
    </cdr:from>
    <cdr:to>
      <cdr:x>0.22848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0.21818</cdr:y>
    </cdr:from>
    <cdr:to>
      <cdr:x>0.95844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0.21818</cdr:y>
    </cdr:from>
    <cdr:to>
      <cdr:x>0.36883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0.66744</cdr:x>
      <cdr:y>0.21765</cdr:y>
    </cdr:from>
    <cdr:to>
      <cdr:x>0.66744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634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</cdr:x>
      <cdr:y>0.21302</cdr:y>
    </cdr:from>
    <cdr:to>
      <cdr:x>0.8155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87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8337534" y="1041472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0.52199</cdr:x>
      <cdr:y>0.21765</cdr:y>
    </cdr:from>
    <cdr:to>
      <cdr:x>0.52199</cdr:x>
      <cdr:y>0.80908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2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0.37394</cdr:x>
      <cdr:y>0.21765</cdr:y>
    </cdr:from>
    <cdr:to>
      <cdr:x>0.37394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283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0.21302</cdr:y>
    </cdr:from>
    <cdr:to>
      <cdr:x>0.22848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0.21759</cdr:y>
    </cdr:from>
    <cdr:to>
      <cdr:x>0.95844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0.21759</cdr:y>
    </cdr:from>
    <cdr:to>
      <cdr:x>0.81039</cdr:x>
      <cdr:y>0.30093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5821088" y="1041185"/>
          <a:ext cx="1191162" cy="3987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0.21296</cdr:y>
    </cdr:from>
    <cdr:to>
      <cdr:x>0.36883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0.21302</cdr:y>
    </cdr:from>
    <cdr:to>
      <cdr:x>0.8103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0.65705</cdr:x>
      <cdr:y>0.21302</cdr:y>
    </cdr:from>
    <cdr:to>
      <cdr:x>0.65705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12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0.49861</cdr:x>
      <cdr:y>0.21302</cdr:y>
    </cdr:from>
    <cdr:to>
      <cdr:x>0.49861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37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0.34537</cdr:x>
      <cdr:y>0.21765</cdr:y>
    </cdr:from>
    <cdr:to>
      <cdr:x>0.34537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886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0.19472</cdr:x>
      <cdr:y>0.21302</cdr:y>
    </cdr:from>
    <cdr:to>
      <cdr:x>0.19472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20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0.21759</cdr:y>
    </cdr:from>
    <cdr:to>
      <cdr:x>0.95584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0.80259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0.6689</cdr:x>
      <cdr:y>0.21824</cdr:y>
    </cdr:from>
    <cdr:to>
      <cdr:x>0.6689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582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0.3689</cdr:x>
      <cdr:y>0.21824</cdr:y>
    </cdr:from>
    <cdr:to>
      <cdr:x>0.3689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16866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0.5189</cdr:x>
      <cdr:y>0.21824</cdr:y>
    </cdr:from>
    <cdr:to>
      <cdr:x>0.5189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3724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0.2189</cdr:x>
      <cdr:y>0.21824</cdr:y>
    </cdr:from>
    <cdr:to>
      <cdr:x>0.2189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008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0.96377</cdr:x>
      <cdr:y>0.21652</cdr:y>
    </cdr:from>
    <cdr:to>
      <cdr:x>0.96377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3941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0.81614</cdr:x>
      <cdr:y>0.21652</cdr:y>
    </cdr:from>
    <cdr:to>
      <cdr:x>0.81614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7210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0.66572</cdr:x>
      <cdr:y>0.21652</cdr:y>
    </cdr:from>
    <cdr:to>
      <cdr:x>0.66572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352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0.5153</cdr:x>
      <cdr:y>0.21652</cdr:y>
    </cdr:from>
    <cdr:to>
      <cdr:x>0.5153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3494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0.36507</cdr:x>
      <cdr:y>0.21652</cdr:y>
    </cdr:from>
    <cdr:to>
      <cdr:x>0.36507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85018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0.21725</cdr:x>
      <cdr:y>0.21652</cdr:y>
    </cdr:from>
    <cdr:to>
      <cdr:x>0.21725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62250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0.82192</cdr:x>
      <cdr:y>0.21726</cdr:y>
    </cdr:from>
    <cdr:to>
      <cdr:x>0.9596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8754" y="596900"/>
          <a:ext cx="673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0.21726</cdr:y>
    </cdr:from>
    <cdr:to>
      <cdr:x>0.8104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135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0.22303</cdr:x>
      <cdr:y>0.21726</cdr:y>
    </cdr:from>
    <cdr:to>
      <cdr:x>0.36104</cdr:x>
      <cdr:y>0.30046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0502" y="596900"/>
          <a:ext cx="674798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0.65758</cdr:x>
      <cdr:y>0.2198</cdr:y>
    </cdr:from>
    <cdr:to>
      <cdr:x>0.65758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15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0.81083</cdr:x>
      <cdr:y>0.2198</cdr:y>
    </cdr:from>
    <cdr:to>
      <cdr:x>0.81083</cdr:x>
      <cdr:y>0.80047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964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0.49914</cdr:x>
      <cdr:y>0.2198</cdr:y>
    </cdr:from>
    <cdr:to>
      <cdr:x>0.49914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40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91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0.19524</cdr:x>
      <cdr:y>0.2198</cdr:y>
    </cdr:from>
    <cdr:to>
      <cdr:x>0.19524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46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0.81948</cdr:x>
      <cdr:y>0.21818</cdr:y>
    </cdr:from>
    <cdr:to>
      <cdr:x>0.95715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99060" y="552099"/>
          <a:ext cx="671826" cy="20704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0.21818</cdr:y>
    </cdr:from>
    <cdr:to>
      <cdr:x>0.8026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0.96114</cdr:x>
      <cdr:y>0.21902</cdr:y>
    </cdr:from>
    <cdr:to>
      <cdr:x>0.96114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0473158" y="108171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0.2198</cdr:y>
    </cdr:from>
    <cdr:to>
      <cdr:x>0.66537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3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0.2198</cdr:y>
    </cdr:from>
    <cdr:to>
      <cdr:x>0.52251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548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0.22901</cdr:x>
      <cdr:y>0.2198</cdr:y>
    </cdr:from>
    <cdr:to>
      <cdr:x>0.22901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97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0.21818</cdr:y>
    </cdr:from>
    <cdr:to>
      <cdr:x>0.95584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0.23377</cdr:x>
      <cdr:y>0.21364</cdr:y>
    </cdr:from>
    <cdr:to>
      <cdr:x>0.36883</cdr:x>
      <cdr:y>0.29545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1143000" y="5969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766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0.96147</cdr:x>
      <cdr:y>0.21461</cdr:y>
    </cdr:from>
    <cdr:to>
      <cdr:x>0.96147</cdr:x>
      <cdr:y>0.80603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11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0.81342</cdr:x>
      <cdr:y>0.21461</cdr:y>
    </cdr:from>
    <cdr:to>
      <cdr:x>0.81342</cdr:x>
      <cdr:y>0.80603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72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0.21461</cdr:y>
    </cdr:from>
    <cdr:to>
      <cdr:x>0.66537</cdr:x>
      <cdr:y>0.80603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533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0.21461</cdr:y>
    </cdr:from>
    <cdr:to>
      <cdr:x>0.52251</cdr:x>
      <cdr:y>0.80603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48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0.37186</cdr:x>
      <cdr:y>0.21924</cdr:y>
    </cdr:from>
    <cdr:to>
      <cdr:x>0.37186</cdr:x>
      <cdr:y>0.81066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182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0.22641</cdr:x>
      <cdr:y>0.21924</cdr:y>
    </cdr:from>
    <cdr:to>
      <cdr:x>0.22641</cdr:x>
      <cdr:y>0.81066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070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0.21296</cdr:y>
    </cdr:from>
    <cdr:to>
      <cdr:x>0.80779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0.23117</cdr:x>
      <cdr:y>0.21296</cdr:y>
    </cdr:from>
    <cdr:to>
      <cdr:x>0.36623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303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0.21302</cdr:y>
    </cdr:from>
    <cdr:to>
      <cdr:x>0.96355</cdr:x>
      <cdr:y>0.80445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0.21765</cdr:y>
    </cdr:from>
    <cdr:to>
      <cdr:x>0.8103</cdr:x>
      <cdr:y>0.80908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0.65446</cdr:x>
      <cdr:y>0.21302</cdr:y>
    </cdr:from>
    <cdr:to>
      <cdr:x>0.65446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199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0.50121</cdr:x>
      <cdr:y>0.21302</cdr:y>
    </cdr:from>
    <cdr:to>
      <cdr:x>0.50121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50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0.34796</cdr:x>
      <cdr:y>0.21302</cdr:y>
    </cdr:from>
    <cdr:to>
      <cdr:x>0.34796</cdr:x>
      <cdr:y>0.80445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01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0.19212</cdr:x>
      <cdr:y>0.21302</cdr:y>
    </cdr:from>
    <cdr:to>
      <cdr:x>0.19212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9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0.8026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0.36878</cdr:x>
      <cdr:y>0.21603</cdr:y>
    </cdr:from>
    <cdr:to>
      <cdr:x>0.36878</cdr:x>
      <cdr:y>0.7967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8031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0.66547</cdr:x>
      <cdr:y>0.21824</cdr:y>
    </cdr:from>
    <cdr:to>
      <cdr:x>0.66547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819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0.51482</cdr:x>
      <cdr:y>0.22279</cdr:y>
    </cdr:from>
    <cdr:to>
      <cdr:x>0.51482</cdr:x>
      <cdr:y>0.80346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17219" y="6224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0.22073</cdr:x>
      <cdr:y>0.21603</cdr:y>
    </cdr:from>
    <cdr:to>
      <cdr:x>0.22073</cdr:x>
      <cdr:y>0.7967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792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0.82338</cdr:x>
      <cdr:y>0.21818</cdr:y>
    </cdr:from>
    <cdr:to>
      <cdr:x>0.96104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259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0.21364</cdr:y>
    </cdr:from>
    <cdr:to>
      <cdr:x>0.81039</cdr:x>
      <cdr:y>0.29546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0.22597</cdr:x>
      <cdr:y>0.21364</cdr:y>
    </cdr:from>
    <cdr:to>
      <cdr:x>0.36103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049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0.96378</cdr:x>
      <cdr:y>0.21652</cdr:y>
    </cdr:from>
    <cdr:to>
      <cdr:x>0.96378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0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0.81534</cdr:x>
      <cdr:y>0.21652</cdr:y>
    </cdr:from>
    <cdr:to>
      <cdr:x>0.81534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6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0.6643</cdr:x>
      <cdr:y>0.21652</cdr:y>
    </cdr:from>
    <cdr:to>
      <cdr:x>0.6643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396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0.51586</cdr:x>
      <cdr:y>0.21652</cdr:y>
    </cdr:from>
    <cdr:to>
      <cdr:x>0.51586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157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0.36482</cdr:x>
      <cdr:y>0.21652</cdr:y>
    </cdr:from>
    <cdr:to>
      <cdr:x>0.36482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79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0.21638</cdr:x>
      <cdr:y>0.21652</cdr:y>
    </cdr:from>
    <cdr:to>
      <cdr:x>0.21638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55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0.82031</cdr:x>
      <cdr:y>0.21726</cdr:y>
    </cdr:from>
    <cdr:to>
      <cdr:x>0.95833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0.67188</cdr:x>
      <cdr:y>0.21726</cdr:y>
    </cdr:from>
    <cdr:to>
      <cdr:x>0.80989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0.22396</cdr:x>
      <cdr:y>0.21726</cdr:y>
    </cdr:from>
    <cdr:to>
      <cdr:x>0.35937</cdr:x>
      <cdr:y>0.30045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22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obile.umeng.com/apps/eb00006c4684e34ff9d8d3b5/events/5b7e2198b27b0a7a4200001b?version=" TargetMode="External"/><Relationship Id="rId3" Type="http://schemas.openxmlformats.org/officeDocument/2006/relationships/hyperlink" Target="https://mobile.umeng.com/apps/eb00006c4684e34ff9d8d3b5/events/dashboard?game=true&amp;frame=0" TargetMode="External"/><Relationship Id="rId7" Type="http://schemas.openxmlformats.org/officeDocument/2006/relationships/hyperlink" Target="https://mobile.umeng.com/apps/eb00006c4684e34ff9d8d3b5/events/dashboard?game=true&amp;frame=0" TargetMode="External"/><Relationship Id="rId12" Type="http://schemas.openxmlformats.org/officeDocument/2006/relationships/hyperlink" Target="https://mobile.umeng.com/apps/eb00006c4684e34ff9d8d3b5/events/5b642551f29d98672d000163?version=" TargetMode="External"/><Relationship Id="rId2" Type="http://schemas.openxmlformats.org/officeDocument/2006/relationships/hyperlink" Target="https://mobile.umeng.com/apps/eb00006c4684e34ff9d8d3b5/events/5b3de4bca40fa3572900007d?version=" TargetMode="External"/><Relationship Id="rId1" Type="http://schemas.openxmlformats.org/officeDocument/2006/relationships/hyperlink" Target="https://mobile.umeng.com/apps/eb00006c4684e34ff9d8d3b5/events/dashboard?game=true&amp;frame=0" TargetMode="External"/><Relationship Id="rId6" Type="http://schemas.openxmlformats.org/officeDocument/2006/relationships/hyperlink" Target="https://mobile.umeng.com/apps/eb00006c4684e34ff9d8d3b5/events/5b7e21c5f43e48055e000042?version=" TargetMode="External"/><Relationship Id="rId11" Type="http://schemas.openxmlformats.org/officeDocument/2006/relationships/hyperlink" Target="https://mobile.umeng.com/apps/eb00006c4684e34ff9d8d3b5/events/dashboard?game=true&amp;frame=0" TargetMode="External"/><Relationship Id="rId5" Type="http://schemas.openxmlformats.org/officeDocument/2006/relationships/hyperlink" Target="https://mobile.umeng.com/apps/eb00006c4684e34ff9d8d3b5/events/dashboard?game=true&amp;frame=0" TargetMode="External"/><Relationship Id="rId10" Type="http://schemas.openxmlformats.org/officeDocument/2006/relationships/hyperlink" Target="https://mobile.umeng.com/apps/eb00006c4684e34ff9d8d3b5/events/5b9a23a1f29d983795000100?version=" TargetMode="External"/><Relationship Id="rId4" Type="http://schemas.openxmlformats.org/officeDocument/2006/relationships/hyperlink" Target="https://mobile.umeng.com/apps/eb00006c4684e34ff9d8d3b5/events/5b3de4bca40fa35729000065?version=" TargetMode="External"/><Relationship Id="rId9" Type="http://schemas.openxmlformats.org/officeDocument/2006/relationships/hyperlink" Target="https://mobile.umeng.com/apps/eb00006c4684e34ff9d8d3b5/events/dashboard?game=true&amp;frame=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388"/>
  <sheetViews>
    <sheetView tabSelected="1" zoomScale="119" zoomScaleNormal="119" workbookViewId="0">
      <pane xSplit="2" ySplit="2" topLeftCell="C359" activePane="bottomRight" state="frozen"/>
      <selection pane="topRight"/>
      <selection pane="bottomLeft"/>
      <selection pane="bottomRight" activeCell="I379" sqref="I379"/>
    </sheetView>
  </sheetViews>
  <sheetFormatPr defaultColWidth="10.81640625" defaultRowHeight="16.05" customHeight="1" outlineLevelRow="1" outlineLevelCol="1"/>
  <cols>
    <col min="1" max="1" width="11.6328125" style="170" customWidth="1"/>
    <col min="2" max="2" width="5.1796875" style="171" customWidth="1"/>
    <col min="3" max="3" width="13" style="172" customWidth="1"/>
    <col min="4" max="4" width="13" style="172" customWidth="1" outlineLevel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1.81640625" style="174" customWidth="1"/>
    <col min="41" max="16384" width="10.81640625" style="174"/>
  </cols>
  <sheetData>
    <row r="1" spans="1:40" s="165" customFormat="1" ht="16.05" customHeight="1">
      <c r="A1" s="277" t="s">
        <v>0</v>
      </c>
      <c r="B1" s="269" t="s">
        <v>1</v>
      </c>
      <c r="C1" s="279" t="s">
        <v>2</v>
      </c>
      <c r="D1" s="279" t="s">
        <v>3</v>
      </c>
      <c r="E1" s="281" t="s">
        <v>4</v>
      </c>
      <c r="F1" s="269" t="s">
        <v>5</v>
      </c>
      <c r="G1" s="283" t="s">
        <v>6</v>
      </c>
      <c r="H1" s="285" t="s">
        <v>7</v>
      </c>
      <c r="I1" s="273" t="s">
        <v>8</v>
      </c>
      <c r="J1" s="273" t="s">
        <v>9</v>
      </c>
      <c r="K1" s="273" t="s">
        <v>10</v>
      </c>
      <c r="L1" s="269" t="s">
        <v>11</v>
      </c>
      <c r="M1" s="269" t="s">
        <v>12</v>
      </c>
      <c r="N1" s="269" t="s">
        <v>13</v>
      </c>
      <c r="O1" s="286" t="s">
        <v>14</v>
      </c>
      <c r="P1" s="269" t="s">
        <v>15</v>
      </c>
      <c r="Q1" s="269"/>
      <c r="R1" s="269"/>
      <c r="S1" s="269"/>
      <c r="T1" s="269"/>
      <c r="U1" s="269"/>
      <c r="V1" s="269"/>
      <c r="W1" s="269"/>
      <c r="X1" s="269" t="s">
        <v>16</v>
      </c>
      <c r="Y1" s="273" t="s">
        <v>17</v>
      </c>
      <c r="Z1" s="275" t="s">
        <v>18</v>
      </c>
      <c r="AA1" s="275" t="s">
        <v>19</v>
      </c>
      <c r="AB1" s="269" t="s">
        <v>20</v>
      </c>
      <c r="AC1" s="269" t="s">
        <v>21</v>
      </c>
      <c r="AD1" s="271" t="s">
        <v>22</v>
      </c>
      <c r="AE1" s="273" t="s">
        <v>23</v>
      </c>
      <c r="AF1" s="269" t="s">
        <v>24</v>
      </c>
      <c r="AG1" s="273" t="s">
        <v>25</v>
      </c>
      <c r="AH1" s="267" t="s">
        <v>26</v>
      </c>
      <c r="AI1" s="267" t="s">
        <v>27</v>
      </c>
      <c r="AJ1" s="269" t="s">
        <v>28</v>
      </c>
      <c r="AK1" s="265" t="s">
        <v>29</v>
      </c>
      <c r="AL1" s="265" t="s">
        <v>30</v>
      </c>
      <c r="AM1" s="265" t="s">
        <v>31</v>
      </c>
      <c r="AN1" s="265" t="s">
        <v>32</v>
      </c>
    </row>
    <row r="2" spans="1:40" s="165" customFormat="1" ht="16.05" customHeight="1">
      <c r="A2" s="278"/>
      <c r="B2" s="270"/>
      <c r="C2" s="280"/>
      <c r="D2" s="280"/>
      <c r="E2" s="282"/>
      <c r="F2" s="270"/>
      <c r="G2" s="284"/>
      <c r="H2" s="285"/>
      <c r="I2" s="274"/>
      <c r="J2" s="274"/>
      <c r="K2" s="274"/>
      <c r="L2" s="270"/>
      <c r="M2" s="270"/>
      <c r="N2" s="270"/>
      <c r="O2" s="286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70"/>
      <c r="Y2" s="274"/>
      <c r="Z2" s="276"/>
      <c r="AA2" s="276"/>
      <c r="AB2" s="270"/>
      <c r="AC2" s="270"/>
      <c r="AD2" s="272"/>
      <c r="AE2" s="274"/>
      <c r="AF2" s="270"/>
      <c r="AG2" s="274"/>
      <c r="AH2" s="268"/>
      <c r="AI2" s="268"/>
      <c r="AJ2" s="270"/>
      <c r="AK2" s="266"/>
      <c r="AL2" s="266"/>
      <c r="AM2" s="266"/>
      <c r="AN2" s="266"/>
    </row>
    <row r="3" spans="1:40" ht="16.05" customHeight="1">
      <c r="A3" s="170">
        <v>43344</v>
      </c>
      <c r="B3" s="171" t="s">
        <v>41</v>
      </c>
      <c r="C3" s="172">
        <v>784</v>
      </c>
      <c r="D3" s="172">
        <v>2288</v>
      </c>
      <c r="E3" s="173">
        <f>D3/C3</f>
        <v>2.9183673469387754</v>
      </c>
      <c r="F3" s="174">
        <f t="shared" ref="F3:F31" si="0">E3*M3*G3/1000+E3*AB3/D3*0.7</f>
        <v>0.81858183673469354</v>
      </c>
      <c r="G3" s="175">
        <v>27.14</v>
      </c>
      <c r="I3" s="176">
        <v>0.48099999999999998</v>
      </c>
      <c r="J3" s="176">
        <v>0.24</v>
      </c>
      <c r="K3" s="176">
        <v>9.8000000000000004E-2</v>
      </c>
      <c r="L3" s="174">
        <v>10.649038461538501</v>
      </c>
      <c r="M3" s="177">
        <v>7.2744755244755197</v>
      </c>
      <c r="N3" s="174">
        <v>10.8218465539662</v>
      </c>
      <c r="O3" s="55">
        <f>M3/N3</f>
        <v>0.67220279720279619</v>
      </c>
      <c r="P3" s="167">
        <v>2.39791937581274</v>
      </c>
      <c r="Q3" s="167">
        <v>2.1553966189857001</v>
      </c>
      <c r="R3" s="167">
        <v>2.56566970091027</v>
      </c>
      <c r="S3" s="167">
        <v>0.84265279583875197</v>
      </c>
      <c r="T3" s="167">
        <v>1.4258777633290001</v>
      </c>
      <c r="U3" s="167">
        <v>6.5019505851755496E-4</v>
      </c>
      <c r="V3" s="167">
        <v>1.0955786736020801</v>
      </c>
      <c r="W3" s="167">
        <v>0.33810143042912899</v>
      </c>
      <c r="X3" s="174">
        <v>1.44230769230769E-2</v>
      </c>
      <c r="Y3" s="173">
        <f>X3+M3</f>
        <v>7.2888986013985964</v>
      </c>
      <c r="Z3" s="178">
        <v>50</v>
      </c>
      <c r="AA3" s="178">
        <v>28</v>
      </c>
      <c r="AB3" s="174">
        <v>271.5</v>
      </c>
      <c r="AC3" s="174">
        <v>149</v>
      </c>
      <c r="AD3" s="179">
        <f t="shared" ref="AD3:AD39" si="1">Z3/D3</f>
        <v>2.1853146853146852E-2</v>
      </c>
      <c r="AE3" s="176">
        <f t="shared" ref="AE3:AE66" si="2">AA3/D3</f>
        <v>1.2237762237762238E-2</v>
      </c>
      <c r="AF3" s="174">
        <f>AB3/Z3</f>
        <v>5.43</v>
      </c>
      <c r="AG3" s="180">
        <f>AD3*AF3</f>
        <v>0.11866258741258739</v>
      </c>
      <c r="AH3" s="181">
        <f>624/C3</f>
        <v>0.79591836734693877</v>
      </c>
      <c r="AI3" s="181">
        <f>396/C3</f>
        <v>0.50510204081632648</v>
      </c>
      <c r="AJ3" s="174">
        <f>1334/D3</f>
        <v>0.58304195804195802</v>
      </c>
    </row>
    <row r="4" spans="1:40" ht="16.05" customHeight="1" outlineLevel="1">
      <c r="A4" s="170">
        <v>43345</v>
      </c>
      <c r="B4" s="171" t="s">
        <v>41</v>
      </c>
      <c r="C4" s="172">
        <v>728</v>
      </c>
      <c r="D4" s="172">
        <v>2301</v>
      </c>
      <c r="E4" s="173">
        <f t="shared" ref="E4:E39" si="3">D4/C4</f>
        <v>3.1607142857142856</v>
      </c>
      <c r="F4" s="174">
        <f t="shared" si="0"/>
        <v>0.74818969780219768</v>
      </c>
      <c r="G4" s="175">
        <v>23.98</v>
      </c>
      <c r="I4" s="176">
        <v>0.45500000000000002</v>
      </c>
      <c r="J4" s="176">
        <v>0.21299999999999999</v>
      </c>
      <c r="K4" s="176">
        <v>0.128</v>
      </c>
      <c r="L4" s="174">
        <v>9.3107344632768392</v>
      </c>
      <c r="M4" s="177">
        <v>6.90786614515428</v>
      </c>
      <c r="N4" s="174">
        <v>10.182575272261399</v>
      </c>
      <c r="O4" s="55">
        <f t="shared" ref="O4:O67" si="4">M4/N4</f>
        <v>0.67840069534984593</v>
      </c>
      <c r="P4" s="174">
        <v>2.3593850096092202</v>
      </c>
      <c r="Q4" s="174">
        <v>1.9987187700192199</v>
      </c>
      <c r="R4" s="174">
        <v>2.1076233183856501</v>
      </c>
      <c r="S4" s="174">
        <v>0.83920563741191501</v>
      </c>
      <c r="T4" s="174">
        <v>1.4003843689942299</v>
      </c>
      <c r="U4" s="174">
        <v>0</v>
      </c>
      <c r="V4" s="174">
        <v>1.11531069827034</v>
      </c>
      <c r="W4" s="174">
        <v>0.36194746957078799</v>
      </c>
      <c r="X4" s="174">
        <v>1.5645371577575E-2</v>
      </c>
      <c r="Y4" s="173">
        <f t="shared" ref="Y4:Y67" si="5">X4+M4</f>
        <v>6.9235115167318551</v>
      </c>
      <c r="Z4" s="178">
        <v>40</v>
      </c>
      <c r="AA4" s="178">
        <v>28</v>
      </c>
      <c r="AB4" s="174">
        <v>233.6</v>
      </c>
      <c r="AC4" s="174">
        <v>177</v>
      </c>
      <c r="AD4" s="179">
        <f t="shared" si="1"/>
        <v>1.7383746197305518E-2</v>
      </c>
      <c r="AE4" s="176">
        <f t="shared" si="2"/>
        <v>1.2168622338113864E-2</v>
      </c>
      <c r="AF4" s="174">
        <f t="shared" ref="AF4:AF21" si="6">AB4/Z4</f>
        <v>5.84</v>
      </c>
      <c r="AG4" s="180">
        <f t="shared" ref="AG4:AG43" si="7">AD4*AF4</f>
        <v>0.10152107779226423</v>
      </c>
      <c r="AH4" s="181">
        <f>598/C4</f>
        <v>0.8214285714285714</v>
      </c>
      <c r="AI4" s="181">
        <f>407/C4</f>
        <v>0.55906593406593408</v>
      </c>
      <c r="AJ4" s="174">
        <f>1440/D4</f>
        <v>0.62581486310299872</v>
      </c>
    </row>
    <row r="5" spans="1:40" ht="16.05" customHeight="1" outlineLevel="1">
      <c r="A5" s="170">
        <v>43346</v>
      </c>
      <c r="B5" s="171" t="s">
        <v>41</v>
      </c>
      <c r="C5" s="172">
        <v>800</v>
      </c>
      <c r="D5" s="172">
        <v>2410</v>
      </c>
      <c r="E5" s="173">
        <f t="shared" si="3"/>
        <v>3.0125000000000002</v>
      </c>
      <c r="F5" s="174">
        <f t="shared" si="0"/>
        <v>0.81657420000000025</v>
      </c>
      <c r="G5" s="175">
        <v>25.09</v>
      </c>
      <c r="I5" s="176">
        <v>0.46800000000000003</v>
      </c>
      <c r="J5" s="176">
        <v>0.20899999999999999</v>
      </c>
      <c r="K5" s="176">
        <v>0.128</v>
      </c>
      <c r="L5" s="174">
        <v>9.1186721991701205</v>
      </c>
      <c r="M5" s="177">
        <v>6.7236514522821604</v>
      </c>
      <c r="N5" s="174">
        <v>10.064596273291899</v>
      </c>
      <c r="O5" s="55">
        <f t="shared" si="4"/>
        <v>0.6680497925311224</v>
      </c>
      <c r="P5" s="174">
        <v>2.3111801242236001</v>
      </c>
      <c r="Q5" s="174">
        <v>2.02173913043478</v>
      </c>
      <c r="R5" s="174">
        <v>2.08385093167702</v>
      </c>
      <c r="S5" s="174">
        <v>0.82857142857142896</v>
      </c>
      <c r="T5" s="174">
        <v>1.33105590062112</v>
      </c>
      <c r="U5" s="174">
        <v>0</v>
      </c>
      <c r="V5" s="174">
        <v>1.15900621118012</v>
      </c>
      <c r="W5" s="174">
        <v>0.329192546583851</v>
      </c>
      <c r="X5" s="174">
        <v>9.9585062240663894E-3</v>
      </c>
      <c r="Y5" s="173">
        <f t="shared" si="5"/>
        <v>6.7336099585062268</v>
      </c>
      <c r="Z5" s="178">
        <v>57</v>
      </c>
      <c r="AA5" s="178">
        <v>39</v>
      </c>
      <c r="AB5" s="174">
        <v>352.43</v>
      </c>
      <c r="AC5" s="174">
        <v>310</v>
      </c>
      <c r="AD5" s="179">
        <f t="shared" si="1"/>
        <v>2.3651452282157676E-2</v>
      </c>
      <c r="AE5" s="176">
        <f t="shared" si="2"/>
        <v>1.6182572614107885E-2</v>
      </c>
      <c r="AF5" s="174">
        <f t="shared" si="6"/>
        <v>6.1829824561403512</v>
      </c>
      <c r="AG5" s="180">
        <f t="shared" si="7"/>
        <v>0.14623651452282158</v>
      </c>
      <c r="AH5" s="181">
        <f>592/C5</f>
        <v>0.74</v>
      </c>
      <c r="AI5" s="181">
        <f>373/C5</f>
        <v>0.46625</v>
      </c>
      <c r="AJ5" s="174">
        <f>1497/D5</f>
        <v>0.62116182572614109</v>
      </c>
    </row>
    <row r="6" spans="1:40" ht="16.05" customHeight="1" outlineLevel="1">
      <c r="A6" s="170">
        <v>43347</v>
      </c>
      <c r="B6" s="171" t="s">
        <v>41</v>
      </c>
      <c r="C6" s="172">
        <v>751</v>
      </c>
      <c r="D6" s="172">
        <v>2397</v>
      </c>
      <c r="E6" s="173">
        <f t="shared" si="3"/>
        <v>3.1917443408788282</v>
      </c>
      <c r="F6" s="174">
        <f t="shared" si="0"/>
        <v>0.88230588548601863</v>
      </c>
      <c r="G6" s="175">
        <v>28.27</v>
      </c>
      <c r="I6" s="176">
        <v>0.49399999999999999</v>
      </c>
      <c r="J6" s="176">
        <v>0.24199999999999999</v>
      </c>
      <c r="K6" s="176">
        <v>2.9000000000000001E-2</v>
      </c>
      <c r="L6" s="174">
        <v>8.7196495619524406</v>
      </c>
      <c r="M6" s="177">
        <v>6.3145598664997902</v>
      </c>
      <c r="N6" s="174">
        <v>9.3837569745815195</v>
      </c>
      <c r="O6" s="55">
        <f t="shared" si="4"/>
        <v>0.67292448894451429</v>
      </c>
      <c r="P6" s="174">
        <v>2.2957222566645998</v>
      </c>
      <c r="Q6" s="174">
        <v>1.86856788592684</v>
      </c>
      <c r="R6" s="174">
        <v>1.8431494110353399</v>
      </c>
      <c r="S6" s="174">
        <v>0.846869187848729</v>
      </c>
      <c r="T6" s="174">
        <v>1.3168009919404799</v>
      </c>
      <c r="U6" s="174">
        <v>1.2399256044637299E-3</v>
      </c>
      <c r="V6" s="174">
        <v>0.91816491010539403</v>
      </c>
      <c r="W6" s="174">
        <v>0.29324240545567298</v>
      </c>
      <c r="X6" s="174">
        <v>1.16812682519816E-2</v>
      </c>
      <c r="Y6" s="173">
        <f t="shared" si="5"/>
        <v>6.326241134751772</v>
      </c>
      <c r="Z6" s="178">
        <v>69</v>
      </c>
      <c r="AA6" s="178">
        <v>36</v>
      </c>
      <c r="AB6" s="174">
        <v>335.31</v>
      </c>
      <c r="AC6" s="174">
        <v>184</v>
      </c>
      <c r="AD6" s="179">
        <f t="shared" si="1"/>
        <v>2.8785982478097622E-2</v>
      </c>
      <c r="AE6" s="176">
        <f t="shared" si="2"/>
        <v>1.5018773466833541E-2</v>
      </c>
      <c r="AF6" s="174">
        <f t="shared" si="6"/>
        <v>4.859565217391304</v>
      </c>
      <c r="AG6" s="180">
        <f t="shared" si="7"/>
        <v>0.13988735919899875</v>
      </c>
      <c r="AH6" s="181">
        <f>611/C6</f>
        <v>0.8135818908122503</v>
      </c>
      <c r="AI6" s="181">
        <f>416/C6</f>
        <v>0.5539280958721704</v>
      </c>
      <c r="AJ6" s="174">
        <f>1441/D6</f>
        <v>0.60116812682519816</v>
      </c>
    </row>
    <row r="7" spans="1:40" ht="16.05" customHeight="1" outlineLevel="1">
      <c r="A7" s="170">
        <v>43348</v>
      </c>
      <c r="B7" s="171" t="s">
        <v>41</v>
      </c>
      <c r="C7" s="172">
        <v>768</v>
      </c>
      <c r="D7" s="172">
        <v>2398</v>
      </c>
      <c r="E7" s="173">
        <f t="shared" si="3"/>
        <v>3.1223958333333335</v>
      </c>
      <c r="F7" s="174">
        <f t="shared" si="0"/>
        <v>0.79301188802083322</v>
      </c>
      <c r="G7" s="175">
        <v>28.01</v>
      </c>
      <c r="I7" s="176">
        <v>0.503</v>
      </c>
      <c r="J7" s="176">
        <v>0.27600000000000002</v>
      </c>
      <c r="K7" s="176">
        <v>0.121</v>
      </c>
      <c r="L7" s="174">
        <v>8.5921601334445405</v>
      </c>
      <c r="M7" s="177">
        <v>5.7602168473728099</v>
      </c>
      <c r="N7" s="174">
        <v>8.5212831585441098</v>
      </c>
      <c r="O7" s="55">
        <f t="shared" si="4"/>
        <v>0.67597998331943265</v>
      </c>
      <c r="P7" s="174">
        <v>2.0610734114743998</v>
      </c>
      <c r="Q7" s="174">
        <v>1.65021591610117</v>
      </c>
      <c r="R7" s="174">
        <v>1.6403454657618799</v>
      </c>
      <c r="S7" s="174">
        <v>0.89759407772979605</v>
      </c>
      <c r="T7" s="174">
        <v>1.1474398519432401</v>
      </c>
      <c r="U7" s="174">
        <v>0</v>
      </c>
      <c r="V7" s="174">
        <v>0.80629241209130198</v>
      </c>
      <c r="W7" s="174">
        <v>0.31770512029611397</v>
      </c>
      <c r="X7" s="174">
        <v>6.6750104297037998E-3</v>
      </c>
      <c r="Y7" s="173">
        <f t="shared" si="5"/>
        <v>5.7668918578025137</v>
      </c>
      <c r="Z7" s="178">
        <v>67</v>
      </c>
      <c r="AA7" s="178">
        <v>39</v>
      </c>
      <c r="AB7" s="174">
        <v>317.33</v>
      </c>
      <c r="AC7" s="174">
        <v>245</v>
      </c>
      <c r="AD7" s="179">
        <f t="shared" si="1"/>
        <v>2.7939949958298581E-2</v>
      </c>
      <c r="AE7" s="176">
        <f t="shared" si="2"/>
        <v>1.6263552960800669E-2</v>
      </c>
      <c r="AF7" s="174">
        <f t="shared" si="6"/>
        <v>4.7362686567164181</v>
      </c>
      <c r="AG7" s="180">
        <f t="shared" si="7"/>
        <v>0.13233110925771477</v>
      </c>
      <c r="AH7" s="181">
        <f>589/C7</f>
        <v>0.76692708333333337</v>
      </c>
      <c r="AI7" s="181">
        <f>374/C7</f>
        <v>0.48697916666666669</v>
      </c>
      <c r="AJ7" s="174">
        <f>1726/D7</f>
        <v>0.71976647206005007</v>
      </c>
    </row>
    <row r="8" spans="1:40" ht="16.05" customHeight="1" outlineLevel="1">
      <c r="A8" s="170">
        <v>43349</v>
      </c>
      <c r="B8" s="171" t="s">
        <v>41</v>
      </c>
      <c r="C8" s="172">
        <v>852</v>
      </c>
      <c r="D8" s="172">
        <v>2550</v>
      </c>
      <c r="E8" s="173">
        <f t="shared" si="3"/>
        <v>2.992957746478873</v>
      </c>
      <c r="F8" s="174">
        <f t="shared" si="0"/>
        <v>0.73100106807511778</v>
      </c>
      <c r="G8" s="175">
        <v>27.59</v>
      </c>
      <c r="I8" s="176">
        <v>0.50800000000000001</v>
      </c>
      <c r="J8" s="176">
        <v>0.26300000000000001</v>
      </c>
      <c r="K8" s="176">
        <v>0.14399999999999999</v>
      </c>
      <c r="L8" s="174">
        <v>8.59137254901961</v>
      </c>
      <c r="M8" s="177">
        <v>4.9996078431372597</v>
      </c>
      <c r="N8" s="174">
        <v>7.4251601630751303</v>
      </c>
      <c r="O8" s="55">
        <f t="shared" si="4"/>
        <v>0.67333333333333401</v>
      </c>
      <c r="P8" s="174">
        <v>1.9126383226557999</v>
      </c>
      <c r="Q8" s="174">
        <v>1.38788584740827</v>
      </c>
      <c r="R8" s="174">
        <v>1.0768782760629001</v>
      </c>
      <c r="S8" s="174">
        <v>1.12172393709959</v>
      </c>
      <c r="T8" s="174">
        <v>1.15084449621433</v>
      </c>
      <c r="U8" s="174">
        <v>5.8241118229469997E-4</v>
      </c>
      <c r="V8" s="174">
        <v>0.570762958648806</v>
      </c>
      <c r="W8" s="174">
        <v>0.20559114735002901</v>
      </c>
      <c r="X8" s="174">
        <v>1.66805671392827E-2</v>
      </c>
      <c r="Y8" s="173">
        <f t="shared" si="5"/>
        <v>5.0162884102765428</v>
      </c>
      <c r="Z8" s="178">
        <v>76</v>
      </c>
      <c r="AA8" s="178">
        <v>29</v>
      </c>
      <c r="AB8" s="174">
        <v>387.24</v>
      </c>
      <c r="AC8" s="174">
        <v>227</v>
      </c>
      <c r="AD8" s="179">
        <f t="shared" si="1"/>
        <v>2.9803921568627451E-2</v>
      </c>
      <c r="AE8" s="176">
        <f t="shared" si="2"/>
        <v>1.1372549019607842E-2</v>
      </c>
      <c r="AF8" s="174">
        <f t="shared" si="6"/>
        <v>5.0952631578947374</v>
      </c>
      <c r="AG8" s="180">
        <f t="shared" si="7"/>
        <v>0.1518588235294118</v>
      </c>
      <c r="AH8" s="181">
        <f>704/C8</f>
        <v>0.82629107981220662</v>
      </c>
      <c r="AI8" s="181">
        <f>471/C8</f>
        <v>0.55281690140845074</v>
      </c>
      <c r="AJ8" s="174">
        <f>2553/D8</f>
        <v>1.0011764705882353</v>
      </c>
    </row>
    <row r="9" spans="1:40" ht="16.05" customHeight="1" outlineLevel="1">
      <c r="A9" s="184">
        <v>43350</v>
      </c>
      <c r="B9" s="171" t="s">
        <v>41</v>
      </c>
      <c r="C9" s="172">
        <v>697</v>
      </c>
      <c r="D9" s="172">
        <v>2450</v>
      </c>
      <c r="E9" s="173">
        <f t="shared" si="3"/>
        <v>3.5150645624103301</v>
      </c>
      <c r="F9" s="174">
        <f t="shared" si="0"/>
        <v>0.77450984218077501</v>
      </c>
      <c r="G9" s="175">
        <v>27.43</v>
      </c>
      <c r="I9" s="176">
        <v>0.47899999999999998</v>
      </c>
      <c r="J9" s="176">
        <v>0.20899999999999999</v>
      </c>
      <c r="K9" s="176">
        <v>0.109</v>
      </c>
      <c r="L9" s="174">
        <v>8.0942857142857108</v>
      </c>
      <c r="M9" s="177">
        <v>5.0824489795918399</v>
      </c>
      <c r="N9" s="174">
        <v>7.65334972341733</v>
      </c>
      <c r="O9" s="55">
        <f t="shared" si="4"/>
        <v>0.66408163265306186</v>
      </c>
      <c r="P9" s="174">
        <v>1.8260602335587</v>
      </c>
      <c r="Q9" s="174">
        <v>1.5765212046711701</v>
      </c>
      <c r="R9" s="174">
        <v>1.10018438844499</v>
      </c>
      <c r="S9" s="174">
        <v>1.1167793484941599</v>
      </c>
      <c r="T9" s="174">
        <v>1.1413644744929301</v>
      </c>
      <c r="U9" s="174">
        <v>1.2292562999385399E-3</v>
      </c>
      <c r="V9" s="174">
        <v>0.65089121081745505</v>
      </c>
      <c r="W9" s="174">
        <v>0.24031960663798399</v>
      </c>
      <c r="X9" s="174">
        <v>2.3673469387755101E-2</v>
      </c>
      <c r="Y9" s="173">
        <f t="shared" si="5"/>
        <v>5.1061224489795949</v>
      </c>
      <c r="Z9" s="178">
        <v>75</v>
      </c>
      <c r="AA9" s="178">
        <v>46</v>
      </c>
      <c r="AB9" s="174">
        <v>283.25</v>
      </c>
      <c r="AC9" s="174">
        <v>173</v>
      </c>
      <c r="AD9" s="179">
        <f t="shared" si="1"/>
        <v>3.0612244897959183E-2</v>
      </c>
      <c r="AE9" s="176">
        <f t="shared" si="2"/>
        <v>1.8775510204081632E-2</v>
      </c>
      <c r="AF9" s="174">
        <f t="shared" si="6"/>
        <v>3.7766666666666668</v>
      </c>
      <c r="AG9" s="180">
        <f t="shared" si="7"/>
        <v>0.11561224489795918</v>
      </c>
      <c r="AH9" s="181">
        <f>522/C9</f>
        <v>0.74892395982783355</v>
      </c>
      <c r="AI9" s="181">
        <f>370/C9</f>
        <v>0.53084648493543762</v>
      </c>
      <c r="AJ9" s="174">
        <f>2335/D9</f>
        <v>0.95306122448979591</v>
      </c>
    </row>
    <row r="10" spans="1:40" ht="16.05" customHeight="1" outlineLevel="1">
      <c r="A10" s="170">
        <v>43351</v>
      </c>
      <c r="B10" s="185" t="s">
        <v>41</v>
      </c>
      <c r="C10" s="172">
        <v>684</v>
      </c>
      <c r="D10" s="172">
        <v>2439</v>
      </c>
      <c r="E10" s="173">
        <f t="shared" si="3"/>
        <v>3.5657894736842106</v>
      </c>
      <c r="F10" s="174">
        <f t="shared" si="0"/>
        <v>0.82991754385964933</v>
      </c>
      <c r="G10" s="175">
        <v>23.73</v>
      </c>
      <c r="I10" s="176">
        <v>0.442</v>
      </c>
      <c r="J10" s="176">
        <v>0.17100000000000001</v>
      </c>
      <c r="K10" s="176">
        <v>0.114</v>
      </c>
      <c r="L10" s="174">
        <v>10.0356703567036</v>
      </c>
      <c r="M10" s="177">
        <v>7.1422714227142299</v>
      </c>
      <c r="N10" s="174">
        <v>11.0955414012739</v>
      </c>
      <c r="O10" s="55">
        <f t="shared" si="4"/>
        <v>0.64370643706437003</v>
      </c>
      <c r="P10" s="174">
        <v>2.5095541401273902</v>
      </c>
      <c r="Q10" s="174">
        <v>2.48980891719745</v>
      </c>
      <c r="R10" s="174">
        <v>1.3592356687898099</v>
      </c>
      <c r="S10" s="174">
        <v>0.90191082802547795</v>
      </c>
      <c r="T10" s="174">
        <v>1.6216560509554101</v>
      </c>
      <c r="U10" s="174">
        <v>6.3694267515923596E-4</v>
      </c>
      <c r="V10" s="174">
        <v>1.7273885350318501</v>
      </c>
      <c r="W10" s="174">
        <v>0.48535031847133803</v>
      </c>
      <c r="X10" s="174">
        <v>1.6400164001639999E-2</v>
      </c>
      <c r="Y10" s="173">
        <f t="shared" si="5"/>
        <v>7.1586715867158697</v>
      </c>
      <c r="Z10" s="178">
        <v>59</v>
      </c>
      <c r="AA10" s="178">
        <v>32</v>
      </c>
      <c r="AB10" s="174">
        <v>220.41</v>
      </c>
      <c r="AC10" s="174">
        <v>169</v>
      </c>
      <c r="AD10" s="179">
        <f t="shared" si="1"/>
        <v>2.4190241902419023E-2</v>
      </c>
      <c r="AE10" s="176">
        <f t="shared" si="2"/>
        <v>1.3120131201312012E-2</v>
      </c>
      <c r="AF10" s="174">
        <f t="shared" si="6"/>
        <v>3.7357627118644068</v>
      </c>
      <c r="AG10" s="180">
        <f t="shared" si="7"/>
        <v>9.0369003690036892E-2</v>
      </c>
      <c r="AH10" s="181">
        <f>524/C10</f>
        <v>0.76608187134502925</v>
      </c>
      <c r="AI10" s="181">
        <f>331/C10</f>
        <v>0.48391812865497075</v>
      </c>
      <c r="AJ10" s="174">
        <f>1664/D10</f>
        <v>0.68224682246822466</v>
      </c>
    </row>
    <row r="11" spans="1:40" ht="16.05" customHeight="1" outlineLevel="1">
      <c r="A11" s="170">
        <v>43352</v>
      </c>
      <c r="B11" s="185" t="s">
        <v>41</v>
      </c>
      <c r="C11" s="172">
        <v>719</v>
      </c>
      <c r="D11" s="172">
        <v>2464</v>
      </c>
      <c r="E11" s="173">
        <f t="shared" si="3"/>
        <v>3.4269819193324063</v>
      </c>
      <c r="F11" s="174">
        <f t="shared" si="0"/>
        <v>0.94905735744089026</v>
      </c>
      <c r="G11" s="175">
        <v>26.48</v>
      </c>
      <c r="I11" s="176">
        <v>0.433</v>
      </c>
      <c r="J11" s="176">
        <v>0.20200000000000001</v>
      </c>
      <c r="K11" s="176">
        <v>0.122</v>
      </c>
      <c r="L11" s="174">
        <v>9.3762175324675301</v>
      </c>
      <c r="M11" s="177">
        <v>7.3307629870129896</v>
      </c>
      <c r="N11" s="174">
        <v>11.0883977900552</v>
      </c>
      <c r="O11" s="55">
        <f t="shared" si="4"/>
        <v>0.66112012987013302</v>
      </c>
      <c r="P11" s="174">
        <v>2.3873542050337599</v>
      </c>
      <c r="Q11" s="174">
        <v>2.4303253529772899</v>
      </c>
      <c r="R11" s="174">
        <v>1.4229588704726801</v>
      </c>
      <c r="S11" s="174">
        <v>0.97298956414978499</v>
      </c>
      <c r="T11" s="174">
        <v>1.5267034990791899</v>
      </c>
      <c r="U11" s="174">
        <v>6.1387354205033801E-4</v>
      </c>
      <c r="V11" s="174">
        <v>1.8655616942909801</v>
      </c>
      <c r="W11" s="174">
        <v>0.48189073050951498</v>
      </c>
      <c r="X11" s="174">
        <v>1.1769480519480501E-2</v>
      </c>
      <c r="Y11" s="173">
        <f t="shared" si="5"/>
        <v>7.3425324675324699</v>
      </c>
      <c r="Z11" s="178">
        <v>48</v>
      </c>
      <c r="AA11" s="178">
        <v>31</v>
      </c>
      <c r="AB11" s="174">
        <v>291.52</v>
      </c>
      <c r="AC11" s="174">
        <v>339</v>
      </c>
      <c r="AD11" s="179">
        <f t="shared" si="1"/>
        <v>1.948051948051948E-2</v>
      </c>
      <c r="AE11" s="176">
        <f t="shared" si="2"/>
        <v>1.2581168831168832E-2</v>
      </c>
      <c r="AF11" s="174">
        <f t="shared" si="6"/>
        <v>6.0733333333333333</v>
      </c>
      <c r="AG11" s="180">
        <f t="shared" si="7"/>
        <v>0.11831168831168831</v>
      </c>
      <c r="AH11" s="181">
        <f>557/C11</f>
        <v>0.77468706536856746</v>
      </c>
      <c r="AI11" s="181">
        <f>355/C11</f>
        <v>0.49374130737134908</v>
      </c>
      <c r="AJ11" s="174">
        <f>1648/D11</f>
        <v>0.66883116883116878</v>
      </c>
    </row>
    <row r="12" spans="1:40" ht="16.05" customHeight="1" outlineLevel="1">
      <c r="A12" s="170">
        <v>43353</v>
      </c>
      <c r="B12" s="185" t="s">
        <v>41</v>
      </c>
      <c r="C12" s="172">
        <v>587</v>
      </c>
      <c r="D12" s="172">
        <v>2346</v>
      </c>
      <c r="E12" s="173">
        <f t="shared" si="3"/>
        <v>3.9965928449744466</v>
      </c>
      <c r="F12" s="174">
        <f t="shared" si="0"/>
        <v>1.2798266269165246</v>
      </c>
      <c r="G12" s="175">
        <v>22.59</v>
      </c>
      <c r="I12" s="176">
        <v>0.45300000000000001</v>
      </c>
      <c r="J12" s="176">
        <v>0.19400000000000001</v>
      </c>
      <c r="K12" s="176">
        <v>0.106</v>
      </c>
      <c r="L12" s="174">
        <v>9.1956521739130395</v>
      </c>
      <c r="M12" s="177">
        <v>7.7139812446717801</v>
      </c>
      <c r="N12" s="174">
        <v>11.64</v>
      </c>
      <c r="O12" s="55">
        <f t="shared" si="4"/>
        <v>0.66271316534980929</v>
      </c>
      <c r="P12" s="174">
        <v>2.3957528957529002</v>
      </c>
      <c r="Q12" s="174">
        <v>2.6435006435006398</v>
      </c>
      <c r="R12" s="174">
        <v>1.5546975546975501</v>
      </c>
      <c r="S12" s="174">
        <v>0.94594594594594605</v>
      </c>
      <c r="T12" s="174">
        <v>1.5450450450450499</v>
      </c>
      <c r="U12" s="174">
        <v>2.7429694948876502E-7</v>
      </c>
      <c r="V12" s="174">
        <v>2.0141570141570102</v>
      </c>
      <c r="W12" s="174">
        <v>0.54568854568854597</v>
      </c>
      <c r="X12" s="174">
        <v>1.4492753623188401E-2</v>
      </c>
      <c r="Y12" s="173">
        <f t="shared" si="5"/>
        <v>7.7284739982949686</v>
      </c>
      <c r="Z12" s="178">
        <v>79</v>
      </c>
      <c r="AA12" s="178">
        <v>54</v>
      </c>
      <c r="AB12" s="174">
        <v>489.21</v>
      </c>
      <c r="AC12" s="174">
        <v>228</v>
      </c>
      <c r="AD12" s="179">
        <f t="shared" si="1"/>
        <v>3.3674339300937765E-2</v>
      </c>
      <c r="AE12" s="176">
        <f t="shared" si="2"/>
        <v>2.3017902813299233E-2</v>
      </c>
      <c r="AF12" s="174">
        <f t="shared" si="6"/>
        <v>6.1925316455696198</v>
      </c>
      <c r="AG12" s="180">
        <f t="shared" si="7"/>
        <v>0.20852941176470585</v>
      </c>
      <c r="AH12" s="181">
        <f>474/C12</f>
        <v>0.80749574105621802</v>
      </c>
      <c r="AI12" s="181">
        <f>307/C12</f>
        <v>0.52299829642248719</v>
      </c>
      <c r="AJ12" s="174">
        <f>1790/D12</f>
        <v>0.763000852514919</v>
      </c>
    </row>
    <row r="13" spans="1:40" ht="16.05" customHeight="1" outlineLevel="1">
      <c r="A13" s="184">
        <v>43354</v>
      </c>
      <c r="B13" s="185" t="s">
        <v>41</v>
      </c>
      <c r="C13" s="172">
        <v>564</v>
      </c>
      <c r="D13" s="172">
        <v>2272</v>
      </c>
      <c r="E13" s="173">
        <f t="shared" si="3"/>
        <v>4.0283687943262407</v>
      </c>
      <c r="F13" s="174">
        <f t="shared" si="0"/>
        <v>1.0424738475177306</v>
      </c>
      <c r="G13" s="175">
        <v>25.07</v>
      </c>
      <c r="I13" s="176">
        <v>0.495</v>
      </c>
      <c r="J13" s="176">
        <v>0.23200000000000001</v>
      </c>
      <c r="K13" s="176">
        <v>9.6000000000000002E-2</v>
      </c>
      <c r="L13" s="174">
        <v>8.8609154929577496</v>
      </c>
      <c r="M13" s="177">
        <v>7.7354753521126796</v>
      </c>
      <c r="N13" s="174">
        <v>11.6159947124917</v>
      </c>
      <c r="O13" s="55">
        <f t="shared" si="4"/>
        <v>0.66593309859155181</v>
      </c>
      <c r="P13" s="174">
        <v>2.2703238598810298</v>
      </c>
      <c r="Q13" s="174">
        <v>2.5280898876404501</v>
      </c>
      <c r="R13" s="174">
        <v>1.4996695307336401</v>
      </c>
      <c r="S13" s="174">
        <v>1.0006609385327201</v>
      </c>
      <c r="T13" s="174">
        <v>1.4659616655651</v>
      </c>
      <c r="U13" s="174">
        <v>1.9828155981493701E-3</v>
      </c>
      <c r="V13" s="174">
        <v>2.1592861863846702</v>
      </c>
      <c r="W13" s="174">
        <v>0.69001982815598195</v>
      </c>
      <c r="X13" s="174">
        <v>1.67253521126761E-2</v>
      </c>
      <c r="Y13" s="173">
        <f t="shared" si="5"/>
        <v>7.7522007042253556</v>
      </c>
      <c r="Z13" s="178">
        <v>50</v>
      </c>
      <c r="AA13" s="178">
        <v>34</v>
      </c>
      <c r="AB13" s="174">
        <v>210.5</v>
      </c>
      <c r="AC13" s="174">
        <v>143</v>
      </c>
      <c r="AD13" s="179">
        <f t="shared" si="1"/>
        <v>2.2007042253521125E-2</v>
      </c>
      <c r="AE13" s="176">
        <f t="shared" si="2"/>
        <v>1.4964788732394365E-2</v>
      </c>
      <c r="AF13" s="174">
        <f t="shared" si="6"/>
        <v>4.21</v>
      </c>
      <c r="AG13" s="180">
        <f t="shared" si="7"/>
        <v>9.2649647887323938E-2</v>
      </c>
      <c r="AH13" s="181">
        <f>446/C13</f>
        <v>0.79078014184397161</v>
      </c>
      <c r="AI13" s="181">
        <f>305/C13</f>
        <v>0.54078014184397161</v>
      </c>
      <c r="AJ13" s="174">
        <f>1837/D13</f>
        <v>0.80853873239436624</v>
      </c>
    </row>
    <row r="14" spans="1:40" ht="16.05" customHeight="1" outlineLevel="1">
      <c r="A14" s="170">
        <v>43355</v>
      </c>
      <c r="B14" s="171" t="s">
        <v>41</v>
      </c>
      <c r="C14" s="172">
        <v>510</v>
      </c>
      <c r="D14" s="172">
        <v>2181</v>
      </c>
      <c r="E14" s="173">
        <f t="shared" si="3"/>
        <v>4.276470588235294</v>
      </c>
      <c r="F14" s="174">
        <f t="shared" si="0"/>
        <v>1.3180695294117644</v>
      </c>
      <c r="G14" s="175">
        <v>31.63</v>
      </c>
      <c r="I14" s="176">
        <v>0.49399999999999999</v>
      </c>
      <c r="J14" s="176">
        <v>0.24299999999999999</v>
      </c>
      <c r="K14" s="176">
        <v>0.106</v>
      </c>
      <c r="L14" s="174">
        <v>9.0389729481888992</v>
      </c>
      <c r="M14" s="177">
        <v>7.0802384227418598</v>
      </c>
      <c r="N14" s="174">
        <v>10.562243502052</v>
      </c>
      <c r="O14" s="55">
        <f t="shared" si="4"/>
        <v>0.67033470884915047</v>
      </c>
      <c r="P14" s="174">
        <v>2.0608755129959002</v>
      </c>
      <c r="Q14" s="174">
        <v>2.1470588235294099</v>
      </c>
      <c r="R14" s="174">
        <v>1.5</v>
      </c>
      <c r="S14" s="174">
        <v>1.05608755129959</v>
      </c>
      <c r="T14" s="174">
        <v>1.27154582763338</v>
      </c>
      <c r="U14" s="174">
        <v>0</v>
      </c>
      <c r="V14" s="174">
        <v>1.9842681258549899</v>
      </c>
      <c r="W14" s="174">
        <v>0.54240766073871405</v>
      </c>
      <c r="X14" s="174">
        <v>1.5130674002750999E-2</v>
      </c>
      <c r="Y14" s="173">
        <f t="shared" si="5"/>
        <v>7.0953690967446104</v>
      </c>
      <c r="Z14" s="178">
        <v>45</v>
      </c>
      <c r="AA14" s="178">
        <v>33</v>
      </c>
      <c r="AB14" s="174">
        <v>262.55</v>
      </c>
      <c r="AC14" s="174">
        <v>331.42857142857099</v>
      </c>
      <c r="AD14" s="179">
        <f t="shared" si="1"/>
        <v>2.0632737276478678E-2</v>
      </c>
      <c r="AE14" s="176">
        <f t="shared" si="2"/>
        <v>1.5130674002751032E-2</v>
      </c>
      <c r="AF14" s="174">
        <f t="shared" si="6"/>
        <v>5.8344444444444443</v>
      </c>
      <c r="AG14" s="180">
        <f t="shared" si="7"/>
        <v>0.12038055937643281</v>
      </c>
      <c r="AH14" s="181">
        <f>392/C14</f>
        <v>0.7686274509803922</v>
      </c>
      <c r="AI14" s="181">
        <f>277/C14</f>
        <v>0.54313725490196074</v>
      </c>
      <c r="AJ14" s="174">
        <f>1991/D14</f>
        <v>0.91288399816597887</v>
      </c>
    </row>
    <row r="15" spans="1:40" ht="16.05" customHeight="1" outlineLevel="1">
      <c r="A15" s="170">
        <v>43356</v>
      </c>
      <c r="B15" s="171" t="s">
        <v>41</v>
      </c>
      <c r="C15" s="172">
        <v>569</v>
      </c>
      <c r="D15" s="172">
        <v>2228</v>
      </c>
      <c r="E15" s="173">
        <f t="shared" si="3"/>
        <v>3.9156414762741654</v>
      </c>
      <c r="F15" s="174">
        <f t="shared" si="0"/>
        <v>1.2122386291739893</v>
      </c>
      <c r="G15" s="175">
        <v>32.369999999999997</v>
      </c>
      <c r="I15" s="176">
        <v>0.51500000000000001</v>
      </c>
      <c r="J15" s="176">
        <v>0.26200000000000001</v>
      </c>
      <c r="K15" s="176">
        <v>0.112</v>
      </c>
      <c r="L15" s="174">
        <f>19569/D15</f>
        <v>8.7832136445242366</v>
      </c>
      <c r="M15" s="177">
        <f>14794/D15</f>
        <v>6.640035906642729</v>
      </c>
      <c r="N15" s="174">
        <f>14794/1499</f>
        <v>9.8692461641094056</v>
      </c>
      <c r="O15" s="55">
        <f t="shared" si="4"/>
        <v>0.67280071813285469</v>
      </c>
      <c r="P15" s="174">
        <f>2753/1499</f>
        <v>1.8365577051367579</v>
      </c>
      <c r="Q15" s="174">
        <f>2558/1499</f>
        <v>1.7064709806537692</v>
      </c>
      <c r="R15" s="174">
        <f>2156/1499</f>
        <v>1.438292194796531</v>
      </c>
      <c r="S15" s="174">
        <f>2344/1499</f>
        <v>1.5637091394262841</v>
      </c>
      <c r="T15" s="174">
        <f>1804/1499</f>
        <v>1.2034689793195463</v>
      </c>
      <c r="U15" s="174">
        <f>216/1499</f>
        <v>0.14409606404269512</v>
      </c>
      <c r="V15" s="174">
        <f>2098/1499</f>
        <v>1.3995997331554371</v>
      </c>
      <c r="W15" s="174">
        <f>863/1499</f>
        <v>0.57571714476317548</v>
      </c>
      <c r="X15" s="174">
        <f>26/D15</f>
        <v>1.1669658886894075E-2</v>
      </c>
      <c r="Y15" s="173">
        <f t="shared" si="5"/>
        <v>6.6517055655296229</v>
      </c>
      <c r="Z15" s="178">
        <f>37+10+10+17</f>
        <v>74</v>
      </c>
      <c r="AA15" s="178">
        <v>42</v>
      </c>
      <c r="AB15" s="174">
        <v>301.26</v>
      </c>
      <c r="AC15" s="174">
        <v>294.28571428571399</v>
      </c>
      <c r="AD15" s="179">
        <f t="shared" si="1"/>
        <v>3.3213644524236981E-2</v>
      </c>
      <c r="AE15" s="176">
        <f t="shared" si="2"/>
        <v>1.8850987432675045E-2</v>
      </c>
      <c r="AF15" s="174">
        <f t="shared" si="6"/>
        <v>4.0710810810810809</v>
      </c>
      <c r="AG15" s="180">
        <f t="shared" si="7"/>
        <v>0.13521543985637341</v>
      </c>
      <c r="AH15" s="181">
        <f>444/C15</f>
        <v>0.78031634446397191</v>
      </c>
      <c r="AI15" s="181">
        <f>303/C15</f>
        <v>0.5325131810193322</v>
      </c>
      <c r="AJ15" s="174">
        <f>2785/D15</f>
        <v>1.25</v>
      </c>
    </row>
    <row r="16" spans="1:40" ht="16.05" customHeight="1" outlineLevel="1">
      <c r="A16" s="170">
        <v>43357</v>
      </c>
      <c r="B16" s="171" t="s">
        <v>41</v>
      </c>
      <c r="C16" s="172">
        <v>588</v>
      </c>
      <c r="D16" s="172">
        <v>2263</v>
      </c>
      <c r="E16" s="173">
        <f t="shared" si="3"/>
        <v>3.8486394557823131</v>
      </c>
      <c r="F16" s="174">
        <f t="shared" si="0"/>
        <v>1.0704047619047619</v>
      </c>
      <c r="G16" s="175">
        <v>27.2</v>
      </c>
      <c r="I16" s="176">
        <v>0.442</v>
      </c>
      <c r="J16" s="176">
        <v>0.22600000000000001</v>
      </c>
      <c r="K16" s="176">
        <v>9.4E-2</v>
      </c>
      <c r="L16" s="174">
        <f>19018/D16</f>
        <v>8.4038886433937243</v>
      </c>
      <c r="M16" s="177">
        <f>16310/D16</f>
        <v>7.2072470172337608</v>
      </c>
      <c r="N16" s="174">
        <f>16310/1535</f>
        <v>10.625407166123779</v>
      </c>
      <c r="O16" s="55">
        <f t="shared" si="4"/>
        <v>0.6783031374281927</v>
      </c>
      <c r="P16" s="174">
        <f>2728/1535</f>
        <v>1.7771986970684039</v>
      </c>
      <c r="Q16" s="174">
        <f>2514/1535</f>
        <v>1.637785016286645</v>
      </c>
      <c r="R16" s="174">
        <f>2142/1535</f>
        <v>1.3954397394136808</v>
      </c>
      <c r="S16" s="174">
        <f>2782/1535</f>
        <v>1.8123778501628665</v>
      </c>
      <c r="T16" s="174">
        <f>1684/1535</f>
        <v>1.0970684039087948</v>
      </c>
      <c r="U16" s="174">
        <f>254/1535</f>
        <v>0.16547231270358306</v>
      </c>
      <c r="V16" s="174">
        <f>2957/1535</f>
        <v>1.926384364820847</v>
      </c>
      <c r="W16" s="174">
        <f>1247/1535</f>
        <v>0.81237785016286646</v>
      </c>
      <c r="X16" s="174">
        <f>43/D16</f>
        <v>1.9001325673884226E-2</v>
      </c>
      <c r="Y16" s="173">
        <f t="shared" si="5"/>
        <v>7.2262483429076454</v>
      </c>
      <c r="Z16" s="178">
        <f>25+27+10</f>
        <v>62</v>
      </c>
      <c r="AA16" s="178">
        <v>41</v>
      </c>
      <c r="AB16" s="174">
        <v>265.38</v>
      </c>
      <c r="AC16" s="174">
        <v>268.57142857142901</v>
      </c>
      <c r="AD16" s="179">
        <f t="shared" si="1"/>
        <v>2.7397260273972601E-2</v>
      </c>
      <c r="AE16" s="176">
        <f t="shared" si="2"/>
        <v>1.8117543084401236E-2</v>
      </c>
      <c r="AF16" s="174">
        <f t="shared" si="6"/>
        <v>4.2803225806451612</v>
      </c>
      <c r="AG16" s="180">
        <f t="shared" si="7"/>
        <v>0.11726911179849756</v>
      </c>
      <c r="AH16" s="181">
        <f>467/C16</f>
        <v>0.79421768707482998</v>
      </c>
      <c r="AI16" s="181">
        <f>302/C16</f>
        <v>0.51360544217687076</v>
      </c>
      <c r="AJ16" s="174">
        <f>2749/D16</f>
        <v>1.2147591692443658</v>
      </c>
    </row>
    <row r="17" spans="1:36" ht="16.05" customHeight="1" outlineLevel="1">
      <c r="A17" s="170">
        <v>43358</v>
      </c>
      <c r="B17" s="185" t="s">
        <v>41</v>
      </c>
      <c r="C17" s="172">
        <v>757</v>
      </c>
      <c r="D17" s="172">
        <v>2419</v>
      </c>
      <c r="E17" s="173">
        <f t="shared" si="3"/>
        <v>3.1955085865257598</v>
      </c>
      <c r="F17" s="174">
        <f t="shared" si="0"/>
        <v>0.88235182298546899</v>
      </c>
      <c r="G17" s="175">
        <v>25.77</v>
      </c>
      <c r="I17" s="176">
        <v>0.44500000000000001</v>
      </c>
      <c r="J17" s="176">
        <v>0.186</v>
      </c>
      <c r="K17" s="176">
        <v>9.1999999999999998E-2</v>
      </c>
      <c r="L17" s="174">
        <f>24499/D17</f>
        <v>10.12773873501447</v>
      </c>
      <c r="M17" s="177">
        <f>24729/D17</f>
        <v>10.222819346837536</v>
      </c>
      <c r="N17" s="174">
        <f>24729/1671</f>
        <v>14.798922800718133</v>
      </c>
      <c r="O17" s="55">
        <f t="shared" si="4"/>
        <v>0.69078131459280689</v>
      </c>
      <c r="P17" s="174">
        <v>2.3925792938360302</v>
      </c>
      <c r="Q17" s="174">
        <v>2.3135846798324402</v>
      </c>
      <c r="R17" s="174">
        <v>2.7390783961699601</v>
      </c>
      <c r="S17" s="174">
        <v>1.51705565529623</v>
      </c>
      <c r="T17" s="174">
        <v>1.53859964093357</v>
      </c>
      <c r="U17" s="174">
        <v>0.36564931178934801</v>
      </c>
      <c r="V17" s="174">
        <v>2.9329742669060401</v>
      </c>
      <c r="W17" s="174">
        <v>0.99940155595451796</v>
      </c>
      <c r="X17" s="174">
        <f>68/D17</f>
        <v>2.8110789582472095E-2</v>
      </c>
      <c r="Y17" s="173">
        <f t="shared" si="5"/>
        <v>10.250930136420008</v>
      </c>
      <c r="Z17" s="178">
        <v>18</v>
      </c>
      <c r="AA17" s="178">
        <v>14</v>
      </c>
      <c r="AB17" s="174">
        <v>43.82</v>
      </c>
      <c r="AC17" s="174">
        <v>116.857142857143</v>
      </c>
      <c r="AD17" s="179">
        <f t="shared" si="1"/>
        <v>7.4410913600661431E-3</v>
      </c>
      <c r="AE17" s="176">
        <f t="shared" si="2"/>
        <v>5.7875155022736671E-3</v>
      </c>
      <c r="AF17" s="174">
        <f t="shared" si="6"/>
        <v>2.4344444444444444</v>
      </c>
      <c r="AG17" s="180">
        <f t="shared" si="7"/>
        <v>1.8114923522116577E-2</v>
      </c>
      <c r="AH17" s="181">
        <f>563/C17</f>
        <v>0.74372523117569356</v>
      </c>
      <c r="AI17" s="181">
        <f>297/C17</f>
        <v>0.39233817701453105</v>
      </c>
      <c r="AJ17" s="174">
        <f>1424/D17</f>
        <v>0.58867300537412148</v>
      </c>
    </row>
    <row r="18" spans="1:36" ht="16.05" customHeight="1" outlineLevel="1">
      <c r="A18" s="170">
        <v>43359</v>
      </c>
      <c r="B18" s="185" t="s">
        <v>41</v>
      </c>
      <c r="C18" s="172">
        <v>888</v>
      </c>
      <c r="D18" s="172">
        <v>2730</v>
      </c>
      <c r="E18" s="173">
        <f t="shared" si="3"/>
        <v>3.0743243243243241</v>
      </c>
      <c r="F18" s="174">
        <f t="shared" si="0"/>
        <v>0.9326095382882883</v>
      </c>
      <c r="G18" s="175">
        <v>30.19</v>
      </c>
      <c r="I18" s="176">
        <v>0.438</v>
      </c>
      <c r="J18" s="176">
        <v>0.20599999999999999</v>
      </c>
      <c r="K18" s="176">
        <v>0.11600000000000001</v>
      </c>
      <c r="L18" s="174">
        <f>24949/D18</f>
        <v>9.1388278388278383</v>
      </c>
      <c r="M18" s="177">
        <f>22733/D18</f>
        <v>8.3271062271062277</v>
      </c>
      <c r="N18" s="174">
        <f>22733/1905</f>
        <v>11.933333333333334</v>
      </c>
      <c r="O18" s="55">
        <f t="shared" si="4"/>
        <v>0.69780219780219788</v>
      </c>
      <c r="P18" s="174">
        <v>2.0477690288713899</v>
      </c>
      <c r="Q18" s="174">
        <v>1.9286089238845101</v>
      </c>
      <c r="R18" s="174">
        <v>1.7900262467191601</v>
      </c>
      <c r="S18" s="174">
        <v>1.75853018372703</v>
      </c>
      <c r="T18" s="174">
        <v>1.35433070866142</v>
      </c>
      <c r="U18" s="174">
        <v>0.42677165354330698</v>
      </c>
      <c r="V18" s="174">
        <v>1.9963254593175901</v>
      </c>
      <c r="W18" s="174">
        <v>0.63097112860892401</v>
      </c>
      <c r="X18" s="174">
        <f>105/D18</f>
        <v>3.8461538461538464E-2</v>
      </c>
      <c r="Y18" s="173">
        <f t="shared" si="5"/>
        <v>8.365567765567766</v>
      </c>
      <c r="Z18" s="178">
        <f>21+10+5</f>
        <v>36</v>
      </c>
      <c r="AA18" s="178">
        <v>20</v>
      </c>
      <c r="AB18" s="174">
        <v>202.64</v>
      </c>
      <c r="AC18" s="174">
        <v>465.71428571428601</v>
      </c>
      <c r="AD18" s="179">
        <f t="shared" si="1"/>
        <v>1.3186813186813187E-2</v>
      </c>
      <c r="AE18" s="176">
        <f t="shared" si="2"/>
        <v>7.326007326007326E-3</v>
      </c>
      <c r="AF18" s="174">
        <f t="shared" si="6"/>
        <v>5.6288888888888886</v>
      </c>
      <c r="AG18" s="180">
        <f t="shared" si="7"/>
        <v>7.4227106227106224E-2</v>
      </c>
      <c r="AH18" s="181">
        <f>684/C18</f>
        <v>0.77027027027027029</v>
      </c>
      <c r="AI18" s="181">
        <f>352/C18</f>
        <v>0.3963963963963964</v>
      </c>
      <c r="AJ18" s="174">
        <f>1448/D18</f>
        <v>0.53040293040293041</v>
      </c>
    </row>
    <row r="19" spans="1:36" ht="16.05" customHeight="1" outlineLevel="1">
      <c r="A19" s="170">
        <v>43360</v>
      </c>
      <c r="B19" s="185" t="s">
        <v>41</v>
      </c>
      <c r="C19" s="172">
        <v>910</v>
      </c>
      <c r="D19" s="172">
        <v>2865</v>
      </c>
      <c r="E19" s="173">
        <f t="shared" si="3"/>
        <v>3.1483516483516483</v>
      </c>
      <c r="F19" s="174">
        <f t="shared" si="0"/>
        <v>0.93047098901098901</v>
      </c>
      <c r="G19" s="175">
        <v>27.04</v>
      </c>
      <c r="I19" s="176">
        <v>0.47699999999999998</v>
      </c>
      <c r="J19" s="176">
        <v>0.20300000000000001</v>
      </c>
      <c r="K19" s="176">
        <v>9.9000000000000005E-2</v>
      </c>
      <c r="L19" s="174">
        <f>25882/D19</f>
        <v>9.0338568935427581</v>
      </c>
      <c r="M19" s="177">
        <f>22165/D19</f>
        <v>7.7364746945898775</v>
      </c>
      <c r="N19" s="174">
        <f>22165/1992</f>
        <v>11.127008032128513</v>
      </c>
      <c r="O19" s="55">
        <f t="shared" si="4"/>
        <v>0.69528795811518329</v>
      </c>
      <c r="P19" s="174">
        <f>3886/1992</f>
        <v>1.9508032128514057</v>
      </c>
      <c r="Q19" s="174">
        <f>3525/1992</f>
        <v>1.7695783132530121</v>
      </c>
      <c r="R19" s="174">
        <f>3103/1992</f>
        <v>1.5577309236947792</v>
      </c>
      <c r="S19" s="174">
        <f>3587/1992</f>
        <v>1.8007028112449799</v>
      </c>
      <c r="T19" s="174">
        <f>2582/1992</f>
        <v>1.2961847389558232</v>
      </c>
      <c r="U19" s="174">
        <f>950/1992</f>
        <v>0.47690763052208834</v>
      </c>
      <c r="V19" s="174">
        <f>3401/1992</f>
        <v>1.7073293172690762</v>
      </c>
      <c r="W19" s="174">
        <f>1131/1992</f>
        <v>0.56777108433734935</v>
      </c>
      <c r="X19" s="174">
        <f>73/D19</f>
        <v>2.5479930191972078E-2</v>
      </c>
      <c r="Y19" s="173">
        <f t="shared" si="5"/>
        <v>7.7619546247818496</v>
      </c>
      <c r="Z19" s="178">
        <v>59</v>
      </c>
      <c r="AA19" s="178">
        <v>31</v>
      </c>
      <c r="AB19" s="174">
        <v>353.41</v>
      </c>
      <c r="AD19" s="179">
        <f t="shared" si="1"/>
        <v>2.0593368237347295E-2</v>
      </c>
      <c r="AE19" s="176">
        <f t="shared" si="2"/>
        <v>1.0820244328097731E-2</v>
      </c>
      <c r="AF19" s="174">
        <f t="shared" si="6"/>
        <v>5.99</v>
      </c>
      <c r="AG19" s="180">
        <f t="shared" si="7"/>
        <v>0.1233542757417103</v>
      </c>
      <c r="AH19" s="181">
        <f>725/C19</f>
        <v>0.79670329670329665</v>
      </c>
      <c r="AI19" s="181">
        <f>380/C19</f>
        <v>0.4175824175824176</v>
      </c>
      <c r="AJ19" s="174">
        <f>1659/D19</f>
        <v>0.5790575916230366</v>
      </c>
    </row>
    <row r="20" spans="1:36" ht="16.05" customHeight="1" outlineLevel="1">
      <c r="A20" s="184">
        <v>43361</v>
      </c>
      <c r="B20" s="185" t="s">
        <v>41</v>
      </c>
      <c r="C20" s="172">
        <v>810</v>
      </c>
      <c r="D20" s="172">
        <v>2766</v>
      </c>
      <c r="E20" s="173">
        <f t="shared" si="3"/>
        <v>3.414814814814815</v>
      </c>
      <c r="F20" s="174">
        <f t="shared" si="0"/>
        <v>1.0702405925925926</v>
      </c>
      <c r="G20" s="175">
        <v>31.88</v>
      </c>
      <c r="I20" s="176">
        <v>0.442</v>
      </c>
      <c r="J20" s="176">
        <v>0.24</v>
      </c>
      <c r="K20" s="176">
        <v>9.8000000000000004E-2</v>
      </c>
      <c r="L20" s="174">
        <f>24179/D20</f>
        <v>8.7415039768618943</v>
      </c>
      <c r="M20" s="177">
        <f>20726/D20</f>
        <v>7.4931308749096166</v>
      </c>
      <c r="N20" s="174">
        <f>20726/1862</f>
        <v>11.131041890440386</v>
      </c>
      <c r="O20" s="55">
        <f t="shared" si="4"/>
        <v>0.67317425885755611</v>
      </c>
      <c r="P20" s="174">
        <f>3589/1862</f>
        <v>1.9274973147153598</v>
      </c>
      <c r="Q20" s="174">
        <f>3220/1862</f>
        <v>1.7293233082706767</v>
      </c>
      <c r="R20" s="174">
        <f>2785/1862</f>
        <v>1.495703544575725</v>
      </c>
      <c r="S20" s="174">
        <f>3438/1862</f>
        <v>1.8464017185821697</v>
      </c>
      <c r="T20" s="174">
        <f>2367/1862</f>
        <v>1.2712137486573576</v>
      </c>
      <c r="U20" s="174">
        <f>903/1862</f>
        <v>0.48496240601503759</v>
      </c>
      <c r="V20" s="174">
        <f>3352/1862</f>
        <v>1.8002148227712138</v>
      </c>
      <c r="W20" s="174">
        <f>1072/1862</f>
        <v>0.57572502685284643</v>
      </c>
      <c r="X20" s="174">
        <f>90/D20</f>
        <v>3.2537960954446853E-2</v>
      </c>
      <c r="Y20" s="173">
        <f t="shared" si="5"/>
        <v>7.5256688358640638</v>
      </c>
      <c r="Z20" s="178">
        <f>20+11+6+4+9</f>
        <v>50</v>
      </c>
      <c r="AA20" s="178">
        <v>37</v>
      </c>
      <c r="AB20" s="174">
        <v>294.5</v>
      </c>
      <c r="AD20" s="179">
        <f t="shared" si="1"/>
        <v>1.8076644974692697E-2</v>
      </c>
      <c r="AE20" s="176">
        <f t="shared" si="2"/>
        <v>1.3376717281272595E-2</v>
      </c>
      <c r="AF20" s="174">
        <f t="shared" si="6"/>
        <v>5.89</v>
      </c>
      <c r="AG20" s="180">
        <f t="shared" si="7"/>
        <v>0.10647143890093998</v>
      </c>
      <c r="AH20" s="181">
        <f>677/C20</f>
        <v>0.83580246913580247</v>
      </c>
      <c r="AI20" s="181">
        <f>382/C20</f>
        <v>0.47160493827160493</v>
      </c>
      <c r="AJ20" s="174">
        <f>1657/D20</f>
        <v>0.59906001446131596</v>
      </c>
    </row>
    <row r="21" spans="1:36" ht="16.05" customHeight="1" outlineLevel="1">
      <c r="A21" s="186">
        <v>43362</v>
      </c>
      <c r="B21" s="171" t="s">
        <v>41</v>
      </c>
      <c r="C21" s="172">
        <v>975</v>
      </c>
      <c r="D21" s="172">
        <v>2907</v>
      </c>
      <c r="E21" s="173">
        <f t="shared" si="3"/>
        <v>2.9815384615384617</v>
      </c>
      <c r="F21" s="174">
        <f t="shared" si="0"/>
        <v>0.90652568205128203</v>
      </c>
      <c r="G21" s="175">
        <v>30.07</v>
      </c>
      <c r="I21" s="176">
        <v>0.47599999999999998</v>
      </c>
      <c r="J21" s="176">
        <v>0.20699999999999999</v>
      </c>
      <c r="K21" s="176">
        <v>9.2999999999999999E-2</v>
      </c>
      <c r="L21" s="174">
        <f>24146/D21</f>
        <v>8.3061575507395933</v>
      </c>
      <c r="M21" s="177">
        <f>19722/D21</f>
        <v>6.784313725490196</v>
      </c>
      <c r="N21" s="174">
        <f>19722/1842</f>
        <v>10.70684039087948</v>
      </c>
      <c r="O21" s="55">
        <f t="shared" si="4"/>
        <v>0.6336429308565531</v>
      </c>
      <c r="P21" s="174">
        <f>3516/1842</f>
        <v>1.9087947882736156</v>
      </c>
      <c r="Q21" s="174">
        <f>2980/1842</f>
        <v>1.6178067318132465</v>
      </c>
      <c r="R21" s="174">
        <f>2520/1842</f>
        <v>1.3680781758957654</v>
      </c>
      <c r="S21" s="174">
        <f>3369/1842</f>
        <v>1.8289902280130292</v>
      </c>
      <c r="T21" s="174">
        <f>2273/1842</f>
        <v>1.233984799131379</v>
      </c>
      <c r="U21" s="174">
        <f>970/1842</f>
        <v>0.52660152008686212</v>
      </c>
      <c r="V21" s="174">
        <f>2971/1842</f>
        <v>1.6129207383279045</v>
      </c>
      <c r="W21" s="174">
        <f>1121/1842</f>
        <v>0.60857763300760048</v>
      </c>
      <c r="X21" s="174">
        <f>85/D21</f>
        <v>2.9239766081871343E-2</v>
      </c>
      <c r="Y21" s="173">
        <f t="shared" si="5"/>
        <v>6.8135534915720672</v>
      </c>
      <c r="Z21" s="178">
        <v>54</v>
      </c>
      <c r="AA21" s="178">
        <v>38</v>
      </c>
      <c r="AB21" s="174">
        <v>415.46</v>
      </c>
      <c r="AD21" s="179">
        <f t="shared" si="1"/>
        <v>1.8575851393188854E-2</v>
      </c>
      <c r="AE21" s="176">
        <f t="shared" si="2"/>
        <v>1.3071895424836602E-2</v>
      </c>
      <c r="AF21" s="174">
        <f t="shared" si="6"/>
        <v>7.6937037037037035</v>
      </c>
      <c r="AG21" s="180">
        <f t="shared" si="7"/>
        <v>0.14291709666322669</v>
      </c>
      <c r="AH21" s="181">
        <f>741/C21</f>
        <v>0.76</v>
      </c>
      <c r="AI21" s="181">
        <f>381/C21</f>
        <v>0.39076923076923076</v>
      </c>
      <c r="AJ21" s="174">
        <f>1656/D21</f>
        <v>0.56965944272445823</v>
      </c>
    </row>
    <row r="22" spans="1:36" ht="16.05" customHeight="1" outlineLevel="1">
      <c r="A22" s="186">
        <v>43363</v>
      </c>
      <c r="B22" s="171" t="s">
        <v>41</v>
      </c>
      <c r="C22" s="172">
        <v>1129</v>
      </c>
      <c r="D22" s="172">
        <v>3140</v>
      </c>
      <c r="E22" s="173">
        <f t="shared" si="3"/>
        <v>2.7812223206377324</v>
      </c>
      <c r="F22" s="174">
        <f t="shared" si="0"/>
        <v>0.7181804074402125</v>
      </c>
      <c r="G22" s="175">
        <v>28.07</v>
      </c>
      <c r="I22" s="176">
        <v>0.44500000000000001</v>
      </c>
      <c r="J22" s="176">
        <v>0.17599999999999999</v>
      </c>
      <c r="K22" s="176">
        <v>7.3999999999999996E-2</v>
      </c>
      <c r="L22" s="174">
        <f>25042/D22</f>
        <v>7.9751592356687899</v>
      </c>
      <c r="M22" s="177">
        <f>19624/D22</f>
        <v>6.2496815286624203</v>
      </c>
      <c r="N22" s="174">
        <f>19624/1931</f>
        <v>10.162610046607975</v>
      </c>
      <c r="O22" s="55">
        <f t="shared" si="4"/>
        <v>0.61496815286624207</v>
      </c>
      <c r="P22" s="174">
        <f>3426/1931</f>
        <v>1.7742102537545312</v>
      </c>
      <c r="Q22" s="174">
        <f>3039/1931</f>
        <v>1.5737959606421543</v>
      </c>
      <c r="R22" s="174">
        <f>2093/1931</f>
        <v>1.0838943552563438</v>
      </c>
      <c r="S22" s="174">
        <f>3557/1931</f>
        <v>1.8420507509062662</v>
      </c>
      <c r="T22" s="174">
        <f>2297/1931</f>
        <v>1.1895390989124806</v>
      </c>
      <c r="U22" s="174">
        <f>1146/1931</f>
        <v>0.59347488348006217</v>
      </c>
      <c r="V22" s="174">
        <v>1.5245986535473799</v>
      </c>
      <c r="W22" s="174">
        <f>1122/1931</f>
        <v>0.58104609010875197</v>
      </c>
      <c r="X22" s="174">
        <f>84/D22</f>
        <v>2.6751592356687899E-2</v>
      </c>
      <c r="Y22" s="173">
        <f t="shared" si="5"/>
        <v>6.2764331210191084</v>
      </c>
      <c r="Z22" s="178">
        <f>17+12+9+8+7+4+2+1</f>
        <v>60</v>
      </c>
      <c r="AA22" s="178">
        <v>42</v>
      </c>
      <c r="AB22" s="174">
        <v>371.4</v>
      </c>
      <c r="AD22" s="179">
        <f t="shared" si="1"/>
        <v>1.9108280254777069E-2</v>
      </c>
      <c r="AE22" s="176">
        <f t="shared" si="2"/>
        <v>1.337579617834395E-2</v>
      </c>
      <c r="AF22" s="174">
        <f t="shared" ref="AF22:AF39" si="8">AB22/Z22</f>
        <v>6.1899999999999995</v>
      </c>
      <c r="AG22" s="180">
        <f t="shared" si="7"/>
        <v>0.11828025477707005</v>
      </c>
      <c r="AH22" s="181">
        <f>783/C22</f>
        <v>0.69353410097431356</v>
      </c>
      <c r="AI22" s="181">
        <f>447/C22</f>
        <v>0.39592559787422499</v>
      </c>
      <c r="AJ22" s="174">
        <f>2152/D22</f>
        <v>0.68535031847133754</v>
      </c>
    </row>
    <row r="23" spans="1:36" ht="16.05" customHeight="1" outlineLevel="1">
      <c r="A23" s="186">
        <v>43364</v>
      </c>
      <c r="B23" s="171" t="s">
        <v>41</v>
      </c>
      <c r="C23" s="172">
        <v>1288</v>
      </c>
      <c r="D23" s="172">
        <v>3417</v>
      </c>
      <c r="E23" s="173">
        <f t="shared" si="3"/>
        <v>2.6529503105590062</v>
      </c>
      <c r="F23" s="174">
        <f t="shared" si="0"/>
        <v>0.60254537267080743</v>
      </c>
      <c r="G23" s="175">
        <v>28.97</v>
      </c>
      <c r="I23" s="176">
        <v>0.41799999999999998</v>
      </c>
      <c r="J23" s="176">
        <v>0.19600000000000001</v>
      </c>
      <c r="K23" s="176">
        <v>9.7000000000000003E-2</v>
      </c>
      <c r="L23" s="174">
        <f>27370/D23</f>
        <v>8.0099502487562191</v>
      </c>
      <c r="M23" s="177">
        <f>20252/D23</f>
        <v>5.9268364062042727</v>
      </c>
      <c r="N23" s="174">
        <f>20252/2082</f>
        <v>9.7271853986551395</v>
      </c>
      <c r="O23" s="55">
        <f t="shared" si="4"/>
        <v>0.60930640913081646</v>
      </c>
      <c r="P23" s="174">
        <f>3618/2082</f>
        <v>1.7377521613832854</v>
      </c>
      <c r="Q23" s="174">
        <f>3189/2082</f>
        <v>1.5317002881844379</v>
      </c>
      <c r="R23" s="174">
        <f>2124/2082</f>
        <v>1.0201729106628241</v>
      </c>
      <c r="S23" s="174">
        <f>3689/2082</f>
        <v>1.7718539865513929</v>
      </c>
      <c r="T23" s="174">
        <f>2314/2082</f>
        <v>1.1114313160422671</v>
      </c>
      <c r="U23" s="174">
        <f>1213/2082</f>
        <v>0.58261287223823244</v>
      </c>
      <c r="V23" s="174">
        <f>2992/2082</f>
        <v>1.4370797310278578</v>
      </c>
      <c r="W23" s="174">
        <f>1113/2082</f>
        <v>0.53458213256484155</v>
      </c>
      <c r="X23" s="174">
        <f>113/D23</f>
        <v>3.3069944395668717E-2</v>
      </c>
      <c r="Y23" s="173">
        <f t="shared" si="5"/>
        <v>5.9599063505999412</v>
      </c>
      <c r="Z23" s="178">
        <f>18+9+11+9</f>
        <v>47</v>
      </c>
      <c r="AA23" s="178">
        <v>36</v>
      </c>
      <c r="AB23" s="174">
        <f>(18*0.99+9*7.99+7*4.99+4*9.99+3*19.99+2*9.99+2*2.99+19.99)</f>
        <v>270.53999999999996</v>
      </c>
      <c r="AD23" s="179">
        <f t="shared" si="1"/>
        <v>1.3754755633596722E-2</v>
      </c>
      <c r="AE23" s="176">
        <f t="shared" si="2"/>
        <v>1.0535557506584723E-2</v>
      </c>
      <c r="AF23" s="174">
        <f t="shared" si="8"/>
        <v>5.7561702127659569</v>
      </c>
      <c r="AG23" s="180">
        <f t="shared" si="7"/>
        <v>7.9174714661984183E-2</v>
      </c>
      <c r="AH23" s="181">
        <f>912/C23</f>
        <v>0.70807453416149069</v>
      </c>
      <c r="AI23" s="181">
        <f>445/C23</f>
        <v>0.34549689440993792</v>
      </c>
      <c r="AJ23" s="174">
        <f>2141/D23</f>
        <v>0.62657301726660819</v>
      </c>
    </row>
    <row r="24" spans="1:36" ht="16.05" customHeight="1" outlineLevel="1">
      <c r="A24" s="186">
        <v>43365</v>
      </c>
      <c r="B24" s="185" t="s">
        <v>41</v>
      </c>
      <c r="C24" s="172">
        <v>1439</v>
      </c>
      <c r="D24" s="172">
        <v>3685</v>
      </c>
      <c r="E24" s="173">
        <f t="shared" si="3"/>
        <v>2.5608061153578876</v>
      </c>
      <c r="F24" s="174">
        <f t="shared" si="0"/>
        <v>0.84623646977067413</v>
      </c>
      <c r="G24" s="175">
        <v>29.64</v>
      </c>
      <c r="I24" s="176">
        <v>0.45200000000000001</v>
      </c>
      <c r="J24" s="176">
        <v>0.17699999999999999</v>
      </c>
      <c r="K24" s="176">
        <v>7.3999999999999996E-2</v>
      </c>
      <c r="L24" s="174">
        <f>34857/D24</f>
        <v>9.4591587516960658</v>
      </c>
      <c r="M24" s="177">
        <f>25277/D24</f>
        <v>6.8594301221166889</v>
      </c>
      <c r="N24" s="174">
        <f>25277/2459</f>
        <v>10.279381862545751</v>
      </c>
      <c r="O24" s="55">
        <f t="shared" si="4"/>
        <v>0.6672998643147896</v>
      </c>
      <c r="P24" s="167">
        <f>4854/2459</f>
        <v>1.9739731598210655</v>
      </c>
      <c r="Q24" s="167">
        <f>3930/2459</f>
        <v>1.5982106547376982</v>
      </c>
      <c r="R24" s="167">
        <f>2342/2459</f>
        <v>0.95241968279788536</v>
      </c>
      <c r="S24" s="167">
        <f>4309/2459</f>
        <v>1.7523383489223261</v>
      </c>
      <c r="T24" s="167">
        <f>3034/2459</f>
        <v>1.2338348922326148</v>
      </c>
      <c r="U24" s="167">
        <f>1453/2459</f>
        <v>0.59089060593737297</v>
      </c>
      <c r="V24" s="167">
        <f>3830/2459</f>
        <v>1.557543716958113</v>
      </c>
      <c r="W24" s="167">
        <f>1525/2459</f>
        <v>0.62017080113867429</v>
      </c>
      <c r="X24" s="174">
        <f>81/D24</f>
        <v>2.1981004070556309E-2</v>
      </c>
      <c r="Y24" s="173">
        <f t="shared" si="5"/>
        <v>6.8814111261872455</v>
      </c>
      <c r="Z24" s="178">
        <f>32+17+11+8</f>
        <v>68</v>
      </c>
      <c r="AA24" s="178">
        <v>46</v>
      </c>
      <c r="AB24" s="174">
        <v>669.32</v>
      </c>
      <c r="AD24" s="179">
        <f t="shared" si="1"/>
        <v>1.8453188602442334E-2</v>
      </c>
      <c r="AE24" s="176">
        <f t="shared" si="2"/>
        <v>1.248303934871099E-2</v>
      </c>
      <c r="AF24" s="174">
        <f t="shared" si="8"/>
        <v>9.842941176470589</v>
      </c>
      <c r="AG24" s="180">
        <f t="shared" si="7"/>
        <v>0.18163364993215741</v>
      </c>
      <c r="AH24" s="181">
        <f>1159/C24</f>
        <v>0.80542043085476023</v>
      </c>
      <c r="AI24" s="181">
        <f>618/C24</f>
        <v>0.42946490618485061</v>
      </c>
      <c r="AJ24" s="174">
        <f>9371/D24</f>
        <v>2.5430122116689282</v>
      </c>
    </row>
    <row r="25" spans="1:36" ht="16.05" customHeight="1" outlineLevel="1">
      <c r="A25" s="186">
        <v>43366</v>
      </c>
      <c r="B25" s="185" t="s">
        <v>41</v>
      </c>
      <c r="C25" s="172">
        <v>1773</v>
      </c>
      <c r="D25" s="172">
        <v>4285</v>
      </c>
      <c r="E25" s="173">
        <f t="shared" si="3"/>
        <v>2.4168076706147774</v>
      </c>
      <c r="F25" s="174">
        <f t="shared" si="0"/>
        <v>0.70175932318104906</v>
      </c>
      <c r="G25" s="175">
        <v>28.89</v>
      </c>
      <c r="I25" s="176">
        <v>0.439</v>
      </c>
      <c r="J25" s="176">
        <v>0.19900000000000001</v>
      </c>
      <c r="K25" s="176">
        <v>9.9000000000000005E-2</v>
      </c>
      <c r="L25" s="174">
        <f>39642/D25</f>
        <v>9.2513418903150519</v>
      </c>
      <c r="M25" s="177">
        <f>30152/D25</f>
        <v>7.0366394399066508</v>
      </c>
      <c r="N25" s="174">
        <f>30152/2914</f>
        <v>10.347288949897049</v>
      </c>
      <c r="O25" s="55">
        <f t="shared" si="4"/>
        <v>0.68004667444574096</v>
      </c>
      <c r="P25" s="167">
        <f>5645/2914</f>
        <v>1.9371997254632807</v>
      </c>
      <c r="Q25" s="167">
        <f>4716/2914</f>
        <v>1.6183939601921757</v>
      </c>
      <c r="R25" s="167">
        <f>3035/2914</f>
        <v>1.0415236787920383</v>
      </c>
      <c r="S25" s="167">
        <f>5103/2914</f>
        <v>1.7512010981468771</v>
      </c>
      <c r="T25" s="167">
        <f>3660/2914</f>
        <v>1.2560054907343858</v>
      </c>
      <c r="U25" s="167">
        <f>1843/2914</f>
        <v>0.63246396705559371</v>
      </c>
      <c r="V25" s="167">
        <f>4278/2914</f>
        <v>1.4680851063829787</v>
      </c>
      <c r="W25" s="167">
        <f>1872/2914</f>
        <v>0.64241592312971862</v>
      </c>
      <c r="X25" s="174">
        <f>106/D25</f>
        <v>2.4737456242707116E-2</v>
      </c>
      <c r="Y25" s="173">
        <f t="shared" si="5"/>
        <v>7.0613768961493575</v>
      </c>
      <c r="Z25" s="178">
        <f>39+24+11+12+10</f>
        <v>96</v>
      </c>
      <c r="AA25" s="178">
        <v>72</v>
      </c>
      <c r="AB25" s="174">
        <v>533.04</v>
      </c>
      <c r="AD25" s="179">
        <f t="shared" si="1"/>
        <v>2.2403733955659276E-2</v>
      </c>
      <c r="AE25" s="176">
        <f t="shared" si="2"/>
        <v>1.6802800466744459E-2</v>
      </c>
      <c r="AF25" s="174">
        <f t="shared" si="8"/>
        <v>5.5524999999999993</v>
      </c>
      <c r="AG25" s="180">
        <f t="shared" si="7"/>
        <v>0.12439673278879812</v>
      </c>
      <c r="AH25" s="181">
        <f>1433/C25</f>
        <v>0.80823463056965594</v>
      </c>
      <c r="AI25" s="181">
        <f>732/C25</f>
        <v>0.41285956006768187</v>
      </c>
      <c r="AJ25" s="174">
        <f>1935/D25</f>
        <v>0.45157526254375729</v>
      </c>
    </row>
    <row r="26" spans="1:36" ht="16.05" customHeight="1" outlineLevel="1">
      <c r="A26" s="186">
        <v>43367</v>
      </c>
      <c r="B26" s="185" t="s">
        <v>41</v>
      </c>
      <c r="C26" s="172">
        <v>1175</v>
      </c>
      <c r="D26" s="172">
        <v>3953</v>
      </c>
      <c r="E26" s="173">
        <f t="shared" si="3"/>
        <v>3.3642553191489362</v>
      </c>
      <c r="F26" s="174">
        <f t="shared" si="0"/>
        <v>1.0129029531914895</v>
      </c>
      <c r="G26" s="175">
        <v>33.49</v>
      </c>
      <c r="I26" s="176">
        <v>0.45400000000000001</v>
      </c>
      <c r="J26" s="176">
        <v>0.20499999999999999</v>
      </c>
      <c r="K26" s="176">
        <v>0.107</v>
      </c>
      <c r="L26" s="174">
        <f>36104/D26</f>
        <v>9.1333164685049333</v>
      </c>
      <c r="M26" s="177">
        <f>28153/D26</f>
        <v>7.1219327093346827</v>
      </c>
      <c r="N26" s="174">
        <f>28153/2648</f>
        <v>10.631797583081571</v>
      </c>
      <c r="O26" s="55">
        <f t="shared" si="4"/>
        <v>0.66987098406273715</v>
      </c>
      <c r="P26" s="167">
        <f>5024/2648</f>
        <v>1.8972809667673716</v>
      </c>
      <c r="Q26" s="167">
        <f>4690/2648</f>
        <v>1.7711480362537764</v>
      </c>
      <c r="R26" s="167">
        <f>3013/2648</f>
        <v>1.1378398791540785</v>
      </c>
      <c r="S26" s="167">
        <f>4785/2648</f>
        <v>1.8070241691842901</v>
      </c>
      <c r="T26" s="167">
        <f>3469/2648</f>
        <v>1.3100453172205437</v>
      </c>
      <c r="U26" s="167">
        <f>1535/2648</f>
        <v>0.5796827794561934</v>
      </c>
      <c r="V26" s="167">
        <f>3898/2648</f>
        <v>1.4720543806646527</v>
      </c>
      <c r="W26" s="167">
        <f>1739/2648</f>
        <v>0.65672205438066467</v>
      </c>
      <c r="X26" s="174">
        <f>118/D26</f>
        <v>2.9850746268656716E-2</v>
      </c>
      <c r="Y26" s="173">
        <f t="shared" si="5"/>
        <v>7.1517834556033391</v>
      </c>
      <c r="Z26" s="178">
        <f>22+22+12+6+7</f>
        <v>69</v>
      </c>
      <c r="AA26" s="178">
        <v>57</v>
      </c>
      <c r="AB26" s="174">
        <v>353.31</v>
      </c>
      <c r="AD26" s="179">
        <f t="shared" si="1"/>
        <v>1.7455097394384011E-2</v>
      </c>
      <c r="AE26" s="176">
        <f t="shared" si="2"/>
        <v>1.4419428282317227E-2</v>
      </c>
      <c r="AF26" s="174">
        <f t="shared" si="8"/>
        <v>5.1204347826086956</v>
      </c>
      <c r="AG26" s="180">
        <f t="shared" si="7"/>
        <v>8.9377687832026306E-2</v>
      </c>
      <c r="AH26" s="181">
        <f>982/C26</f>
        <v>0.83574468085106379</v>
      </c>
      <c r="AI26" s="181">
        <f>654/C26</f>
        <v>0.55659574468085105</v>
      </c>
      <c r="AJ26" s="174">
        <f>2050/D26</f>
        <v>0.51859347331140904</v>
      </c>
    </row>
    <row r="27" spans="1:36" ht="16.05" customHeight="1" outlineLevel="1">
      <c r="A27" s="186">
        <v>43368</v>
      </c>
      <c r="B27" s="185" t="s">
        <v>41</v>
      </c>
      <c r="C27" s="172">
        <v>877</v>
      </c>
      <c r="D27" s="172">
        <v>3484</v>
      </c>
      <c r="E27" s="173">
        <f t="shared" si="3"/>
        <v>3.9726339794754848</v>
      </c>
      <c r="F27" s="174">
        <f t="shared" si="0"/>
        <v>1.0690167046750285</v>
      </c>
      <c r="G27" s="175">
        <v>29.83</v>
      </c>
      <c r="I27" s="176">
        <v>0.47199999999999998</v>
      </c>
      <c r="J27" s="176">
        <v>0.19800000000000001</v>
      </c>
      <c r="K27" s="176">
        <v>9.4E-2</v>
      </c>
      <c r="L27" s="174">
        <f>31885/D27</f>
        <v>9.151836969001149</v>
      </c>
      <c r="M27" s="177">
        <f>23255/D27</f>
        <v>6.6747990815154994</v>
      </c>
      <c r="N27" s="174">
        <f>23255/2264</f>
        <v>10.271643109540635</v>
      </c>
      <c r="O27" s="55">
        <f t="shared" si="4"/>
        <v>0.6498277841561424</v>
      </c>
      <c r="P27" s="174">
        <v>1.8237632508833901</v>
      </c>
      <c r="Q27" s="174">
        <v>1.64443462897526</v>
      </c>
      <c r="R27" s="174">
        <v>1.2738515901060099</v>
      </c>
      <c r="S27" s="174">
        <v>1.72835689045936</v>
      </c>
      <c r="T27" s="174">
        <v>1.2866607773851599</v>
      </c>
      <c r="U27" s="174">
        <v>0.55874558303886901</v>
      </c>
      <c r="V27" s="174">
        <v>1.32641342756184</v>
      </c>
      <c r="W27" s="174">
        <v>0.62941696113074197</v>
      </c>
      <c r="X27" s="174">
        <f>68/D27</f>
        <v>1.9517795637198621E-2</v>
      </c>
      <c r="Y27" s="173">
        <f t="shared" si="5"/>
        <v>6.6943168771526977</v>
      </c>
      <c r="Z27" s="178">
        <f>24+14+11+12+6</f>
        <v>67</v>
      </c>
      <c r="AA27" s="178">
        <v>46</v>
      </c>
      <c r="AB27" s="174">
        <f>24*0.99+14*2.99+11*7.99+7*9.99+5*4.99+4*19.99+2*9.99</f>
        <v>348.33</v>
      </c>
      <c r="AC27" s="194"/>
      <c r="AD27" s="179">
        <f t="shared" si="1"/>
        <v>1.9230769230769232E-2</v>
      </c>
      <c r="AE27" s="176">
        <f t="shared" si="2"/>
        <v>1.3203214695752009E-2</v>
      </c>
      <c r="AF27" s="174">
        <f t="shared" si="8"/>
        <v>5.1989552238805965</v>
      </c>
      <c r="AG27" s="180">
        <f t="shared" si="7"/>
        <v>9.9979908151549932E-2</v>
      </c>
      <c r="AH27" s="181">
        <f>692/C27</f>
        <v>0.78905359179019385</v>
      </c>
      <c r="AI27" s="181">
        <f>433/C27</f>
        <v>0.49372862029646525</v>
      </c>
      <c r="AJ27" s="174">
        <f>2179/D27</f>
        <v>0.62543053960964412</v>
      </c>
    </row>
    <row r="28" spans="1:36" ht="16.05" customHeight="1" outlineLevel="1">
      <c r="A28" s="170">
        <v>43369</v>
      </c>
      <c r="B28" s="187" t="s">
        <v>41</v>
      </c>
      <c r="C28" s="172">
        <v>1020</v>
      </c>
      <c r="D28" s="172">
        <v>3420</v>
      </c>
      <c r="E28" s="173">
        <f t="shared" si="3"/>
        <v>3.3529411764705883</v>
      </c>
      <c r="F28" s="174">
        <f t="shared" si="0"/>
        <v>0.77633558823529403</v>
      </c>
      <c r="G28" s="175">
        <v>28.1</v>
      </c>
      <c r="I28" s="176">
        <v>0.46100000000000002</v>
      </c>
      <c r="J28" s="176">
        <v>0.182</v>
      </c>
      <c r="K28" s="176">
        <v>7.4999999999999997E-2</v>
      </c>
      <c r="L28" s="174">
        <f>30891/D28</f>
        <v>9.0324561403508774</v>
      </c>
      <c r="M28" s="177">
        <f>21643/D28</f>
        <v>6.3283625730994153</v>
      </c>
      <c r="N28" s="174">
        <f>21643/2236</f>
        <v>9.6793381037567077</v>
      </c>
      <c r="O28" s="55">
        <f t="shared" si="4"/>
        <v>0.65380116959064338</v>
      </c>
      <c r="P28" s="174">
        <f>3897/2236</f>
        <v>1.7428443649373881</v>
      </c>
      <c r="Q28" s="174">
        <f>2961/2236</f>
        <v>1.3242397137745976</v>
      </c>
      <c r="R28" s="174">
        <f>2430/2236</f>
        <v>1.0867620751341682</v>
      </c>
      <c r="S28" s="174">
        <f>4393/2236</f>
        <v>1.9646690518783543</v>
      </c>
      <c r="T28" s="174">
        <f>2678/2236</f>
        <v>1.1976744186046511</v>
      </c>
      <c r="U28" s="174">
        <f>1300/2236</f>
        <v>0.58139534883720934</v>
      </c>
      <c r="V28" s="174">
        <f>2623/2236</f>
        <v>1.1730769230769231</v>
      </c>
      <c r="W28" s="174">
        <f>1363/2236</f>
        <v>0.60957066189624332</v>
      </c>
      <c r="X28" s="174">
        <f>76/D28</f>
        <v>2.2222222222222223E-2</v>
      </c>
      <c r="Y28" s="173">
        <f t="shared" si="5"/>
        <v>6.3505847953216374</v>
      </c>
      <c r="Z28" s="178">
        <f>42+16</f>
        <v>58</v>
      </c>
      <c r="AA28" s="178">
        <v>37</v>
      </c>
      <c r="AB28" s="174">
        <f>20*0.99+12*7.99+10*4.99+9*2.99+7*9.99</f>
        <v>262.41999999999996</v>
      </c>
      <c r="AC28" s="194"/>
      <c r="AD28" s="179">
        <f t="shared" si="1"/>
        <v>1.6959064327485378E-2</v>
      </c>
      <c r="AE28" s="176">
        <f t="shared" si="2"/>
        <v>1.0818713450292398E-2</v>
      </c>
      <c r="AF28" s="174">
        <f t="shared" si="8"/>
        <v>4.5244827586206888</v>
      </c>
      <c r="AG28" s="180">
        <f t="shared" si="7"/>
        <v>7.6730994152046761E-2</v>
      </c>
      <c r="AH28" s="181">
        <f>825/C28</f>
        <v>0.80882352941176472</v>
      </c>
      <c r="AI28" s="181">
        <f>473/C28</f>
        <v>0.46372549019607845</v>
      </c>
      <c r="AJ28" s="174">
        <f>2302/D28</f>
        <v>0.67309941520467831</v>
      </c>
    </row>
    <row r="29" spans="1:36" ht="16.05" customHeight="1" outlineLevel="1">
      <c r="A29" s="170">
        <v>43370</v>
      </c>
      <c r="B29" s="187" t="s">
        <v>41</v>
      </c>
      <c r="C29" s="172">
        <v>1345</v>
      </c>
      <c r="D29" s="172">
        <v>3717</v>
      </c>
      <c r="E29" s="173">
        <f t="shared" si="3"/>
        <v>2.7635687732342009</v>
      </c>
      <c r="F29" s="174">
        <f t="shared" si="0"/>
        <v>0.64812432713754642</v>
      </c>
      <c r="G29" s="175">
        <v>26.81</v>
      </c>
      <c r="I29" s="176">
        <v>0.48199999999999998</v>
      </c>
      <c r="J29" s="176">
        <v>0.18099999999999999</v>
      </c>
      <c r="K29" s="176">
        <v>9.9000000000000005E-2</v>
      </c>
      <c r="L29" s="174">
        <f>32903/D29</f>
        <v>8.852031207963412</v>
      </c>
      <c r="M29" s="177">
        <f>22662/D29</f>
        <v>6.0968523002421309</v>
      </c>
      <c r="N29" s="174">
        <f>22662/2443</f>
        <v>9.2762996316004909</v>
      </c>
      <c r="O29" s="55">
        <f t="shared" si="4"/>
        <v>0.65725047080979293</v>
      </c>
      <c r="P29" s="174">
        <f>4269/2443</f>
        <v>1.7474416700777733</v>
      </c>
      <c r="Q29" s="174">
        <f>2998/2443</f>
        <v>1.2271796970937372</v>
      </c>
      <c r="R29" s="174">
        <f>2478/2443</f>
        <v>1.0143266475644699</v>
      </c>
      <c r="S29" s="174">
        <f>4167/2443</f>
        <v>1.7056897257470323</v>
      </c>
      <c r="T29" s="174">
        <f>2891/2443</f>
        <v>1.183381088825215</v>
      </c>
      <c r="U29" s="174">
        <f>1506/2443</f>
        <v>0.61645517805976258</v>
      </c>
      <c r="V29" s="174">
        <f>2849/2443</f>
        <v>1.1661891117478509</v>
      </c>
      <c r="W29" s="174">
        <f>1503/2443</f>
        <v>0.61522717969709373</v>
      </c>
      <c r="X29" s="174">
        <f>70/D29</f>
        <v>1.8832391713747645E-2</v>
      </c>
      <c r="Y29" s="173">
        <f t="shared" si="5"/>
        <v>6.1156846919558783</v>
      </c>
      <c r="Z29" s="178">
        <f>20+15+8+8+12</f>
        <v>63</v>
      </c>
      <c r="AA29" s="178">
        <v>40</v>
      </c>
      <c r="AB29" s="174">
        <f>20*0.99+15*7.99+8*4.99+10*9.99+6*2.99+4*19.99</f>
        <v>377.37</v>
      </c>
      <c r="AC29" s="194"/>
      <c r="AD29" s="179">
        <f t="shared" si="1"/>
        <v>1.6949152542372881E-2</v>
      </c>
      <c r="AE29" s="176">
        <f t="shared" si="2"/>
        <v>1.0761366693570083E-2</v>
      </c>
      <c r="AF29" s="174">
        <f t="shared" si="8"/>
        <v>5.99</v>
      </c>
      <c r="AG29" s="180">
        <f t="shared" si="7"/>
        <v>0.10152542372881357</v>
      </c>
      <c r="AH29" s="181">
        <f>1070/C29</f>
        <v>0.79553903345724908</v>
      </c>
      <c r="AI29" s="181">
        <f>557/C29</f>
        <v>0.4141263940520446</v>
      </c>
      <c r="AJ29" s="174">
        <f>2405/D29</f>
        <v>0.64702717245090124</v>
      </c>
    </row>
    <row r="30" spans="1:36" ht="16.05" customHeight="1" outlineLevel="1">
      <c r="A30" s="184">
        <v>43371</v>
      </c>
      <c r="B30" s="187" t="s">
        <v>41</v>
      </c>
      <c r="C30" s="172">
        <v>1498</v>
      </c>
      <c r="D30" s="172">
        <v>3960</v>
      </c>
      <c r="E30" s="173">
        <f t="shared" si="3"/>
        <v>2.6435246995994661</v>
      </c>
      <c r="F30" s="174">
        <f t="shared" si="0"/>
        <v>0.59092720961281708</v>
      </c>
      <c r="G30" s="175">
        <v>28.68</v>
      </c>
      <c r="I30" s="176">
        <v>0.46600000000000003</v>
      </c>
      <c r="J30" s="176">
        <v>0.20799999999999999</v>
      </c>
      <c r="K30" s="176">
        <v>9.2999999999999999E-2</v>
      </c>
      <c r="L30" s="174">
        <f>34740/D30</f>
        <v>8.7727272727272734</v>
      </c>
      <c r="M30" s="177">
        <f>23897/D30</f>
        <v>6.0345959595959595</v>
      </c>
      <c r="N30" s="174">
        <f>23897/2603</f>
        <v>9.1805608912792938</v>
      </c>
      <c r="O30" s="55">
        <f t="shared" si="4"/>
        <v>0.65732323232323231</v>
      </c>
      <c r="P30" s="167">
        <f>4552/2603</f>
        <v>1.7487514406454092</v>
      </c>
      <c r="Q30" s="167">
        <f>3340/2603</f>
        <v>1.2831348444102959</v>
      </c>
      <c r="R30" s="167">
        <f>2390/2603</f>
        <v>0.91817134076066076</v>
      </c>
      <c r="S30" s="167">
        <f>4593/2603</f>
        <v>1.7645024971187091</v>
      </c>
      <c r="T30" s="167">
        <f>3033/2603</f>
        <v>1.1651940069150979</v>
      </c>
      <c r="U30" s="167">
        <f>1593/2603</f>
        <v>0.61198616980407228</v>
      </c>
      <c r="V30" s="167">
        <f>2861/2603</f>
        <v>1.0991164041490589</v>
      </c>
      <c r="W30" s="167">
        <f>1535/2603</f>
        <v>0.58970418747598929</v>
      </c>
      <c r="X30" s="174">
        <f>70/D30</f>
        <v>1.7676767676767676E-2</v>
      </c>
      <c r="Y30" s="173">
        <f t="shared" si="5"/>
        <v>6.0522727272727268</v>
      </c>
      <c r="Z30" s="178">
        <f>33+15+3</f>
        <v>51</v>
      </c>
      <c r="AA30" s="178">
        <v>39</v>
      </c>
      <c r="AB30" s="174">
        <f>23*0.99+79.9+6*2.99+4*19.99+3*4.99+2*9.99+19.99+9.99+19.99</f>
        <v>285.49</v>
      </c>
      <c r="AC30" s="194"/>
      <c r="AD30" s="179">
        <f t="shared" si="1"/>
        <v>1.2878787878787878E-2</v>
      </c>
      <c r="AE30" s="176">
        <f t="shared" si="2"/>
        <v>9.8484848484848477E-3</v>
      </c>
      <c r="AF30" s="174">
        <f t="shared" si="8"/>
        <v>5.5978431372549018</v>
      </c>
      <c r="AG30" s="180">
        <f t="shared" si="7"/>
        <v>7.2093434343434334E-2</v>
      </c>
      <c r="AH30" s="181">
        <f>1232/C30</f>
        <v>0.82242990654205606</v>
      </c>
      <c r="AI30" s="181">
        <f>589/C30</f>
        <v>0.3931909212283044</v>
      </c>
      <c r="AJ30" s="174">
        <f>2147/D30</f>
        <v>0.54217171717171719</v>
      </c>
    </row>
    <row r="31" spans="1:36" ht="16.05" customHeight="1" outlineLevel="1">
      <c r="A31" s="186">
        <v>43372</v>
      </c>
      <c r="B31" s="185" t="s">
        <v>41</v>
      </c>
      <c r="C31" s="172">
        <v>1387</v>
      </c>
      <c r="D31" s="172">
        <v>3979</v>
      </c>
      <c r="E31" s="173">
        <f t="shared" si="3"/>
        <v>2.8687815428983416</v>
      </c>
      <c r="F31" s="174">
        <f t="shared" si="0"/>
        <v>0.8656299927901947</v>
      </c>
      <c r="G31" s="175">
        <v>28.98</v>
      </c>
      <c r="I31" s="176">
        <v>0.42499999999999999</v>
      </c>
      <c r="J31" s="176">
        <v>0.17699999999999999</v>
      </c>
      <c r="K31" s="176">
        <v>0.1</v>
      </c>
      <c r="L31" s="174">
        <f>37922/D31</f>
        <v>9.5305353103794932</v>
      </c>
      <c r="M31" s="177">
        <f>26810/D31</f>
        <v>6.7378738376476504</v>
      </c>
      <c r="N31" s="174">
        <f>26810/2568</f>
        <v>10.440031152647975</v>
      </c>
      <c r="O31" s="55">
        <f t="shared" si="4"/>
        <v>0.6453882885147022</v>
      </c>
      <c r="P31" s="167">
        <f>5185/2568</f>
        <v>2.0190809968847354</v>
      </c>
      <c r="Q31" s="167">
        <f>4059/2568</f>
        <v>1.580607476635514</v>
      </c>
      <c r="R31" s="167">
        <f>3057/2569</f>
        <v>1.189957181782795</v>
      </c>
      <c r="S31" s="167">
        <f>4391/2568</f>
        <v>1.7098909657320873</v>
      </c>
      <c r="T31" s="167">
        <f>3474/2568</f>
        <v>1.3528037383177569</v>
      </c>
      <c r="U31" s="167">
        <f>1397/2568</f>
        <v>0.5440031152647975</v>
      </c>
      <c r="V31" s="167">
        <f>3517/2568</f>
        <v>1.3695482866043613</v>
      </c>
      <c r="W31" s="167">
        <f>1709/2568</f>
        <v>0.66549844236760125</v>
      </c>
      <c r="X31" s="174">
        <f>61/D31</f>
        <v>1.5330485046494095E-2</v>
      </c>
      <c r="Y31" s="173">
        <f t="shared" si="5"/>
        <v>6.7532043226941445</v>
      </c>
      <c r="Z31" s="178">
        <f>17+15+13+12+8+7+3</f>
        <v>75</v>
      </c>
      <c r="AA31" s="178">
        <v>51</v>
      </c>
      <c r="AB31" s="174">
        <f>17*0.99+15*7.99+13*2.99+12*4.99+8*9.99+5*19.99+2*9.99+49.99+19.99+99.99</f>
        <v>605.25</v>
      </c>
      <c r="AC31" s="194"/>
      <c r="AD31" s="179">
        <f t="shared" si="1"/>
        <v>1.8848957024377985E-2</v>
      </c>
      <c r="AE31" s="176">
        <f t="shared" si="2"/>
        <v>1.2817290776577029E-2</v>
      </c>
      <c r="AF31" s="174">
        <f t="shared" si="8"/>
        <v>8.07</v>
      </c>
      <c r="AG31" s="180">
        <f t="shared" si="7"/>
        <v>0.15211108318673033</v>
      </c>
      <c r="AH31" s="181">
        <f>1104/C31</f>
        <v>0.79596250901225662</v>
      </c>
      <c r="AI31" s="181">
        <f>629/C31</f>
        <v>0.45349675558759911</v>
      </c>
      <c r="AJ31" s="174">
        <f>1769/D31</f>
        <v>0.4445840663483287</v>
      </c>
    </row>
    <row r="32" spans="1:36" ht="16.05" customHeight="1" outlineLevel="1">
      <c r="A32" s="186">
        <v>43373</v>
      </c>
      <c r="B32" s="185" t="s">
        <v>41</v>
      </c>
      <c r="C32" s="172">
        <v>1266</v>
      </c>
      <c r="D32" s="172">
        <v>3951</v>
      </c>
      <c r="E32" s="173">
        <f t="shared" si="3"/>
        <v>3.1208530805687205</v>
      </c>
      <c r="F32" s="174">
        <f t="shared" ref="F32:F38" si="9">3.3*M32*G32/1000+AB32/D32*3.3*0.7</f>
        <v>1.0684449840546695</v>
      </c>
      <c r="G32" s="175">
        <v>27.16</v>
      </c>
      <c r="I32" s="176">
        <v>0.41499999999999998</v>
      </c>
      <c r="J32" s="176">
        <v>0.17899999999999999</v>
      </c>
      <c r="K32" s="176">
        <v>8.7999999999999995E-2</v>
      </c>
      <c r="L32" s="174">
        <v>8.6082004555808709</v>
      </c>
      <c r="M32" s="177">
        <v>6.4462161478106799</v>
      </c>
      <c r="N32" s="174">
        <v>9.8985619898950592</v>
      </c>
      <c r="O32" s="55">
        <f t="shared" si="4"/>
        <v>0.65122753733232119</v>
      </c>
      <c r="P32" s="167">
        <v>1.87796346677031</v>
      </c>
      <c r="Q32" s="167">
        <v>1.4823163622230899</v>
      </c>
      <c r="R32" s="167">
        <v>1.26389428682472</v>
      </c>
      <c r="S32" s="167">
        <v>1.61212592304703</v>
      </c>
      <c r="T32" s="167">
        <v>1.26039642440731</v>
      </c>
      <c r="U32" s="167">
        <v>0.56626506024096401</v>
      </c>
      <c r="V32" s="167">
        <v>1.2098717450446901</v>
      </c>
      <c r="W32" s="167">
        <v>0.625728721336961</v>
      </c>
      <c r="X32" s="174">
        <v>2.4550746646418601E-2</v>
      </c>
      <c r="Y32" s="173">
        <f t="shared" si="5"/>
        <v>6.4707668944570989</v>
      </c>
      <c r="Z32" s="178">
        <v>74</v>
      </c>
      <c r="AA32" s="178">
        <v>50</v>
      </c>
      <c r="AB32" s="174">
        <v>839.26</v>
      </c>
      <c r="AC32" s="194"/>
      <c r="AD32" s="179">
        <f t="shared" si="1"/>
        <v>1.8729435585927615E-2</v>
      </c>
      <c r="AE32" s="176">
        <f t="shared" si="2"/>
        <v>1.2655024044545684E-2</v>
      </c>
      <c r="AF32" s="174">
        <f t="shared" si="8"/>
        <v>11.341351351351351</v>
      </c>
      <c r="AG32" s="180">
        <f t="shared" si="7"/>
        <v>0.21241710959250823</v>
      </c>
      <c r="AH32" s="181">
        <v>0.79620853080568699</v>
      </c>
      <c r="AI32" s="181">
        <v>0.47314375987361801</v>
      </c>
      <c r="AJ32" s="174">
        <v>0.44343204252088098</v>
      </c>
    </row>
    <row r="33" spans="1:39" ht="16.05" customHeight="1">
      <c r="A33" s="186">
        <v>43374</v>
      </c>
      <c r="B33" s="185" t="s">
        <v>41</v>
      </c>
      <c r="C33" s="172">
        <v>1598</v>
      </c>
      <c r="D33" s="172">
        <v>4338</v>
      </c>
      <c r="E33" s="173">
        <f t="shared" si="3"/>
        <v>2.7146433041301625</v>
      </c>
      <c r="F33" s="167">
        <f t="shared" si="9"/>
        <v>0.79141652835408038</v>
      </c>
      <c r="G33" s="175">
        <v>25.3</v>
      </c>
      <c r="I33" s="176">
        <v>0.442</v>
      </c>
      <c r="J33" s="176">
        <v>0.19</v>
      </c>
      <c r="K33" s="176">
        <v>0.107</v>
      </c>
      <c r="L33" s="174">
        <v>9.1851083448593798</v>
      </c>
      <c r="M33" s="177">
        <v>6.5813739050253597</v>
      </c>
      <c r="N33" s="174">
        <v>10</v>
      </c>
      <c r="O33" s="55">
        <f t="shared" si="4"/>
        <v>0.65813739050253595</v>
      </c>
      <c r="P33" s="167">
        <v>1.8763572679509599</v>
      </c>
      <c r="Q33" s="167">
        <v>1.4637478108581401</v>
      </c>
      <c r="R33" s="167">
        <v>1.2077057793345001</v>
      </c>
      <c r="S33" s="167">
        <v>1.7401050788091099</v>
      </c>
      <c r="T33" s="167">
        <v>1.2535901926444799</v>
      </c>
      <c r="U33" s="167">
        <v>0.59124343257443102</v>
      </c>
      <c r="V33" s="167">
        <v>1.2287215411558701</v>
      </c>
      <c r="W33" s="167">
        <v>0.63852889667250401</v>
      </c>
      <c r="X33" s="174">
        <v>4.0571692023974197E-2</v>
      </c>
      <c r="Y33" s="173">
        <f t="shared" si="5"/>
        <v>6.6219455970493337</v>
      </c>
      <c r="Z33" s="178">
        <v>66</v>
      </c>
      <c r="AA33" s="178">
        <v>54</v>
      </c>
      <c r="AB33" s="174">
        <v>454.34</v>
      </c>
      <c r="AC33" s="194"/>
      <c r="AD33" s="179">
        <f t="shared" si="1"/>
        <v>1.5214384508990318E-2</v>
      </c>
      <c r="AE33" s="176">
        <f t="shared" si="2"/>
        <v>1.2448132780082987E-2</v>
      </c>
      <c r="AF33" s="174">
        <f t="shared" si="8"/>
        <v>6.8839393939393938</v>
      </c>
      <c r="AG33" s="180">
        <f t="shared" ref="AG33:AG38" si="10">AD33*AF33</f>
        <v>0.10473490087597971</v>
      </c>
      <c r="AH33" s="181">
        <v>0.77284105131414305</v>
      </c>
      <c r="AI33" s="181">
        <v>0.43992490613266599</v>
      </c>
      <c r="AJ33" s="174">
        <v>0.46795758414015698</v>
      </c>
    </row>
    <row r="34" spans="1:39" ht="16.05" customHeight="1" outlineLevel="1">
      <c r="A34" s="186">
        <v>43375</v>
      </c>
      <c r="B34" s="185" t="s">
        <v>41</v>
      </c>
      <c r="C34" s="172">
        <v>1665</v>
      </c>
      <c r="D34" s="172">
        <v>4493</v>
      </c>
      <c r="E34" s="173">
        <f t="shared" si="3"/>
        <v>2.6984984984984983</v>
      </c>
      <c r="F34" s="167">
        <f t="shared" si="9"/>
        <v>0.79650301268640111</v>
      </c>
      <c r="G34" s="175">
        <v>26.31</v>
      </c>
      <c r="I34" s="176">
        <v>0.47499999999999998</v>
      </c>
      <c r="J34" s="176">
        <v>0.21299999999999999</v>
      </c>
      <c r="K34" s="176">
        <v>0.11600000000000001</v>
      </c>
      <c r="L34" s="174">
        <v>9.3705764522590709</v>
      </c>
      <c r="M34" s="177">
        <v>6.5061206320943699</v>
      </c>
      <c r="N34" s="174">
        <v>9.73102529960053</v>
      </c>
      <c r="O34" s="55">
        <f t="shared" si="4"/>
        <v>0.66859559314489236</v>
      </c>
      <c r="P34" s="167">
        <v>1.7812916111850901</v>
      </c>
      <c r="Q34" s="167">
        <v>1.38715046604527</v>
      </c>
      <c r="R34" s="167">
        <v>0.99500665778961395</v>
      </c>
      <c r="S34" s="167">
        <v>1.7939414114514001</v>
      </c>
      <c r="T34" s="167">
        <v>1.2529960053262299</v>
      </c>
      <c r="U34" s="167">
        <v>0.64580559254327596</v>
      </c>
      <c r="V34" s="167">
        <v>1.21604527296937</v>
      </c>
      <c r="W34" s="167">
        <v>0.65878828229027997</v>
      </c>
      <c r="X34" s="174">
        <v>3.4275539728466503E-2</v>
      </c>
      <c r="Y34" s="173">
        <f t="shared" si="5"/>
        <v>6.5403961718228363</v>
      </c>
      <c r="Z34" s="178">
        <v>49</v>
      </c>
      <c r="AA34" s="178">
        <v>32</v>
      </c>
      <c r="AB34" s="174">
        <v>450.51</v>
      </c>
      <c r="AC34" s="194"/>
      <c r="AD34" s="179">
        <f t="shared" si="1"/>
        <v>1.0905853549966614E-2</v>
      </c>
      <c r="AE34" s="176">
        <f t="shared" si="2"/>
        <v>7.1221900734475853E-3</v>
      </c>
      <c r="AF34" s="174">
        <f t="shared" si="8"/>
        <v>9.1940816326530612</v>
      </c>
      <c r="AG34" s="180">
        <f t="shared" si="10"/>
        <v>0.10026930781215224</v>
      </c>
      <c r="AH34" s="181">
        <v>0.79159159159159198</v>
      </c>
      <c r="AI34" s="181">
        <v>0.46786786786786799</v>
      </c>
      <c r="AJ34" s="174">
        <v>0.51502336968617801</v>
      </c>
    </row>
    <row r="35" spans="1:39" ht="16.05" customHeight="1" outlineLevel="1">
      <c r="A35" s="186">
        <v>43376</v>
      </c>
      <c r="B35" s="187" t="s">
        <v>41</v>
      </c>
      <c r="C35" s="172">
        <v>1242</v>
      </c>
      <c r="D35" s="172">
        <v>4238</v>
      </c>
      <c r="E35" s="173">
        <f t="shared" si="3"/>
        <v>3.4122383252818036</v>
      </c>
      <c r="F35" s="167">
        <f t="shared" si="9"/>
        <v>0.73283539948088694</v>
      </c>
      <c r="G35" s="175">
        <v>27.51</v>
      </c>
      <c r="I35" s="176">
        <v>0.45400000000000001</v>
      </c>
      <c r="J35" s="176">
        <v>0.21299999999999999</v>
      </c>
      <c r="K35" s="176">
        <v>0.10199999999999999</v>
      </c>
      <c r="L35" s="174">
        <v>8.3683341198678605</v>
      </c>
      <c r="M35" s="177">
        <v>6.1540821142048099</v>
      </c>
      <c r="N35" s="174">
        <v>9.4189237992054906</v>
      </c>
      <c r="O35" s="55">
        <f t="shared" si="4"/>
        <v>0.65337423312883391</v>
      </c>
      <c r="P35" s="167">
        <v>1.73564463705309</v>
      </c>
      <c r="Q35" s="167">
        <v>1.3358613217768101</v>
      </c>
      <c r="R35" s="167">
        <v>0.97002527988443499</v>
      </c>
      <c r="S35" s="167">
        <v>1.8324304803178</v>
      </c>
      <c r="T35" s="167">
        <v>1.1957385337666999</v>
      </c>
      <c r="U35" s="167">
        <v>0.62802455760202203</v>
      </c>
      <c r="V35" s="167">
        <v>1.1123149151318199</v>
      </c>
      <c r="W35" s="167">
        <v>0.60888407367280595</v>
      </c>
      <c r="X35" s="174">
        <v>2.8551203397829201E-2</v>
      </c>
      <c r="Y35" s="173">
        <f t="shared" si="5"/>
        <v>6.1826333176026393</v>
      </c>
      <c r="Z35" s="178">
        <v>50</v>
      </c>
      <c r="AA35" s="178">
        <v>36</v>
      </c>
      <c r="AB35" s="174">
        <v>319.5</v>
      </c>
      <c r="AC35" s="194"/>
      <c r="AD35" s="179">
        <f t="shared" si="1"/>
        <v>1.1798017932987258E-2</v>
      </c>
      <c r="AE35" s="176">
        <f t="shared" si="2"/>
        <v>8.4945729117508265E-3</v>
      </c>
      <c r="AF35" s="174">
        <f t="shared" si="8"/>
        <v>6.39</v>
      </c>
      <c r="AG35" s="180">
        <f t="shared" si="10"/>
        <v>7.5389334591788579E-2</v>
      </c>
      <c r="AH35" s="181">
        <v>0.80273752012882404</v>
      </c>
      <c r="AI35" s="181">
        <v>0.51288244766505597</v>
      </c>
      <c r="AJ35" s="174">
        <v>0.62600283152430403</v>
      </c>
    </row>
    <row r="36" spans="1:39" ht="16.05" customHeight="1" outlineLevel="1">
      <c r="A36" s="186">
        <v>43377</v>
      </c>
      <c r="B36" s="187" t="s">
        <v>41</v>
      </c>
      <c r="C36" s="172">
        <v>1278</v>
      </c>
      <c r="D36" s="172">
        <v>4146</v>
      </c>
      <c r="E36" s="173">
        <f t="shared" si="3"/>
        <v>3.244131455399061</v>
      </c>
      <c r="F36" s="167">
        <f t="shared" si="9"/>
        <v>0.84742013314037612</v>
      </c>
      <c r="G36" s="175">
        <v>28.16</v>
      </c>
      <c r="I36" s="176">
        <v>0.48099999999999998</v>
      </c>
      <c r="J36" s="176">
        <v>0.20300000000000001</v>
      </c>
      <c r="K36" s="176">
        <v>0.11</v>
      </c>
      <c r="L36" s="174">
        <v>8.2035697057404704</v>
      </c>
      <c r="M36" s="177">
        <v>5.9452484322238304</v>
      </c>
      <c r="N36" s="174">
        <v>9.1292592592592605</v>
      </c>
      <c r="O36" s="55">
        <f t="shared" si="4"/>
        <v>0.65123010130246017</v>
      </c>
      <c r="P36" s="167">
        <v>1.6855555555555599</v>
      </c>
      <c r="Q36" s="167">
        <v>1.3251851851851899</v>
      </c>
      <c r="R36" s="167">
        <v>0.91518518518518499</v>
      </c>
      <c r="S36" s="167">
        <v>1.74259259259259</v>
      </c>
      <c r="T36" s="167">
        <v>1.16888888888889</v>
      </c>
      <c r="U36" s="167">
        <v>0.61962962962962997</v>
      </c>
      <c r="V36" s="167">
        <v>1.0588888888888901</v>
      </c>
      <c r="W36" s="167">
        <v>0.61333333333333295</v>
      </c>
      <c r="X36" s="174">
        <v>1.7366136034732301E-2</v>
      </c>
      <c r="Y36" s="173">
        <f t="shared" si="5"/>
        <v>5.9626145682585623</v>
      </c>
      <c r="Z36" s="178">
        <v>64</v>
      </c>
      <c r="AA36" s="178">
        <v>49</v>
      </c>
      <c r="AB36" s="174">
        <v>529.36</v>
      </c>
      <c r="AC36" s="194"/>
      <c r="AD36" s="179">
        <f t="shared" si="1"/>
        <v>1.5436565364206465E-2</v>
      </c>
      <c r="AE36" s="176">
        <f t="shared" si="2"/>
        <v>1.1818620356970575E-2</v>
      </c>
      <c r="AF36" s="174">
        <f t="shared" si="8"/>
        <v>8.2712500000000002</v>
      </c>
      <c r="AG36" s="180">
        <f t="shared" si="10"/>
        <v>0.12767969126869272</v>
      </c>
      <c r="AH36" s="181">
        <v>0.80203442879499198</v>
      </c>
      <c r="AI36" s="181">
        <v>0.47965571205007801</v>
      </c>
      <c r="AJ36" s="174">
        <v>0.57380607814761198</v>
      </c>
    </row>
    <row r="37" spans="1:39" ht="16.05" customHeight="1" outlineLevel="1">
      <c r="A37" s="184">
        <v>43378</v>
      </c>
      <c r="B37" s="187" t="s">
        <v>41</v>
      </c>
      <c r="C37" s="172">
        <v>1596</v>
      </c>
      <c r="D37" s="172">
        <v>4417</v>
      </c>
      <c r="E37" s="173">
        <f t="shared" si="3"/>
        <v>2.7675438596491229</v>
      </c>
      <c r="F37" s="167">
        <f t="shared" si="9"/>
        <v>0.69127554267602453</v>
      </c>
      <c r="G37" s="175">
        <v>28.24</v>
      </c>
      <c r="I37" s="176">
        <v>0.45100000000000001</v>
      </c>
      <c r="J37" s="176">
        <v>0.22800000000000001</v>
      </c>
      <c r="K37" s="176">
        <v>9.2999999999999999E-2</v>
      </c>
      <c r="L37" s="174">
        <v>8.2691872311523706</v>
      </c>
      <c r="M37" s="177">
        <v>5.7597917138329198</v>
      </c>
      <c r="N37" s="174">
        <v>8.9707334273624806</v>
      </c>
      <c r="O37" s="55">
        <f t="shared" si="4"/>
        <v>0.64206474983020179</v>
      </c>
      <c r="P37" s="167">
        <v>1.7048660084626199</v>
      </c>
      <c r="Q37" s="167">
        <v>1.2366008462623399</v>
      </c>
      <c r="R37" s="167">
        <v>0.895275035260931</v>
      </c>
      <c r="S37" s="167">
        <v>1.69287729196051</v>
      </c>
      <c r="T37" s="167">
        <v>1.17313117066291</v>
      </c>
      <c r="U37" s="167">
        <v>0.64210155148095904</v>
      </c>
      <c r="V37" s="167">
        <v>1.04231311706629</v>
      </c>
      <c r="W37" s="167">
        <v>0.58356840620592398</v>
      </c>
      <c r="X37" s="174">
        <v>1.5847860538827301E-2</v>
      </c>
      <c r="Y37" s="173">
        <f t="shared" si="5"/>
        <v>5.7756395743717475</v>
      </c>
      <c r="Z37" s="178">
        <v>56</v>
      </c>
      <c r="AA37" s="178">
        <v>48</v>
      </c>
      <c r="AB37" s="174">
        <v>295.44</v>
      </c>
      <c r="AC37" s="194"/>
      <c r="AD37" s="179">
        <f t="shared" si="1"/>
        <v>1.2678288431061807E-2</v>
      </c>
      <c r="AE37" s="176">
        <f t="shared" si="2"/>
        <v>1.0867104369481548E-2</v>
      </c>
      <c r="AF37" s="174">
        <f t="shared" si="8"/>
        <v>5.2757142857142858</v>
      </c>
      <c r="AG37" s="180">
        <f t="shared" si="10"/>
        <v>6.6887027394158929E-2</v>
      </c>
      <c r="AH37" s="181">
        <v>0.77192982456140302</v>
      </c>
      <c r="AI37" s="181">
        <v>0.424185463659148</v>
      </c>
      <c r="AJ37" s="174">
        <v>0.540638442381707</v>
      </c>
    </row>
    <row r="38" spans="1:39" ht="16.05" customHeight="1" outlineLevel="1">
      <c r="A38" s="186">
        <v>43379</v>
      </c>
      <c r="B38" s="185" t="s">
        <v>41</v>
      </c>
      <c r="C38" s="172">
        <v>1293</v>
      </c>
      <c r="D38" s="172">
        <v>4310</v>
      </c>
      <c r="E38" s="173">
        <f t="shared" si="3"/>
        <v>3.3333333333333335</v>
      </c>
      <c r="F38" s="167">
        <f t="shared" si="9"/>
        <v>1.184232916009281</v>
      </c>
      <c r="G38" s="175">
        <v>28.84</v>
      </c>
      <c r="I38" s="176">
        <v>0.42899999999999999</v>
      </c>
      <c r="J38" s="176">
        <v>0.17599999999999999</v>
      </c>
      <c r="K38" s="176">
        <v>7.6999999999999999E-2</v>
      </c>
      <c r="L38" s="174">
        <v>10.0874709976798</v>
      </c>
      <c r="M38" s="177">
        <v>7.5102088167053402</v>
      </c>
      <c r="N38" s="174">
        <v>11.4499469402193</v>
      </c>
      <c r="O38" s="55">
        <f t="shared" si="4"/>
        <v>0.65591647331786651</v>
      </c>
      <c r="P38" s="167">
        <v>2.12875840113194</v>
      </c>
      <c r="Q38" s="167">
        <v>1.81075344888574</v>
      </c>
      <c r="R38" s="167">
        <v>1.0212239122744999</v>
      </c>
      <c r="S38" s="167">
        <v>1.9543685886098301</v>
      </c>
      <c r="T38" s="167">
        <v>1.4842589317297501</v>
      </c>
      <c r="U38" s="167">
        <v>0.57092324018394103</v>
      </c>
      <c r="V38" s="167">
        <v>1.7095861337106499</v>
      </c>
      <c r="W38" s="167">
        <v>0.77007428369296105</v>
      </c>
      <c r="X38" s="174">
        <v>1.7169373549884001E-2</v>
      </c>
      <c r="Y38" s="173">
        <f t="shared" si="5"/>
        <v>7.5273781902552246</v>
      </c>
      <c r="Z38" s="178">
        <v>106</v>
      </c>
      <c r="AA38" s="178">
        <v>79</v>
      </c>
      <c r="AB38" s="174">
        <v>875.94</v>
      </c>
      <c r="AC38" s="194"/>
      <c r="AD38" s="179">
        <f t="shared" si="1"/>
        <v>2.459396751740139E-2</v>
      </c>
      <c r="AE38" s="176">
        <f t="shared" si="2"/>
        <v>1.8329466357308585E-2</v>
      </c>
      <c r="AF38" s="174">
        <f t="shared" si="8"/>
        <v>8.2635849056603785</v>
      </c>
      <c r="AG38" s="180">
        <f t="shared" si="10"/>
        <v>0.20323433874709979</v>
      </c>
      <c r="AH38" s="181">
        <v>0.78731631863882401</v>
      </c>
      <c r="AI38" s="181">
        <v>0.49883990719257498</v>
      </c>
      <c r="AJ38" s="174">
        <v>0.43805104408352702</v>
      </c>
    </row>
    <row r="39" spans="1:39" ht="16.05" customHeight="1" outlineLevel="1">
      <c r="A39" s="186">
        <v>43380</v>
      </c>
      <c r="B39" s="185" t="s">
        <v>41</v>
      </c>
      <c r="C39" s="188">
        <v>1223</v>
      </c>
      <c r="D39" s="188">
        <v>4164</v>
      </c>
      <c r="E39" s="189">
        <f t="shared" si="3"/>
        <v>3.4047424366312349</v>
      </c>
      <c r="F39" s="167">
        <f>3.3*M39*G39/1000+3.3*AB39/D39*0.7</f>
        <v>1.0414041729106622</v>
      </c>
      <c r="G39" s="190">
        <v>30.68</v>
      </c>
      <c r="H39" s="190"/>
      <c r="I39" s="176">
        <v>0.439</v>
      </c>
      <c r="J39" s="176">
        <v>0.20899999999999999</v>
      </c>
      <c r="K39" s="176">
        <v>9.8000000000000004E-2</v>
      </c>
      <c r="L39" s="174">
        <v>9.1436119116234398</v>
      </c>
      <c r="M39" s="177">
        <v>7.3316522574447598</v>
      </c>
      <c r="N39" s="174">
        <v>11.141970802919699</v>
      </c>
      <c r="O39" s="55">
        <f t="shared" si="4"/>
        <v>0.65802113352545633</v>
      </c>
      <c r="P39" s="167">
        <v>1.97518248175182</v>
      </c>
      <c r="Q39" s="167">
        <v>1.83540145985401</v>
      </c>
      <c r="R39" s="167">
        <v>1.1270072992700699</v>
      </c>
      <c r="S39" s="167">
        <v>1.89306569343066</v>
      </c>
      <c r="T39" s="167">
        <v>1.41423357664234</v>
      </c>
      <c r="U39" s="167">
        <v>0.55145985401459896</v>
      </c>
      <c r="V39" s="167">
        <v>1.5978102189781</v>
      </c>
      <c r="W39" s="167">
        <v>0.74781021897810196</v>
      </c>
      <c r="X39" s="174">
        <v>1.53698366954851E-2</v>
      </c>
      <c r="Y39" s="173">
        <f t="shared" si="5"/>
        <v>7.3470220941402449</v>
      </c>
      <c r="Z39" s="178">
        <f>26+16+12+12+6+5+4</f>
        <v>81</v>
      </c>
      <c r="AA39" s="178">
        <v>64</v>
      </c>
      <c r="AB39" s="174">
        <f>26*0.99+16*7.99+12*4.99+12*2.99+6*19.99+5*9.99+2*49.99+2*9.99</f>
        <v>539.18999999999994</v>
      </c>
      <c r="AC39" s="194"/>
      <c r="AD39" s="195">
        <f t="shared" si="1"/>
        <v>1.9452449567723344E-2</v>
      </c>
      <c r="AE39" s="176">
        <f t="shared" si="2"/>
        <v>1.536983669548511E-2</v>
      </c>
      <c r="AF39" s="174">
        <f t="shared" si="8"/>
        <v>6.6566666666666663</v>
      </c>
      <c r="AG39" s="180">
        <f t="shared" si="7"/>
        <v>0.1294884726224784</v>
      </c>
      <c r="AH39" s="181">
        <f>839/C39</f>
        <v>0.68601798855273921</v>
      </c>
      <c r="AI39" s="181">
        <f>501/C39</f>
        <v>0.40964840556009813</v>
      </c>
      <c r="AJ39" s="174">
        <f>1730/D39</f>
        <v>0.41546589817483187</v>
      </c>
    </row>
    <row r="40" spans="1:39" ht="16.05" customHeight="1" outlineLevel="1">
      <c r="A40" s="186">
        <v>43381</v>
      </c>
      <c r="B40" s="185" t="s">
        <v>41</v>
      </c>
      <c r="C40" s="188">
        <v>1242</v>
      </c>
      <c r="D40" s="188">
        <v>4297</v>
      </c>
      <c r="E40" s="189">
        <v>3.4597423510467</v>
      </c>
      <c r="F40" s="167">
        <v>1.05303971491738</v>
      </c>
      <c r="G40" s="190">
        <v>30.95</v>
      </c>
      <c r="H40" s="190"/>
      <c r="I40" s="176">
        <v>0.49299999999999999</v>
      </c>
      <c r="J40" s="176">
        <v>0.22900000000000001</v>
      </c>
      <c r="K40" s="176">
        <v>0.13</v>
      </c>
      <c r="L40" s="174">
        <v>9.0572492436583705</v>
      </c>
      <c r="M40" s="177">
        <v>7.32441238073074</v>
      </c>
      <c r="N40" s="167">
        <v>11.136942675159199</v>
      </c>
      <c r="O40" s="193">
        <f t="shared" si="4"/>
        <v>0.65766814056318557</v>
      </c>
      <c r="P40" s="167">
        <v>2.0410474168435901</v>
      </c>
      <c r="Q40" s="167">
        <v>1.89915074309979</v>
      </c>
      <c r="R40" s="167">
        <v>1.1500353857041801</v>
      </c>
      <c r="S40" s="167">
        <v>1.8244869072894501</v>
      </c>
      <c r="T40" s="167">
        <v>1.3775654635527199</v>
      </c>
      <c r="U40" s="167">
        <v>0.53467799009200301</v>
      </c>
      <c r="V40" s="167">
        <v>1.57077140835103</v>
      </c>
      <c r="W40" s="167">
        <v>0.73920736022646805</v>
      </c>
      <c r="X40" s="167">
        <v>1.6755876192692601E-2</v>
      </c>
      <c r="Y40" s="173">
        <f t="shared" si="5"/>
        <v>7.3411682569234324</v>
      </c>
      <c r="Z40" s="178">
        <v>72</v>
      </c>
      <c r="AA40" s="178">
        <v>54</v>
      </c>
      <c r="AB40" s="174">
        <v>567.28</v>
      </c>
      <c r="AC40" s="194"/>
      <c r="AD40" s="195">
        <v>1.6755876192692601E-2</v>
      </c>
      <c r="AE40" s="176">
        <f t="shared" si="2"/>
        <v>1.2566907144519432E-2</v>
      </c>
      <c r="AF40" s="174">
        <v>7.8788888888888904</v>
      </c>
      <c r="AG40" s="180">
        <f t="shared" si="7"/>
        <v>0.13201768675820361</v>
      </c>
      <c r="AH40" s="181">
        <v>0.77858293075684404</v>
      </c>
      <c r="AI40" s="181">
        <v>0.458937198067633</v>
      </c>
      <c r="AJ40" s="174">
        <v>0.40446823365138501</v>
      </c>
      <c r="AK40" s="58">
        <v>4.3053292995112902E-2</v>
      </c>
      <c r="AL40" s="58">
        <v>9.5415406097277208E-3</v>
      </c>
      <c r="AM40" s="182">
        <v>0.339539213404701</v>
      </c>
    </row>
    <row r="41" spans="1:39" ht="16.05" customHeight="1" outlineLevel="1">
      <c r="A41" s="186">
        <v>43382</v>
      </c>
      <c r="B41" s="185" t="s">
        <v>41</v>
      </c>
      <c r="C41" s="188">
        <v>1150</v>
      </c>
      <c r="D41" s="188">
        <v>4252</v>
      </c>
      <c r="E41" s="189">
        <v>3.6973913043478301</v>
      </c>
      <c r="F41" s="167">
        <v>0.90806574976481702</v>
      </c>
      <c r="G41" s="190">
        <v>28.96</v>
      </c>
      <c r="H41" s="190"/>
      <c r="I41" s="176">
        <v>0.497</v>
      </c>
      <c r="J41" s="176">
        <v>0.217</v>
      </c>
      <c r="K41" s="176">
        <v>9.6000000000000002E-2</v>
      </c>
      <c r="L41" s="174">
        <v>9.2575258701787408</v>
      </c>
      <c r="M41" s="177">
        <v>7.2144873000940697</v>
      </c>
      <c r="N41" s="167">
        <v>10.812830454705701</v>
      </c>
      <c r="O41" s="193">
        <f t="shared" si="4"/>
        <v>0.66721542803386447</v>
      </c>
      <c r="P41" s="167">
        <v>1.93161790623898</v>
      </c>
      <c r="Q41" s="167">
        <v>1.73528375044061</v>
      </c>
      <c r="R41" s="167">
        <v>1.2220655622136101</v>
      </c>
      <c r="S41" s="167">
        <v>1.85935847726472</v>
      </c>
      <c r="T41" s="167">
        <v>1.32710609799084</v>
      </c>
      <c r="U41" s="167">
        <v>0.59041240747268198</v>
      </c>
      <c r="V41" s="167">
        <v>1.45646810010575</v>
      </c>
      <c r="W41" s="167">
        <v>0.69051815297849795</v>
      </c>
      <c r="X41" s="167">
        <v>1.9755409219191E-2</v>
      </c>
      <c r="Y41" s="173">
        <f t="shared" si="5"/>
        <v>7.2342427093132606</v>
      </c>
      <c r="Z41" s="178">
        <v>64</v>
      </c>
      <c r="AA41" s="178">
        <v>52</v>
      </c>
      <c r="AB41" s="174">
        <v>402.36</v>
      </c>
      <c r="AC41" s="194"/>
      <c r="AD41" s="195">
        <v>1.5051740357478799E-2</v>
      </c>
      <c r="AE41" s="176">
        <f t="shared" si="2"/>
        <v>1.2229539040451553E-2</v>
      </c>
      <c r="AF41" s="174">
        <v>6.2868750000000002</v>
      </c>
      <c r="AG41" s="180">
        <f t="shared" si="7"/>
        <v>9.4628410159924528E-2</v>
      </c>
      <c r="AH41" s="181">
        <v>0.83652173913043504</v>
      </c>
      <c r="AI41" s="181">
        <v>0.50173913043478302</v>
      </c>
      <c r="AJ41" s="174">
        <v>0.51340545625587997</v>
      </c>
      <c r="AK41" s="58">
        <v>4.8212605832549403E-2</v>
      </c>
      <c r="AL41" s="58">
        <v>1.1523988711194699E-2</v>
      </c>
      <c r="AM41" s="182">
        <v>0.25987770460959497</v>
      </c>
    </row>
    <row r="42" spans="1:39" ht="16.05" customHeight="1" outlineLevel="1">
      <c r="A42" s="186">
        <v>43383</v>
      </c>
      <c r="B42" s="187" t="s">
        <v>41</v>
      </c>
      <c r="C42" s="188">
        <v>1197</v>
      </c>
      <c r="D42" s="188">
        <v>4204</v>
      </c>
      <c r="E42" s="189">
        <v>3.5121136173767802</v>
      </c>
      <c r="F42" s="167">
        <v>0.85074370504281605</v>
      </c>
      <c r="G42" s="190">
        <v>30.18</v>
      </c>
      <c r="H42" s="190"/>
      <c r="I42" s="176">
        <v>0.45900000000000002</v>
      </c>
      <c r="J42" s="176">
        <v>0.219</v>
      </c>
      <c r="K42" s="176">
        <v>9.1999999999999998E-2</v>
      </c>
      <c r="L42" s="174">
        <v>8.70218839200761</v>
      </c>
      <c r="M42" s="177">
        <v>6.13558515699334</v>
      </c>
      <c r="N42" s="167">
        <v>9.5746102449888593</v>
      </c>
      <c r="O42" s="193">
        <f t="shared" si="4"/>
        <v>0.64081826831588995</v>
      </c>
      <c r="P42" s="167">
        <v>1.70861172976986</v>
      </c>
      <c r="Q42" s="167">
        <v>1.2735708982925</v>
      </c>
      <c r="R42" s="167">
        <v>1.1473645137342201</v>
      </c>
      <c r="S42" s="167">
        <v>1.9072011878248001</v>
      </c>
      <c r="T42" s="167">
        <v>1.17074981440238</v>
      </c>
      <c r="U42" s="167">
        <v>0.63140311804008897</v>
      </c>
      <c r="V42" s="167">
        <v>1.1328878990348901</v>
      </c>
      <c r="W42" s="167">
        <v>0.60282108389012601</v>
      </c>
      <c r="X42" s="167">
        <v>2.6879162702188399E-2</v>
      </c>
      <c r="Y42" s="173">
        <f t="shared" si="5"/>
        <v>6.1624643196955287</v>
      </c>
      <c r="Z42" s="178">
        <v>81</v>
      </c>
      <c r="AA42" s="178">
        <v>58</v>
      </c>
      <c r="AB42" s="174">
        <v>436.19</v>
      </c>
      <c r="AC42" s="194"/>
      <c r="AD42" s="195">
        <v>1.9267364414842999E-2</v>
      </c>
      <c r="AE42" s="176">
        <f t="shared" si="2"/>
        <v>1.3796384395813511E-2</v>
      </c>
      <c r="AF42" s="174">
        <v>5.3850617283950601</v>
      </c>
      <c r="AG42" s="180">
        <f t="shared" si="7"/>
        <v>0.10375594671741191</v>
      </c>
      <c r="AH42" s="181">
        <v>0.79197994987468701</v>
      </c>
      <c r="AI42" s="181">
        <v>0.46950710108604798</v>
      </c>
      <c r="AJ42" s="174">
        <v>0.64319695528068499</v>
      </c>
      <c r="AK42" s="58">
        <v>5.8515699333967601E-2</v>
      </c>
      <c r="AL42" s="58">
        <v>1.33206470028544E-2</v>
      </c>
      <c r="AM42" s="182">
        <v>0</v>
      </c>
    </row>
    <row r="43" spans="1:39" ht="16.05" customHeight="1" outlineLevel="1">
      <c r="A43" s="186">
        <v>43384</v>
      </c>
      <c r="B43" s="187" t="s">
        <v>41</v>
      </c>
      <c r="C43" s="188">
        <v>921</v>
      </c>
      <c r="D43" s="188">
        <v>3872</v>
      </c>
      <c r="E43" s="189">
        <v>4.2041259500542898</v>
      </c>
      <c r="F43" s="167">
        <v>0.85847255965909097</v>
      </c>
      <c r="G43" s="190">
        <v>32.869999999999997</v>
      </c>
      <c r="H43" s="190"/>
      <c r="I43" s="176">
        <v>0.438</v>
      </c>
      <c r="J43" s="176">
        <v>0.216</v>
      </c>
      <c r="K43" s="176">
        <v>0.106</v>
      </c>
      <c r="L43" s="174">
        <v>9.4483471074380194</v>
      </c>
      <c r="M43" s="177">
        <v>5.9868285123966896</v>
      </c>
      <c r="N43" s="167">
        <v>9.29843561973526</v>
      </c>
      <c r="O43" s="193">
        <f t="shared" si="4"/>
        <v>0.64385330578512334</v>
      </c>
      <c r="P43" s="167">
        <v>1.74809466506217</v>
      </c>
      <c r="Q43" s="167">
        <v>1.31728840754112</v>
      </c>
      <c r="R43" s="167">
        <v>1.04612916165263</v>
      </c>
      <c r="S43" s="167">
        <v>1.74729241877256</v>
      </c>
      <c r="T43" s="167">
        <v>1.2033694344163699</v>
      </c>
      <c r="U43" s="167">
        <v>0.59085439229843595</v>
      </c>
      <c r="V43" s="167">
        <v>1.06458082631368</v>
      </c>
      <c r="W43" s="167">
        <v>0.58082631367829896</v>
      </c>
      <c r="X43" s="167">
        <v>2.16942148760331E-2</v>
      </c>
      <c r="Y43" s="173">
        <f t="shared" si="5"/>
        <v>6.0085227272727231</v>
      </c>
      <c r="Z43" s="178">
        <v>55</v>
      </c>
      <c r="AA43" s="178">
        <v>48</v>
      </c>
      <c r="AB43" s="174">
        <v>350.45</v>
      </c>
      <c r="AC43" s="194"/>
      <c r="AD43" s="195">
        <v>1.4204545454545499E-2</v>
      </c>
      <c r="AE43" s="176">
        <f t="shared" si="2"/>
        <v>1.2396694214876033E-2</v>
      </c>
      <c r="AF43" s="174">
        <v>6.3718181818181803</v>
      </c>
      <c r="AG43" s="180">
        <f t="shared" si="7"/>
        <v>9.0508780991735802E-2</v>
      </c>
      <c r="AH43" s="181">
        <v>0.78501628664495104</v>
      </c>
      <c r="AI43" s="181">
        <v>0.550488599348534</v>
      </c>
      <c r="AJ43" s="174">
        <v>0.62861570247933896</v>
      </c>
      <c r="AK43" s="58">
        <v>6.25E-2</v>
      </c>
      <c r="AL43" s="58">
        <v>1.7561983471074401E-2</v>
      </c>
      <c r="AM43" s="182">
        <v>0</v>
      </c>
    </row>
    <row r="44" spans="1:39" ht="16.05" customHeight="1" outlineLevel="1">
      <c r="A44" s="186">
        <v>43385</v>
      </c>
      <c r="B44" s="187" t="s">
        <v>41</v>
      </c>
      <c r="C44" s="188">
        <v>956</v>
      </c>
      <c r="D44" s="188">
        <v>3663</v>
      </c>
      <c r="E44" s="189">
        <v>3.8315899581589998</v>
      </c>
      <c r="F44" s="167">
        <f>3.3*M44*G44/1000+AB44/D44*3.3*0.7</f>
        <v>0.88765162162162203</v>
      </c>
      <c r="G44" s="190">
        <v>39.35</v>
      </c>
      <c r="H44" s="190"/>
      <c r="I44" s="176">
        <v>0.42899999999999999</v>
      </c>
      <c r="J44" s="176">
        <v>0.17899999999999999</v>
      </c>
      <c r="K44" s="176">
        <v>8.4000000000000005E-2</v>
      </c>
      <c r="L44" s="174">
        <v>8.0303030303030294</v>
      </c>
      <c r="M44" s="177">
        <v>5.3174993174993199</v>
      </c>
      <c r="N44" s="167">
        <v>8.5957634598411303</v>
      </c>
      <c r="O44" s="193">
        <f t="shared" si="4"/>
        <v>0.61861861861861889</v>
      </c>
      <c r="P44" s="167">
        <v>1.60591350397176</v>
      </c>
      <c r="Q44" s="167">
        <v>1.18578993821712</v>
      </c>
      <c r="R44" s="167">
        <v>0.96160635481023804</v>
      </c>
      <c r="S44" s="167">
        <v>1.6081200353045</v>
      </c>
      <c r="T44" s="167">
        <v>1.1204766107678701</v>
      </c>
      <c r="U44" s="167">
        <v>0.58781994704324803</v>
      </c>
      <c r="V44" s="167">
        <v>0.96293027360988503</v>
      </c>
      <c r="W44" s="167">
        <v>0.56310679611650505</v>
      </c>
      <c r="X44" s="167">
        <v>2.12940212940213E-2</v>
      </c>
      <c r="Y44" s="173">
        <f t="shared" si="5"/>
        <v>5.3387933387933408</v>
      </c>
      <c r="Z44" s="178">
        <v>38</v>
      </c>
      <c r="AA44" s="178">
        <v>30</v>
      </c>
      <c r="AB44" s="174">
        <v>312.62</v>
      </c>
      <c r="AC44" s="194"/>
      <c r="AD44" s="195">
        <v>1.03740103740104E-2</v>
      </c>
      <c r="AE44" s="176">
        <f t="shared" si="2"/>
        <v>8.1900081900081901E-3</v>
      </c>
      <c r="AF44" s="174">
        <v>8.2268421052631595</v>
      </c>
      <c r="AG44" s="180">
        <v>8.5345345345345297E-2</v>
      </c>
      <c r="AH44" s="181">
        <v>0.76046025104602499</v>
      </c>
      <c r="AI44" s="181">
        <v>0.42573221757322199</v>
      </c>
      <c r="AJ44" s="174">
        <v>0.56947856947856901</v>
      </c>
      <c r="AK44" s="58">
        <v>5.1870051870051899E-2</v>
      </c>
      <c r="AL44" s="58">
        <v>1.44690144690145E-2</v>
      </c>
      <c r="AM44" s="182">
        <v>0</v>
      </c>
    </row>
    <row r="45" spans="1:39" ht="16.05" customHeight="1" outlineLevel="1">
      <c r="A45" s="186">
        <v>43386</v>
      </c>
      <c r="B45" s="185" t="s">
        <v>41</v>
      </c>
      <c r="C45" s="188">
        <v>1158</v>
      </c>
      <c r="D45" s="188">
        <v>3827</v>
      </c>
      <c r="E45" s="189">
        <v>3.3048359240069098</v>
      </c>
      <c r="F45" s="167">
        <f>3.3*M45*G45/1000+AB45/D45*3.3*0.7</f>
        <v>1.1598616148419123</v>
      </c>
      <c r="G45" s="190">
        <v>31.8</v>
      </c>
      <c r="H45" s="190"/>
      <c r="I45" s="176">
        <v>0.41699999999999998</v>
      </c>
      <c r="J45" s="176">
        <v>0.16900000000000001</v>
      </c>
      <c r="K45" s="176">
        <v>9.7000000000000003E-2</v>
      </c>
      <c r="L45" s="174">
        <v>9.5874052782858605</v>
      </c>
      <c r="M45" s="177">
        <v>7.2550300496472397</v>
      </c>
      <c r="N45" s="167">
        <v>11.2957689178194</v>
      </c>
      <c r="O45" s="193">
        <f t="shared" si="4"/>
        <v>0.64227854716487887</v>
      </c>
      <c r="P45" s="167">
        <v>1.9515866558177399</v>
      </c>
      <c r="Q45" s="167">
        <v>1.5772986167615901</v>
      </c>
      <c r="R45" s="167">
        <v>2.0012205044751799</v>
      </c>
      <c r="S45" s="167">
        <v>1.7302685109845399</v>
      </c>
      <c r="T45" s="167">
        <v>1.3506916192025999</v>
      </c>
      <c r="U45" s="167">
        <v>0.52196908055329505</v>
      </c>
      <c r="V45" s="167">
        <v>1.52115541090317</v>
      </c>
      <c r="W45" s="167">
        <v>0.64157851912123698</v>
      </c>
      <c r="X45" s="167">
        <v>2.7959237000261299E-2</v>
      </c>
      <c r="Y45" s="173">
        <f t="shared" si="5"/>
        <v>7.282989286647501</v>
      </c>
      <c r="Z45" s="178">
        <v>77</v>
      </c>
      <c r="AA45" s="178">
        <v>55</v>
      </c>
      <c r="AB45" s="174">
        <v>660.23</v>
      </c>
      <c r="AC45" s="194"/>
      <c r="AD45" s="195">
        <v>2.0120198588973098E-2</v>
      </c>
      <c r="AE45" s="176">
        <f t="shared" si="2"/>
        <v>1.4371570420695061E-2</v>
      </c>
      <c r="AF45" s="174">
        <v>8.5744155844155792</v>
      </c>
      <c r="AG45" s="180">
        <v>0.172518944342827</v>
      </c>
      <c r="AH45" s="181">
        <v>0.73575129533678796</v>
      </c>
      <c r="AI45" s="181">
        <v>0.41623488773747802</v>
      </c>
      <c r="AJ45" s="174">
        <v>0.35772145283511902</v>
      </c>
      <c r="AK45" s="58">
        <v>4.1808204860203799E-2</v>
      </c>
      <c r="AL45" s="58">
        <v>6.53253200940685E-3</v>
      </c>
      <c r="AM45" s="182">
        <v>0.37470603605957697</v>
      </c>
    </row>
    <row r="46" spans="1:39" ht="16.05" customHeight="1" outlineLevel="1">
      <c r="A46" s="186">
        <v>43387</v>
      </c>
      <c r="B46" s="185" t="s">
        <v>41</v>
      </c>
      <c r="C46" s="188">
        <v>1335</v>
      </c>
      <c r="D46" s="188">
        <v>4124</v>
      </c>
      <c r="E46" s="189">
        <v>3.08913857677903</v>
      </c>
      <c r="F46" s="167">
        <v>1.09975329485936</v>
      </c>
      <c r="G46" s="190">
        <v>28.38</v>
      </c>
      <c r="H46" s="190"/>
      <c r="I46" s="176">
        <v>0.39700000000000002</v>
      </c>
      <c r="J46" s="176">
        <v>0.17100000000000001</v>
      </c>
      <c r="K46" s="176">
        <v>9.7000000000000003E-2</v>
      </c>
      <c r="L46" s="174">
        <v>9.4798739088263808</v>
      </c>
      <c r="M46" s="177">
        <v>7.7405431619786604</v>
      </c>
      <c r="N46" s="167">
        <v>11.714495412844</v>
      </c>
      <c r="O46" s="193">
        <f t="shared" si="4"/>
        <v>0.6607662463627566</v>
      </c>
      <c r="P46" s="167">
        <v>2.02495412844037</v>
      </c>
      <c r="Q46" s="167">
        <v>1.7240366972477099</v>
      </c>
      <c r="R46" s="167">
        <v>1.75449541284404</v>
      </c>
      <c r="S46" s="167">
        <v>1.99119266055046</v>
      </c>
      <c r="T46" s="167">
        <v>1.40990825688073</v>
      </c>
      <c r="U46" s="167">
        <v>0.55376146788990799</v>
      </c>
      <c r="V46" s="167">
        <v>1.55743119266055</v>
      </c>
      <c r="W46" s="167">
        <v>0.69871559633027502</v>
      </c>
      <c r="X46" s="167">
        <v>3.1280310378273501E-2</v>
      </c>
      <c r="Y46" s="173">
        <f t="shared" si="5"/>
        <v>7.7718234723569335</v>
      </c>
      <c r="Z46" s="178">
        <v>84</v>
      </c>
      <c r="AA46" s="178">
        <v>61</v>
      </c>
      <c r="AB46" s="174">
        <v>669.16</v>
      </c>
      <c r="AC46" s="194"/>
      <c r="AD46" s="195">
        <v>2.0368574199805999E-2</v>
      </c>
      <c r="AE46" s="176">
        <f t="shared" si="2"/>
        <v>1.4791464597478177E-2</v>
      </c>
      <c r="AF46" s="174">
        <v>7.96619047619048</v>
      </c>
      <c r="AG46" s="180">
        <v>0.16225994180407399</v>
      </c>
      <c r="AH46" s="181">
        <v>0.72659176029962502</v>
      </c>
      <c r="AI46" s="181">
        <v>0.43970037453183503</v>
      </c>
      <c r="AJ46" s="174">
        <v>0.38579049466537302</v>
      </c>
      <c r="AK46" s="58">
        <v>4.2434529582929197E-2</v>
      </c>
      <c r="AL46" s="58">
        <v>8.9718719689621702E-3</v>
      </c>
      <c r="AM46" s="182">
        <v>0.35669253152279301</v>
      </c>
    </row>
    <row r="47" spans="1:39" ht="16.05" customHeight="1" outlineLevel="1">
      <c r="A47" s="186">
        <v>43388</v>
      </c>
      <c r="B47" s="185" t="s">
        <v>41</v>
      </c>
      <c r="C47" s="188">
        <v>1319</v>
      </c>
      <c r="D47" s="188">
        <v>4211</v>
      </c>
      <c r="E47" s="189">
        <v>3.1925701288855199</v>
      </c>
      <c r="F47" s="167">
        <v>1.0572352077891201</v>
      </c>
      <c r="G47" s="190">
        <v>29.6</v>
      </c>
      <c r="H47" s="190"/>
      <c r="I47" s="176">
        <v>0.41799999999999998</v>
      </c>
      <c r="J47" s="176">
        <v>0.19900000000000001</v>
      </c>
      <c r="K47" s="176">
        <v>9.1999999999999998E-2</v>
      </c>
      <c r="L47" s="174">
        <v>9.78627404417003</v>
      </c>
      <c r="M47" s="177">
        <v>7.4191403467109902</v>
      </c>
      <c r="N47" s="167">
        <v>11.2664983772088</v>
      </c>
      <c r="O47" s="193">
        <f t="shared" si="4"/>
        <v>0.65851341724056001</v>
      </c>
      <c r="P47" s="167">
        <v>1.96826541651641</v>
      </c>
      <c r="Q47" s="167">
        <v>1.7284529390551699</v>
      </c>
      <c r="R47" s="167">
        <v>1.66895059502344</v>
      </c>
      <c r="S47" s="167">
        <v>1.8074287774972999</v>
      </c>
      <c r="T47" s="167">
        <v>1.3519653804543801</v>
      </c>
      <c r="U47" s="167">
        <v>0.57735304724125502</v>
      </c>
      <c r="V47" s="167">
        <v>1.49152542372881</v>
      </c>
      <c r="W47" s="167">
        <v>0.67255679769203003</v>
      </c>
      <c r="X47" s="167">
        <v>2.5884587983851799E-2</v>
      </c>
      <c r="Y47" s="173">
        <f t="shared" si="5"/>
        <v>7.4450249346948416</v>
      </c>
      <c r="Z47" s="178">
        <v>81</v>
      </c>
      <c r="AA47" s="178">
        <v>56</v>
      </c>
      <c r="AB47" s="174">
        <v>606.19000000000005</v>
      </c>
      <c r="AC47" s="194"/>
      <c r="AD47" s="195">
        <v>1.9235336024697201E-2</v>
      </c>
      <c r="AE47" s="176">
        <f t="shared" si="2"/>
        <v>1.3298503918309191E-2</v>
      </c>
      <c r="AF47" s="174">
        <v>7.4838271604938296</v>
      </c>
      <c r="AG47" s="180">
        <v>0.14395393018285399</v>
      </c>
      <c r="AH47" s="181">
        <v>0.75284306292645897</v>
      </c>
      <c r="AI47" s="181">
        <v>0.43138741470811198</v>
      </c>
      <c r="AJ47" s="174">
        <v>0.41700308715269502</v>
      </c>
      <c r="AK47" s="58">
        <v>3.82331987651389E-2</v>
      </c>
      <c r="AL47" s="58">
        <v>7.8366183804321997E-3</v>
      </c>
      <c r="AM47" s="182">
        <v>0.35217288055093798</v>
      </c>
    </row>
    <row r="48" spans="1:39" ht="16.05" customHeight="1" outlineLevel="1">
      <c r="A48" s="184">
        <v>43389</v>
      </c>
      <c r="B48" s="185" t="s">
        <v>41</v>
      </c>
      <c r="C48" s="188">
        <v>1265</v>
      </c>
      <c r="D48" s="188">
        <v>4134</v>
      </c>
      <c r="E48" s="189">
        <v>3.2679841897233199</v>
      </c>
      <c r="F48" s="167">
        <v>0.41631966618287403</v>
      </c>
      <c r="G48" s="190">
        <v>28.91</v>
      </c>
      <c r="H48" s="190"/>
      <c r="I48" s="176">
        <v>0.45900000000000002</v>
      </c>
      <c r="J48" s="176">
        <v>0.216</v>
      </c>
      <c r="K48" s="176">
        <v>0.107</v>
      </c>
      <c r="L48" s="174">
        <v>9.4586357039187199</v>
      </c>
      <c r="M48" s="177">
        <v>7.0316884373488104</v>
      </c>
      <c r="N48" s="167">
        <v>10.8385533184191</v>
      </c>
      <c r="O48" s="193">
        <f t="shared" si="4"/>
        <v>0.64876632801161005</v>
      </c>
      <c r="P48" s="167">
        <v>1.94593586875466</v>
      </c>
      <c r="Q48" s="167">
        <v>1.57494407158837</v>
      </c>
      <c r="R48" s="167">
        <v>1.49813571961223</v>
      </c>
      <c r="S48" s="167">
        <v>1.84377330350485</v>
      </c>
      <c r="T48" s="167">
        <v>1.31096196868009</v>
      </c>
      <c r="U48" s="167">
        <v>0.58389261744966403</v>
      </c>
      <c r="V48" s="167">
        <v>1.4123788217747999</v>
      </c>
      <c r="W48" s="167">
        <v>0.66853094705443705</v>
      </c>
      <c r="X48" s="167">
        <v>2.0077406869859701E-2</v>
      </c>
      <c r="Y48" s="173">
        <f t="shared" si="5"/>
        <v>7.0517658442186697</v>
      </c>
      <c r="Z48" s="178">
        <v>95</v>
      </c>
      <c r="AA48" s="178">
        <v>63</v>
      </c>
      <c r="AB48" s="174">
        <v>745.05</v>
      </c>
      <c r="AC48" s="194"/>
      <c r="AD48" s="195">
        <v>2.2980164489598501E-2</v>
      </c>
      <c r="AE48" s="176">
        <f t="shared" si="2"/>
        <v>1.5239477503628448E-2</v>
      </c>
      <c r="AF48" s="174">
        <v>7.84263157894737</v>
      </c>
      <c r="AG48" s="180">
        <v>0.18022496371553001</v>
      </c>
      <c r="AH48" s="181">
        <v>0.74387351778656097</v>
      </c>
      <c r="AI48" s="181">
        <v>0.43952569169960498</v>
      </c>
      <c r="AJ48" s="174">
        <v>0.57740686985970002</v>
      </c>
      <c r="AK48" s="58">
        <v>4.8621190130624103E-2</v>
      </c>
      <c r="AL48" s="58">
        <v>1.40299951620706E-2</v>
      </c>
      <c r="AM48" s="182">
        <v>0.28011611030479</v>
      </c>
    </row>
    <row r="49" spans="1:39" ht="16.05" customHeight="1" outlineLevel="1">
      <c r="A49" s="186">
        <v>43390</v>
      </c>
      <c r="B49" s="187" t="s">
        <v>41</v>
      </c>
      <c r="C49" s="188">
        <v>1416</v>
      </c>
      <c r="D49" s="188">
        <v>4353</v>
      </c>
      <c r="E49" s="189">
        <v>3.0741525423728802</v>
      </c>
      <c r="F49" s="167">
        <v>0.78179630599586503</v>
      </c>
      <c r="G49" s="190">
        <v>31.48</v>
      </c>
      <c r="H49" s="190"/>
      <c r="I49" s="176">
        <v>0.48599999999999999</v>
      </c>
      <c r="J49" s="176">
        <v>0.216</v>
      </c>
      <c r="K49" s="176">
        <v>0.11700000000000001</v>
      </c>
      <c r="L49" s="174">
        <v>8.9032850907420205</v>
      </c>
      <c r="M49" s="177">
        <v>6.0372157133011699</v>
      </c>
      <c r="N49" s="167">
        <v>9.6334310850439895</v>
      </c>
      <c r="O49" s="193">
        <f t="shared" si="4"/>
        <v>0.62669423386170431</v>
      </c>
      <c r="P49" s="167">
        <v>1.7730938416422299</v>
      </c>
      <c r="Q49" s="167">
        <v>1.3519061583577701</v>
      </c>
      <c r="R49" s="167">
        <v>0.99156891495601196</v>
      </c>
      <c r="S49" s="167">
        <v>1.9343841642228701</v>
      </c>
      <c r="T49" s="167">
        <v>1.1950146627566001</v>
      </c>
      <c r="U49" s="167">
        <v>0.63233137829912001</v>
      </c>
      <c r="V49" s="167">
        <v>1.14149560117302</v>
      </c>
      <c r="W49" s="167">
        <v>0.61363636363636398</v>
      </c>
      <c r="X49" s="167">
        <v>2.3661842407535001E-2</v>
      </c>
      <c r="Y49" s="173">
        <f t="shared" si="5"/>
        <v>6.0608775557087053</v>
      </c>
      <c r="Z49" s="178">
        <v>62</v>
      </c>
      <c r="AA49" s="178">
        <v>47</v>
      </c>
      <c r="AB49" s="174">
        <v>291.38</v>
      </c>
      <c r="AC49" s="194"/>
      <c r="AD49" s="195">
        <v>1.42430507695842E-2</v>
      </c>
      <c r="AE49" s="176">
        <f t="shared" si="2"/>
        <v>1.0797151389846084E-2</v>
      </c>
      <c r="AF49" s="174">
        <v>4.6996774193548401</v>
      </c>
      <c r="AG49" s="180">
        <v>6.6937744084539397E-2</v>
      </c>
      <c r="AH49" s="181">
        <v>0.74858757062146897</v>
      </c>
      <c r="AI49" s="181">
        <v>0.46751412429378503</v>
      </c>
      <c r="AJ49" s="174">
        <v>0.64668045026418597</v>
      </c>
      <c r="AK49" s="58">
        <v>5.7891109579600301E-2</v>
      </c>
      <c r="AL49" s="58">
        <v>1.3094417643004799E-2</v>
      </c>
      <c r="AM49" s="182">
        <v>0</v>
      </c>
    </row>
    <row r="50" spans="1:39" ht="16.05" customHeight="1" outlineLevel="1">
      <c r="A50" s="186">
        <v>43391</v>
      </c>
      <c r="B50" s="187" t="s">
        <v>41</v>
      </c>
      <c r="C50" s="188">
        <v>1385</v>
      </c>
      <c r="D50" s="188">
        <v>4420</v>
      </c>
      <c r="E50" s="189">
        <v>3.1913357400722</v>
      </c>
      <c r="F50" s="167">
        <v>0.89396077941176499</v>
      </c>
      <c r="G50" s="190">
        <v>31.31</v>
      </c>
      <c r="H50" s="190"/>
      <c r="I50" s="176">
        <v>0.441</v>
      </c>
      <c r="J50" s="176">
        <v>0.20399999999999999</v>
      </c>
      <c r="K50" s="176">
        <v>0.11600000000000001</v>
      </c>
      <c r="L50" s="174">
        <v>9.0787330316742096</v>
      </c>
      <c r="M50" s="177">
        <v>6.5871040723981897</v>
      </c>
      <c r="N50" s="167">
        <v>10.6453382084095</v>
      </c>
      <c r="O50" s="193">
        <f t="shared" si="4"/>
        <v>0.61877828054298678</v>
      </c>
      <c r="P50" s="167">
        <v>1.8921389396709301</v>
      </c>
      <c r="Q50" s="167">
        <v>1.55173674588665</v>
      </c>
      <c r="R50" s="167">
        <v>1.2098720292504599</v>
      </c>
      <c r="S50" s="167">
        <v>2.2585009140767802</v>
      </c>
      <c r="T50" s="167">
        <v>1.1926873857403999</v>
      </c>
      <c r="U50" s="167">
        <v>0.62961608775137101</v>
      </c>
      <c r="V50" s="167">
        <v>1.2775137111517401</v>
      </c>
      <c r="W50" s="167">
        <v>0.63327239488117004</v>
      </c>
      <c r="X50" s="167">
        <v>1.9683257918552001E-2</v>
      </c>
      <c r="Y50" s="173">
        <f t="shared" si="5"/>
        <v>6.6067873303167417</v>
      </c>
      <c r="Z50" s="178">
        <v>75</v>
      </c>
      <c r="AA50" s="178">
        <v>55</v>
      </c>
      <c r="AB50" s="174">
        <v>408.25</v>
      </c>
      <c r="AC50" s="194"/>
      <c r="AD50" s="195">
        <v>1.6968325791855199E-2</v>
      </c>
      <c r="AE50" s="176">
        <f t="shared" si="2"/>
        <v>1.2443438914027148E-2</v>
      </c>
      <c r="AF50" s="174">
        <v>5.4433333333333298</v>
      </c>
      <c r="AG50" s="180">
        <v>9.2364253393665094E-2</v>
      </c>
      <c r="AH50" s="181">
        <v>0.74368231046931399</v>
      </c>
      <c r="AI50" s="181">
        <v>0.52202166064981903</v>
      </c>
      <c r="AJ50" s="174">
        <v>0.73031674208144803</v>
      </c>
      <c r="AK50" s="58">
        <v>6.9004524886877805E-2</v>
      </c>
      <c r="AL50" s="58">
        <v>1.4705882352941201E-2</v>
      </c>
      <c r="AM50" s="182">
        <v>0</v>
      </c>
    </row>
    <row r="51" spans="1:39" ht="16.05" customHeight="1" outlineLevel="1">
      <c r="A51" s="186">
        <v>43392</v>
      </c>
      <c r="B51" s="187" t="s">
        <v>41</v>
      </c>
      <c r="C51" s="188">
        <v>1362</v>
      </c>
      <c r="D51" s="188">
        <v>4408</v>
      </c>
      <c r="E51" s="189">
        <v>3.23641703377386</v>
      </c>
      <c r="F51" s="167">
        <v>0.68751281420145205</v>
      </c>
      <c r="G51" s="190">
        <v>24.11</v>
      </c>
      <c r="H51" s="190"/>
      <c r="I51" s="176">
        <v>0.46500000000000002</v>
      </c>
      <c r="J51" s="176">
        <v>0.22600000000000001</v>
      </c>
      <c r="K51" s="176">
        <v>0.112</v>
      </c>
      <c r="L51" s="174">
        <v>9.1758166969146995</v>
      </c>
      <c r="M51" s="177">
        <v>6.6231851179673296</v>
      </c>
      <c r="N51" s="167">
        <v>10.6318281136198</v>
      </c>
      <c r="O51" s="193">
        <f t="shared" si="4"/>
        <v>0.62295825771324898</v>
      </c>
      <c r="P51" s="167">
        <v>1.8681718863801899</v>
      </c>
      <c r="Q51" s="167">
        <v>1.6879096868171899</v>
      </c>
      <c r="R51" s="167">
        <v>1.17297887836854</v>
      </c>
      <c r="S51" s="167">
        <v>2.0895848506919199</v>
      </c>
      <c r="T51" s="167">
        <v>1.2104879825200301</v>
      </c>
      <c r="U51" s="167">
        <v>0.62418062636562299</v>
      </c>
      <c r="V51" s="167">
        <v>1.2931536780771999</v>
      </c>
      <c r="W51" s="167">
        <v>0.68536052439912598</v>
      </c>
      <c r="X51" s="167">
        <v>2.56352087114338E-2</v>
      </c>
      <c r="Y51" s="173">
        <f t="shared" si="5"/>
        <v>6.6488203266787638</v>
      </c>
      <c r="Z51" s="178">
        <v>63</v>
      </c>
      <c r="AA51" s="178">
        <v>47</v>
      </c>
      <c r="AB51" s="174">
        <v>306.37</v>
      </c>
      <c r="AC51" s="194"/>
      <c r="AD51" s="195">
        <v>1.42921960072595E-2</v>
      </c>
      <c r="AE51" s="176">
        <f t="shared" si="2"/>
        <v>1.0662431941923775E-2</v>
      </c>
      <c r="AF51" s="174">
        <v>4.8630158730158701</v>
      </c>
      <c r="AG51" s="180">
        <v>6.9503176043557199E-2</v>
      </c>
      <c r="AH51" s="181">
        <v>0.70044052863436101</v>
      </c>
      <c r="AI51" s="181">
        <v>0.51248164464023505</v>
      </c>
      <c r="AJ51" s="174">
        <v>0.70031760435571699</v>
      </c>
      <c r="AK51" s="58">
        <v>7.2368421052631596E-2</v>
      </c>
      <c r="AL51" s="58">
        <v>1.6560798548094401E-2</v>
      </c>
      <c r="AM51" s="182">
        <v>0</v>
      </c>
    </row>
    <row r="52" spans="1:39" ht="16.05" customHeight="1" outlineLevel="1">
      <c r="A52" s="186">
        <v>43393</v>
      </c>
      <c r="B52" s="185" t="s">
        <v>41</v>
      </c>
      <c r="C52" s="188">
        <v>1524</v>
      </c>
      <c r="D52" s="188">
        <v>4600</v>
      </c>
      <c r="E52" s="189">
        <v>3.0183727034120702</v>
      </c>
      <c r="F52" s="167">
        <v>0.869905288043478</v>
      </c>
      <c r="G52" s="190">
        <v>25.21</v>
      </c>
      <c r="H52" s="190"/>
      <c r="I52" s="176">
        <v>0.42499999999999999</v>
      </c>
      <c r="J52" s="176">
        <v>0.19800000000000001</v>
      </c>
      <c r="K52" s="176">
        <v>0.108</v>
      </c>
      <c r="L52" s="174">
        <v>10.5473913043478</v>
      </c>
      <c r="M52" s="177">
        <v>7.7445652173913002</v>
      </c>
      <c r="N52" s="167">
        <v>12.125595643294799</v>
      </c>
      <c r="O52" s="193">
        <f t="shared" si="4"/>
        <v>0.63869565217391056</v>
      </c>
      <c r="P52" s="167">
        <v>2.19094622191967</v>
      </c>
      <c r="Q52" s="167">
        <v>2.1456773315180402</v>
      </c>
      <c r="R52" s="167">
        <v>1.24336283185841</v>
      </c>
      <c r="S52" s="167">
        <v>2.1082368958475102</v>
      </c>
      <c r="T52" s="167">
        <v>1.38393464942138</v>
      </c>
      <c r="U52" s="167">
        <v>0.55786249149081002</v>
      </c>
      <c r="V52" s="167">
        <v>1.75527569775357</v>
      </c>
      <c r="W52" s="167">
        <v>0.74029952348536399</v>
      </c>
      <c r="X52" s="167">
        <v>3.3043478260869598E-2</v>
      </c>
      <c r="Y52" s="173">
        <f t="shared" si="5"/>
        <v>7.7776086956521695</v>
      </c>
      <c r="Z52" s="178">
        <v>73</v>
      </c>
      <c r="AA52" s="178">
        <v>55</v>
      </c>
      <c r="AB52" s="174">
        <v>449.27</v>
      </c>
      <c r="AC52" s="194"/>
      <c r="AD52" s="195">
        <v>1.5869565217391302E-2</v>
      </c>
      <c r="AE52" s="176">
        <f t="shared" si="2"/>
        <v>1.1956521739130435E-2</v>
      </c>
      <c r="AF52" s="174">
        <v>6.15438356164384</v>
      </c>
      <c r="AG52" s="180">
        <v>9.7667391304347803E-2</v>
      </c>
      <c r="AH52" s="181">
        <v>0.73622047244094502</v>
      </c>
      <c r="AI52" s="181">
        <v>0.51837270341207398</v>
      </c>
      <c r="AJ52" s="174">
        <v>0.57260869565217398</v>
      </c>
      <c r="AK52" s="58">
        <v>6.1739130434782602E-2</v>
      </c>
      <c r="AL52" s="58">
        <v>0.01</v>
      </c>
      <c r="AM52" s="182">
        <v>0.39891304347826101</v>
      </c>
    </row>
    <row r="53" spans="1:39" ht="16.05" customHeight="1" outlineLevel="1">
      <c r="A53" s="186">
        <v>43394</v>
      </c>
      <c r="B53" s="185" t="s">
        <v>41</v>
      </c>
      <c r="C53" s="188">
        <v>1568</v>
      </c>
      <c r="D53" s="188">
        <v>4851</v>
      </c>
      <c r="E53" s="189">
        <v>3.09375</v>
      </c>
      <c r="F53" s="167">
        <v>1.0749882857142901</v>
      </c>
      <c r="G53" s="190">
        <v>24.78</v>
      </c>
      <c r="H53" s="190"/>
      <c r="I53" s="176">
        <v>0.42299999999999999</v>
      </c>
      <c r="J53" s="176">
        <v>0.191</v>
      </c>
      <c r="K53" s="176">
        <v>0.109</v>
      </c>
      <c r="L53" s="174">
        <v>9.6957328385899793</v>
      </c>
      <c r="M53" s="177">
        <v>8.0397856112141799</v>
      </c>
      <c r="N53" s="167">
        <v>12.7956036745407</v>
      </c>
      <c r="O53" s="193">
        <f t="shared" si="4"/>
        <v>0.62832405689548432</v>
      </c>
      <c r="P53" s="167">
        <v>2.17979002624672</v>
      </c>
      <c r="Q53" s="167">
        <v>2.22801837270341</v>
      </c>
      <c r="R53" s="167">
        <v>1.5065616797900301</v>
      </c>
      <c r="S53" s="167">
        <v>2.4110892388451401</v>
      </c>
      <c r="T53" s="167">
        <v>1.35958005249344</v>
      </c>
      <c r="U53" s="167">
        <v>0.55249343832021003</v>
      </c>
      <c r="V53" s="167">
        <v>1.7831364829396299</v>
      </c>
      <c r="W53" s="167">
        <v>0.77493438320209995</v>
      </c>
      <c r="X53" s="167">
        <v>1.4842300556586301E-2</v>
      </c>
      <c r="Y53" s="173">
        <f t="shared" si="5"/>
        <v>8.0546279117707655</v>
      </c>
      <c r="Z53" s="178">
        <v>116</v>
      </c>
      <c r="AA53" s="178">
        <v>61</v>
      </c>
      <c r="AB53" s="174">
        <v>876.84</v>
      </c>
      <c r="AC53" s="194"/>
      <c r="AD53" s="195">
        <v>2.3912595341166801E-2</v>
      </c>
      <c r="AE53" s="176">
        <f t="shared" si="2"/>
        <v>1.2574726860441147E-2</v>
      </c>
      <c r="AF53" s="174">
        <v>7.5589655172413801</v>
      </c>
      <c r="AG53" s="180">
        <v>0.18075448361162699</v>
      </c>
      <c r="AH53" s="181">
        <v>0.72895408163265296</v>
      </c>
      <c r="AI53" s="181">
        <v>0.48979591836734698</v>
      </c>
      <c r="AJ53" s="174">
        <v>0.546279117707689</v>
      </c>
      <c r="AK53" s="58">
        <v>5.7926200783343602E-2</v>
      </c>
      <c r="AL53" s="58">
        <v>1.1131725417439699E-2</v>
      </c>
      <c r="AM53" s="182">
        <v>0.36136878994021898</v>
      </c>
    </row>
    <row r="54" spans="1:39" ht="16.05" customHeight="1" outlineLevel="1">
      <c r="A54" s="186">
        <v>43395</v>
      </c>
      <c r="B54" s="185" t="s">
        <v>41</v>
      </c>
      <c r="C54" s="188">
        <v>1472</v>
      </c>
      <c r="D54" s="188">
        <v>5034</v>
      </c>
      <c r="E54" s="189">
        <v>3.4198369565217401</v>
      </c>
      <c r="F54" s="167">
        <v>1.0265268963051299</v>
      </c>
      <c r="G54" s="190">
        <v>23.48</v>
      </c>
      <c r="H54" s="190"/>
      <c r="I54" s="176">
        <v>0.443</v>
      </c>
      <c r="J54" s="176">
        <v>0.23</v>
      </c>
      <c r="K54" s="176">
        <v>0.115</v>
      </c>
      <c r="L54" s="174">
        <v>10.1303138657132</v>
      </c>
      <c r="M54" s="177">
        <v>8.4463647199046505</v>
      </c>
      <c r="N54" s="167">
        <v>13.062672811059899</v>
      </c>
      <c r="O54" s="193">
        <f t="shared" si="4"/>
        <v>0.64660309892729495</v>
      </c>
      <c r="P54" s="167">
        <v>2.1195084485407101</v>
      </c>
      <c r="Q54" s="167">
        <v>2.3640552995391699</v>
      </c>
      <c r="R54" s="167">
        <v>1.5929339477726601</v>
      </c>
      <c r="S54" s="167">
        <v>2.5274961597542198</v>
      </c>
      <c r="T54" s="167">
        <v>1.3652841781874001</v>
      </c>
      <c r="U54" s="167">
        <v>0.55453149001536095</v>
      </c>
      <c r="V54" s="167">
        <v>1.7815668202765</v>
      </c>
      <c r="W54" s="167">
        <v>0.75729646697388597</v>
      </c>
      <c r="X54" s="167">
        <v>1.82757250695272E-2</v>
      </c>
      <c r="Y54" s="173">
        <f t="shared" si="5"/>
        <v>8.4646404449741777</v>
      </c>
      <c r="Z54" s="178">
        <v>118</v>
      </c>
      <c r="AA54" s="178">
        <v>89</v>
      </c>
      <c r="AB54" s="174">
        <v>810.82</v>
      </c>
      <c r="AC54" s="194"/>
      <c r="AD54" s="195">
        <v>2.3440603893523999E-2</v>
      </c>
      <c r="AE54" s="176">
        <f t="shared" si="2"/>
        <v>1.7679777512912196E-2</v>
      </c>
      <c r="AF54" s="174">
        <v>6.8713559322033904</v>
      </c>
      <c r="AG54" s="180">
        <v>0.16106873261819599</v>
      </c>
      <c r="AH54" s="181">
        <v>0.75</v>
      </c>
      <c r="AI54" s="181">
        <v>0.55706521739130399</v>
      </c>
      <c r="AJ54" s="174">
        <v>0.626142232816845</v>
      </c>
      <c r="AK54" s="58">
        <v>5.7012316249503397E-2</v>
      </c>
      <c r="AL54" s="58">
        <v>1.03297576479936E-2</v>
      </c>
      <c r="AM54" s="182">
        <v>0.363925307906238</v>
      </c>
    </row>
    <row r="55" spans="1:39" ht="16.05" customHeight="1" outlineLevel="1">
      <c r="A55" s="184">
        <v>43396</v>
      </c>
      <c r="B55" s="185" t="s">
        <v>41</v>
      </c>
      <c r="C55" s="188">
        <v>1301</v>
      </c>
      <c r="D55" s="188">
        <v>4852</v>
      </c>
      <c r="E55" s="189">
        <v>3.7294388931591098</v>
      </c>
      <c r="F55" s="167">
        <v>1.0569181984748599</v>
      </c>
      <c r="G55" s="190">
        <v>23.81</v>
      </c>
      <c r="H55" s="190"/>
      <c r="I55" s="176">
        <v>0.47799999999999998</v>
      </c>
      <c r="J55" s="176">
        <v>0.21099999999999999</v>
      </c>
      <c r="K55" s="176">
        <v>0.108</v>
      </c>
      <c r="L55" s="174">
        <v>9.9418796372629803</v>
      </c>
      <c r="M55" s="177">
        <v>8.9989694971145902</v>
      </c>
      <c r="N55" s="167">
        <v>13.799936788874801</v>
      </c>
      <c r="O55" s="193">
        <f t="shared" si="4"/>
        <v>0.65210222588623434</v>
      </c>
      <c r="P55" s="167">
        <v>2.1387484197218698</v>
      </c>
      <c r="Q55" s="167">
        <v>2.4402654867256599</v>
      </c>
      <c r="R55" s="167">
        <v>1.54740834386852</v>
      </c>
      <c r="S55" s="167">
        <v>3.02465233881163</v>
      </c>
      <c r="T55" s="167">
        <v>1.34987357774968</v>
      </c>
      <c r="U55" s="167">
        <v>0.62104930467762298</v>
      </c>
      <c r="V55" s="167">
        <v>1.85935524652339</v>
      </c>
      <c r="W55" s="167">
        <v>0.81858407079646001</v>
      </c>
      <c r="X55" s="167">
        <v>1.15416323165705E-2</v>
      </c>
      <c r="Y55" s="173">
        <f t="shared" si="5"/>
        <v>9.0105111294311602</v>
      </c>
      <c r="Z55" s="178">
        <v>118</v>
      </c>
      <c r="AA55" s="178">
        <v>73</v>
      </c>
      <c r="AB55" s="174">
        <v>734.82</v>
      </c>
      <c r="AC55" s="194"/>
      <c r="AD55" s="195">
        <v>2.4319868095630699E-2</v>
      </c>
      <c r="AE55" s="176">
        <f t="shared" si="2"/>
        <v>1.5045342126957956E-2</v>
      </c>
      <c r="AF55" s="174">
        <v>6.2272881355932199</v>
      </c>
      <c r="AG55" s="180">
        <v>0.15144682605111301</v>
      </c>
      <c r="AH55" s="181">
        <v>0.76479631053036101</v>
      </c>
      <c r="AI55" s="181">
        <v>0.55956956187548001</v>
      </c>
      <c r="AJ55" s="174">
        <v>0.76154163231657002</v>
      </c>
      <c r="AK55" s="58">
        <v>7.5020610057708201E-2</v>
      </c>
      <c r="AL55" s="58">
        <v>1.44270403957131E-2</v>
      </c>
      <c r="AM55" s="182">
        <v>0.30008244023083303</v>
      </c>
    </row>
    <row r="56" spans="1:39" ht="16.05" customHeight="1" outlineLevel="1">
      <c r="A56" s="186">
        <v>43397</v>
      </c>
      <c r="B56" s="187" t="s">
        <v>41</v>
      </c>
      <c r="C56" s="188">
        <v>1123</v>
      </c>
      <c r="D56" s="188">
        <v>4603</v>
      </c>
      <c r="E56" s="189">
        <v>4.0988423864648302</v>
      </c>
      <c r="F56" s="167">
        <v>0.94415416033021904</v>
      </c>
      <c r="G56" s="190">
        <v>25.8</v>
      </c>
      <c r="H56" s="190"/>
      <c r="I56" s="176">
        <v>0.47299999999999998</v>
      </c>
      <c r="J56" s="176">
        <v>0.21199999999999999</v>
      </c>
      <c r="K56" s="176">
        <v>9.9000000000000005E-2</v>
      </c>
      <c r="L56" s="174">
        <v>9.3237019335216207</v>
      </c>
      <c r="M56" s="177">
        <v>8.5237888333695402</v>
      </c>
      <c r="N56" s="167">
        <v>12.893526125534001</v>
      </c>
      <c r="O56" s="193">
        <f t="shared" si="4"/>
        <v>0.66109059309146256</v>
      </c>
      <c r="P56" s="167">
        <v>1.83075911929017</v>
      </c>
      <c r="Q56" s="167">
        <v>1.95497863950049</v>
      </c>
      <c r="R56" s="167">
        <v>1.38120276043378</v>
      </c>
      <c r="S56" s="167">
        <v>3.6694051922445001</v>
      </c>
      <c r="T56" s="167">
        <v>1.16924088070983</v>
      </c>
      <c r="U56" s="167">
        <v>0.59612224778179401</v>
      </c>
      <c r="V56" s="167">
        <v>1.56194544857049</v>
      </c>
      <c r="W56" s="167">
        <v>0.72987183700295799</v>
      </c>
      <c r="X56" s="167">
        <v>1.60764718661742E-2</v>
      </c>
      <c r="Y56" s="173">
        <f t="shared" si="5"/>
        <v>8.5398653052357147</v>
      </c>
      <c r="Z56" s="178">
        <v>73</v>
      </c>
      <c r="AA56" s="178">
        <v>51</v>
      </c>
      <c r="AB56" s="174">
        <v>435.27</v>
      </c>
      <c r="AC56" s="194"/>
      <c r="AD56" s="195">
        <v>1.5859222246361101E-2</v>
      </c>
      <c r="AE56" s="176">
        <f t="shared" si="2"/>
        <v>1.1079730610471432E-2</v>
      </c>
      <c r="AF56" s="174">
        <v>5.9626027397260302</v>
      </c>
      <c r="AG56" s="180">
        <v>9.4562242016076506E-2</v>
      </c>
      <c r="AH56" s="181">
        <v>0.78272484416740895</v>
      </c>
      <c r="AI56" s="181">
        <v>0.60819234194122895</v>
      </c>
      <c r="AJ56" s="174">
        <v>0.89876167716706501</v>
      </c>
      <c r="AK56" s="58">
        <v>8.7551596784705601E-2</v>
      </c>
      <c r="AL56" s="58">
        <v>1.5859222246361101E-2</v>
      </c>
      <c r="AM56" s="182">
        <v>0</v>
      </c>
    </row>
    <row r="57" spans="1:39" ht="16.05" customHeight="1" outlineLevel="1">
      <c r="A57" s="186">
        <v>43398</v>
      </c>
      <c r="B57" s="187" t="s">
        <v>41</v>
      </c>
      <c r="C57" s="188">
        <v>996</v>
      </c>
      <c r="D57" s="188">
        <v>4386</v>
      </c>
      <c r="E57" s="189">
        <v>4.4036144578313197</v>
      </c>
      <c r="F57" s="167">
        <v>1.0577649056087599</v>
      </c>
      <c r="G57" s="190">
        <v>26.74</v>
      </c>
      <c r="H57" s="190"/>
      <c r="I57" s="176">
        <v>0.49299999999999999</v>
      </c>
      <c r="J57" s="176">
        <v>0.24199999999999999</v>
      </c>
      <c r="K57" s="176">
        <v>0.105</v>
      </c>
      <c r="L57" s="174">
        <v>9.1600547195622397</v>
      </c>
      <c r="M57" s="177">
        <v>8.8527131782945698</v>
      </c>
      <c r="N57" s="167">
        <v>13.3200686106346</v>
      </c>
      <c r="O57" s="193">
        <f t="shared" si="4"/>
        <v>0.66461468308253746</v>
      </c>
      <c r="P57" s="167">
        <v>1.93927958833619</v>
      </c>
      <c r="Q57" s="167">
        <v>2.0480274442538602</v>
      </c>
      <c r="R57" s="167">
        <v>1.37975986277873</v>
      </c>
      <c r="S57" s="167">
        <v>3.8620926243567801</v>
      </c>
      <c r="T57" s="167">
        <v>1.2192109777015401</v>
      </c>
      <c r="U57" s="167">
        <v>0.58524871355060004</v>
      </c>
      <c r="V57" s="167">
        <v>1.5797598627787299</v>
      </c>
      <c r="W57" s="167">
        <v>0.70668953687821601</v>
      </c>
      <c r="X57" s="167">
        <v>2.1431828545371599E-2</v>
      </c>
      <c r="Y57" s="173">
        <f t="shared" si="5"/>
        <v>8.8741450068399406</v>
      </c>
      <c r="Z57" s="178">
        <v>85</v>
      </c>
      <c r="AA57" s="178">
        <v>55</v>
      </c>
      <c r="AB57" s="174">
        <v>525.15</v>
      </c>
      <c r="AC57" s="194"/>
      <c r="AD57" s="195">
        <v>1.9379844961240299E-2</v>
      </c>
      <c r="AE57" s="176">
        <f t="shared" si="2"/>
        <v>1.2539899680802553E-2</v>
      </c>
      <c r="AF57" s="174">
        <v>6.1782352941176502</v>
      </c>
      <c r="AG57" s="180">
        <v>0.119733242134063</v>
      </c>
      <c r="AH57" s="181">
        <v>0.78112449799196804</v>
      </c>
      <c r="AI57" s="181">
        <v>0.57831325301204795</v>
      </c>
      <c r="AJ57" s="174">
        <v>0.88098495212038297</v>
      </c>
      <c r="AK57" s="58">
        <v>8.8919288645690805E-2</v>
      </c>
      <c r="AL57" s="58">
        <v>1.9151846785225701E-2</v>
      </c>
      <c r="AM57" s="182">
        <v>0</v>
      </c>
    </row>
    <row r="58" spans="1:39" ht="16.05" customHeight="1" outlineLevel="1">
      <c r="A58" s="186">
        <v>43399</v>
      </c>
      <c r="B58" s="187" t="s">
        <v>41</v>
      </c>
      <c r="C58" s="188">
        <v>1316</v>
      </c>
      <c r="D58" s="188">
        <v>4647</v>
      </c>
      <c r="E58" s="189">
        <v>3.5311550151975699</v>
      </c>
      <c r="F58" s="167">
        <v>0.92689187088444203</v>
      </c>
      <c r="G58" s="190">
        <v>24.28</v>
      </c>
      <c r="H58" s="190"/>
      <c r="I58" s="176">
        <v>0.41699999999999998</v>
      </c>
      <c r="J58" s="176">
        <v>0.21299999999999999</v>
      </c>
      <c r="K58" s="176">
        <v>0.115</v>
      </c>
      <c r="L58" s="174">
        <v>8.8065418549601908</v>
      </c>
      <c r="M58" s="177">
        <v>8.1667742629653493</v>
      </c>
      <c r="N58" s="167">
        <v>12.5915726609157</v>
      </c>
      <c r="O58" s="193">
        <f t="shared" si="4"/>
        <v>0.64859048848719703</v>
      </c>
      <c r="P58" s="167">
        <v>1.8188453881884501</v>
      </c>
      <c r="Q58" s="167">
        <v>1.8560053085600501</v>
      </c>
      <c r="R58" s="167">
        <v>1.2541473125414699</v>
      </c>
      <c r="S58" s="167">
        <v>3.8659588586595901</v>
      </c>
      <c r="T58" s="167">
        <v>1.1240875912408801</v>
      </c>
      <c r="U58" s="167">
        <v>0.565693430656934</v>
      </c>
      <c r="V58" s="167">
        <v>1.4538818845388199</v>
      </c>
      <c r="W58" s="167">
        <v>0.65295288652952899</v>
      </c>
      <c r="X58" s="167">
        <v>1.24811706477297E-2</v>
      </c>
      <c r="Y58" s="173">
        <f t="shared" si="5"/>
        <v>8.1792554336130792</v>
      </c>
      <c r="Z58" s="178">
        <v>74</v>
      </c>
      <c r="AA58" s="178">
        <v>52</v>
      </c>
      <c r="AB58" s="174">
        <v>548.26</v>
      </c>
      <c r="AC58" s="194"/>
      <c r="AD58" s="195">
        <v>1.5924252205724101E-2</v>
      </c>
      <c r="AE58" s="176">
        <f t="shared" si="2"/>
        <v>1.1190015063481816E-2</v>
      </c>
      <c r="AF58" s="174">
        <v>7.4089189189189204</v>
      </c>
      <c r="AG58" s="180">
        <v>0.11798149343662601</v>
      </c>
      <c r="AH58" s="181">
        <v>0.71656534954407303</v>
      </c>
      <c r="AI58" s="181">
        <v>0.45820668693009098</v>
      </c>
      <c r="AJ58" s="174">
        <v>0.78222509145685404</v>
      </c>
      <c r="AK58" s="58">
        <v>7.6178179470626203E-2</v>
      </c>
      <c r="AL58" s="58">
        <v>2.0228104153217099E-2</v>
      </c>
      <c r="AM58" s="182">
        <v>0</v>
      </c>
    </row>
    <row r="59" spans="1:39" ht="16.05" customHeight="1" outlineLevel="1">
      <c r="A59" s="186">
        <v>43400</v>
      </c>
      <c r="B59" s="185" t="s">
        <v>41</v>
      </c>
      <c r="C59" s="188">
        <v>1827</v>
      </c>
      <c r="D59" s="188">
        <v>5149</v>
      </c>
      <c r="E59" s="189">
        <v>2.8182813355227099</v>
      </c>
      <c r="F59" s="167">
        <v>0.93162517265488398</v>
      </c>
      <c r="G59" s="190">
        <v>23.34</v>
      </c>
      <c r="H59" s="190"/>
      <c r="I59" s="176">
        <v>0.40200000000000002</v>
      </c>
      <c r="J59" s="176">
        <v>0.20699999999999999</v>
      </c>
      <c r="K59" s="176">
        <v>0.111</v>
      </c>
      <c r="L59" s="174">
        <v>9.6100213633715299</v>
      </c>
      <c r="M59" s="177">
        <v>8.4262963682268399</v>
      </c>
      <c r="N59" s="167">
        <v>13.7344096232985</v>
      </c>
      <c r="O59" s="193">
        <f t="shared" si="4"/>
        <v>0.61351718780345754</v>
      </c>
      <c r="P59" s="167">
        <v>2.3089585311807501</v>
      </c>
      <c r="Q59" s="167">
        <v>2.3032605254827501</v>
      </c>
      <c r="R59" s="167">
        <v>1.4710351377018001</v>
      </c>
      <c r="S59" s="167">
        <v>3.0455840455840502</v>
      </c>
      <c r="T59" s="167">
        <v>1.3858816081038301</v>
      </c>
      <c r="U59" s="167">
        <v>0.53149730927508698</v>
      </c>
      <c r="V59" s="167">
        <v>1.9221272554605899</v>
      </c>
      <c r="W59" s="167">
        <v>0.76606521050965504</v>
      </c>
      <c r="X59" s="167">
        <v>2.2722858807535402E-2</v>
      </c>
      <c r="Y59" s="173">
        <f t="shared" si="5"/>
        <v>8.4490192270343751</v>
      </c>
      <c r="Z59" s="178">
        <v>105</v>
      </c>
      <c r="AA59" s="178">
        <v>51</v>
      </c>
      <c r="AB59" s="174">
        <v>629.95000000000005</v>
      </c>
      <c r="AC59" s="194"/>
      <c r="AD59" s="195">
        <v>2.0392309186249801E-2</v>
      </c>
      <c r="AE59" s="176">
        <f t="shared" si="2"/>
        <v>9.9048358904641684E-3</v>
      </c>
      <c r="AF59" s="174">
        <v>5.9995238095238097</v>
      </c>
      <c r="AG59" s="180">
        <v>0.122344144494077</v>
      </c>
      <c r="AH59" s="181">
        <v>0.62452107279693503</v>
      </c>
      <c r="AI59" s="181">
        <v>0.40996168582375497</v>
      </c>
      <c r="AJ59" s="174">
        <v>0.54301806175956502</v>
      </c>
      <c r="AK59" s="58">
        <v>6.0205865216546903E-2</v>
      </c>
      <c r="AL59" s="58">
        <v>1.1070110701107E-2</v>
      </c>
      <c r="AM59" s="182">
        <v>0.36744999028937703</v>
      </c>
    </row>
    <row r="60" spans="1:39" ht="16.05" customHeight="1" outlineLevel="1">
      <c r="A60" s="186">
        <v>43401</v>
      </c>
      <c r="B60" s="185" t="s">
        <v>41</v>
      </c>
      <c r="C60" s="188">
        <v>2024</v>
      </c>
      <c r="D60" s="188">
        <v>5686</v>
      </c>
      <c r="E60" s="189">
        <v>2.8092885375494099</v>
      </c>
      <c r="F60" s="167">
        <v>0.93181707087583499</v>
      </c>
      <c r="G60" s="190">
        <v>19.829999999999998</v>
      </c>
      <c r="H60" s="190"/>
      <c r="I60" s="176">
        <v>0.39800000000000002</v>
      </c>
      <c r="J60" s="176">
        <v>0.18099999999999999</v>
      </c>
      <c r="K60" s="176">
        <v>0.106</v>
      </c>
      <c r="L60" s="174">
        <v>9.4576151952163201</v>
      </c>
      <c r="M60" s="177">
        <v>8.8700316567006698</v>
      </c>
      <c r="N60" s="167">
        <v>13.7875888463641</v>
      </c>
      <c r="O60" s="193">
        <f t="shared" si="4"/>
        <v>0.64333450580373008</v>
      </c>
      <c r="P60" s="167">
        <v>2.1711317659923499</v>
      </c>
      <c r="Q60" s="167">
        <v>2.4726626571897201</v>
      </c>
      <c r="R60" s="167">
        <v>1.5606889010388201</v>
      </c>
      <c r="S60" s="167">
        <v>3.0563149261891698</v>
      </c>
      <c r="T60" s="167">
        <v>1.32285401858939</v>
      </c>
      <c r="U60" s="167">
        <v>0.555494805904866</v>
      </c>
      <c r="V60" s="167">
        <v>1.8996719518862799</v>
      </c>
      <c r="W60" s="167">
        <v>0.74876981957353705</v>
      </c>
      <c r="X60" s="167">
        <v>1.12557157931762E-2</v>
      </c>
      <c r="Y60" s="173">
        <f t="shared" si="5"/>
        <v>8.8812873724938459</v>
      </c>
      <c r="Z60" s="178">
        <v>111</v>
      </c>
      <c r="AA60" s="178">
        <v>51</v>
      </c>
      <c r="AB60" s="174">
        <v>864.89</v>
      </c>
      <c r="AC60" s="194"/>
      <c r="AD60" s="195">
        <v>1.9521632078789999E-2</v>
      </c>
      <c r="AE60" s="176">
        <f t="shared" si="2"/>
        <v>8.9693985226873014E-3</v>
      </c>
      <c r="AF60" s="174">
        <v>7.7918018018017996</v>
      </c>
      <c r="AG60" s="180">
        <v>0.15210868800562799</v>
      </c>
      <c r="AH60" s="181">
        <v>0.65316205533596805</v>
      </c>
      <c r="AI60" s="181">
        <v>0.438735177865613</v>
      </c>
      <c r="AJ60" s="174">
        <v>0.57826239887442799</v>
      </c>
      <c r="AK60" s="58">
        <v>5.3288779458318697E-2</v>
      </c>
      <c r="AL60" s="58">
        <v>8.9693985226872996E-3</v>
      </c>
      <c r="AM60" s="182">
        <v>0.34013366162504399</v>
      </c>
    </row>
    <row r="61" spans="1:39" ht="16.05" customHeight="1" outlineLevel="1">
      <c r="A61" s="184">
        <v>43402</v>
      </c>
      <c r="B61" s="185" t="s">
        <v>41</v>
      </c>
      <c r="C61" s="188">
        <v>1540</v>
      </c>
      <c r="D61" s="188">
        <v>5410</v>
      </c>
      <c r="E61" s="189">
        <v>3.51298701298701</v>
      </c>
      <c r="F61" s="167">
        <v>1.20426704805915</v>
      </c>
      <c r="G61" s="190">
        <v>28.54</v>
      </c>
      <c r="H61" s="190"/>
      <c r="I61" s="176">
        <v>0.41899999999999998</v>
      </c>
      <c r="J61" s="176">
        <v>0.2</v>
      </c>
      <c r="K61" s="176">
        <v>0.11899999999999999</v>
      </c>
      <c r="L61" s="174">
        <v>9.7323475046210692</v>
      </c>
      <c r="M61" s="177">
        <v>9.3096118299445507</v>
      </c>
      <c r="N61" s="167">
        <v>14.076299608719999</v>
      </c>
      <c r="O61" s="193">
        <f t="shared" si="4"/>
        <v>0.66136783733826066</v>
      </c>
      <c r="P61" s="167">
        <v>2.0793739519284502</v>
      </c>
      <c r="Q61" s="167">
        <v>2.6084404695360499</v>
      </c>
      <c r="R61" s="167">
        <v>1.55002794857462</v>
      </c>
      <c r="S61" s="167">
        <v>3.4267747344885402</v>
      </c>
      <c r="T61" s="167">
        <v>1.32923420905534</v>
      </c>
      <c r="U61" s="167">
        <v>0.53186137506987097</v>
      </c>
      <c r="V61" s="167">
        <v>1.8057574063722699</v>
      </c>
      <c r="W61" s="167">
        <v>0.74482951369480199</v>
      </c>
      <c r="X61" s="167">
        <v>2.01478743068392E-2</v>
      </c>
      <c r="Y61" s="173">
        <f t="shared" si="5"/>
        <v>9.3297597042513907</v>
      </c>
      <c r="Z61" s="178">
        <v>107</v>
      </c>
      <c r="AA61" s="178">
        <v>67</v>
      </c>
      <c r="AB61" s="174">
        <v>766.93</v>
      </c>
      <c r="AC61" s="194"/>
      <c r="AD61" s="195">
        <v>1.9778188539741198E-2</v>
      </c>
      <c r="AE61" s="176">
        <f t="shared" si="2"/>
        <v>1.2384473197781885E-2</v>
      </c>
      <c r="AF61" s="174">
        <v>7.1675700934579396</v>
      </c>
      <c r="AG61" s="180">
        <v>0.141761552680222</v>
      </c>
      <c r="AH61" s="181">
        <v>0.73571428571428599</v>
      </c>
      <c r="AI61" s="181">
        <v>0.54870129870129902</v>
      </c>
      <c r="AJ61" s="174">
        <v>0.67689463955637696</v>
      </c>
      <c r="AK61" s="58">
        <v>5.3974121996303102E-2</v>
      </c>
      <c r="AL61" s="58">
        <v>1.29390018484288E-2</v>
      </c>
      <c r="AM61" s="182">
        <v>0.34695009242144198</v>
      </c>
    </row>
    <row r="62" spans="1:39" ht="16.05" customHeight="1" outlineLevel="1">
      <c r="A62" s="186">
        <v>43403</v>
      </c>
      <c r="B62" s="185" t="s">
        <v>41</v>
      </c>
      <c r="C62" s="188">
        <v>1131</v>
      </c>
      <c r="D62" s="188">
        <v>5002</v>
      </c>
      <c r="E62" s="189">
        <v>4.4226348364279398</v>
      </c>
      <c r="F62" s="167">
        <v>1.1187464454218301</v>
      </c>
      <c r="G62" s="190">
        <v>26.64</v>
      </c>
      <c r="H62" s="190"/>
      <c r="I62" s="176">
        <v>0.47799999999999998</v>
      </c>
      <c r="J62" s="176">
        <v>0.24099999999999999</v>
      </c>
      <c r="K62" s="176">
        <v>0.127</v>
      </c>
      <c r="L62" s="174">
        <v>9.8150739704118308</v>
      </c>
      <c r="M62" s="177">
        <v>9.4732107157137104</v>
      </c>
      <c r="N62" s="167">
        <v>14.3373676248109</v>
      </c>
      <c r="O62" s="193">
        <f t="shared" si="4"/>
        <v>0.66073570571771223</v>
      </c>
      <c r="P62" s="167">
        <v>2.12405446293495</v>
      </c>
      <c r="Q62" s="167">
        <v>2.4726172465960699</v>
      </c>
      <c r="R62" s="167">
        <v>1.56006051437216</v>
      </c>
      <c r="S62" s="167">
        <v>3.68078668683812</v>
      </c>
      <c r="T62" s="167">
        <v>1.31830559757943</v>
      </c>
      <c r="U62" s="167">
        <v>0.58426626323751896</v>
      </c>
      <c r="V62" s="167">
        <v>1.85869894099849</v>
      </c>
      <c r="W62" s="167">
        <v>0.73857791225416003</v>
      </c>
      <c r="X62" s="167">
        <v>3.2586965213914403E-2</v>
      </c>
      <c r="Y62" s="173">
        <f t="shared" si="5"/>
        <v>9.5057976809276248</v>
      </c>
      <c r="Z62" s="178">
        <v>84</v>
      </c>
      <c r="AA62" s="178">
        <v>59</v>
      </c>
      <c r="AB62" s="174">
        <v>619.16</v>
      </c>
      <c r="AC62" s="194"/>
      <c r="AD62" s="195">
        <v>1.67932826869252E-2</v>
      </c>
      <c r="AE62" s="176">
        <f t="shared" si="2"/>
        <v>1.1795281887245102E-2</v>
      </c>
      <c r="AF62" s="174">
        <v>7.3709523809523798</v>
      </c>
      <c r="AG62" s="180">
        <v>0.12378248700519801</v>
      </c>
      <c r="AH62" s="181">
        <v>0.76392572944297099</v>
      </c>
      <c r="AI62" s="181">
        <v>0.60477453580901896</v>
      </c>
      <c r="AJ62" s="174">
        <v>0.78088764494202301</v>
      </c>
      <c r="AK62" s="58">
        <v>7.29708116753299E-2</v>
      </c>
      <c r="AL62" s="58">
        <v>1.3994402239104401E-2</v>
      </c>
      <c r="AM62" s="182">
        <v>0.29408236705317897</v>
      </c>
    </row>
    <row r="63" spans="1:39" ht="16.05" customHeight="1" outlineLevel="1">
      <c r="A63" s="186">
        <v>43404</v>
      </c>
      <c r="B63" s="187" t="s">
        <v>41</v>
      </c>
      <c r="C63" s="188">
        <v>1032</v>
      </c>
      <c r="D63" s="188">
        <v>4746</v>
      </c>
      <c r="E63" s="189">
        <v>4.5988372093023298</v>
      </c>
      <c r="F63" s="167">
        <v>0.97939978255372995</v>
      </c>
      <c r="G63" s="191">
        <v>23.92</v>
      </c>
      <c r="H63" s="191"/>
      <c r="I63" s="176">
        <v>0.45400000000000001</v>
      </c>
      <c r="J63" s="176">
        <v>0.24099999999999999</v>
      </c>
      <c r="K63" s="176">
        <v>0.109</v>
      </c>
      <c r="L63" s="174">
        <v>9.2477876106194703</v>
      </c>
      <c r="M63" s="177">
        <v>9.0946059839865097</v>
      </c>
      <c r="N63" s="167">
        <v>14.0230669265757</v>
      </c>
      <c r="O63" s="193">
        <f t="shared" si="4"/>
        <v>0.64854614412136491</v>
      </c>
      <c r="P63" s="167">
        <v>1.9314489928525</v>
      </c>
      <c r="Q63" s="167">
        <v>2.2326185834957801</v>
      </c>
      <c r="R63" s="167">
        <v>1.3580246913580201</v>
      </c>
      <c r="S63" s="167">
        <v>3.9993502274204</v>
      </c>
      <c r="T63" s="167">
        <v>1.2488628979857099</v>
      </c>
      <c r="U63" s="167">
        <v>0.57342430149447698</v>
      </c>
      <c r="V63" s="167">
        <v>1.98765432098765</v>
      </c>
      <c r="W63" s="167">
        <v>0.69168291098115697</v>
      </c>
      <c r="X63" s="167">
        <v>2.25453013063633E-2</v>
      </c>
      <c r="Y63" s="173">
        <f t="shared" si="5"/>
        <v>9.1171512852928736</v>
      </c>
      <c r="Z63" s="178">
        <v>72</v>
      </c>
      <c r="AA63" s="178">
        <v>45</v>
      </c>
      <c r="AB63" s="174">
        <v>537.28</v>
      </c>
      <c r="AC63" s="194"/>
      <c r="AD63" s="195">
        <v>1.5170670037926701E-2</v>
      </c>
      <c r="AE63" s="176">
        <f t="shared" si="2"/>
        <v>9.4816687737041723E-3</v>
      </c>
      <c r="AF63" s="174">
        <v>7.4622222222222199</v>
      </c>
      <c r="AG63" s="180">
        <v>0.113206911083017</v>
      </c>
      <c r="AH63" s="181">
        <v>0.73546511627906996</v>
      </c>
      <c r="AI63" s="181">
        <v>0.53391472868217005</v>
      </c>
      <c r="AJ63" s="174">
        <v>0.85608933839022305</v>
      </c>
      <c r="AK63" s="58">
        <v>9.1656131479140299E-2</v>
      </c>
      <c r="AL63" s="58">
        <v>1.9595448798988599E-2</v>
      </c>
      <c r="AM63" s="182">
        <v>0</v>
      </c>
    </row>
    <row r="64" spans="1:39" ht="16.05" customHeight="1">
      <c r="A64" s="186">
        <v>43405</v>
      </c>
      <c r="B64" s="187" t="s">
        <v>41</v>
      </c>
      <c r="C64" s="188">
        <v>1154</v>
      </c>
      <c r="D64" s="188">
        <v>4780</v>
      </c>
      <c r="E64" s="189">
        <v>4.1421143847486999</v>
      </c>
      <c r="F64" s="167">
        <v>0.84476155292887001</v>
      </c>
      <c r="G64" s="192">
        <v>25.6</v>
      </c>
      <c r="H64" s="192">
        <v>31.78</v>
      </c>
      <c r="I64" s="176">
        <v>0.46500000000000002</v>
      </c>
      <c r="J64" s="176">
        <v>0.22800000000000001</v>
      </c>
      <c r="K64" s="176">
        <v>0.11899999999999999</v>
      </c>
      <c r="L64" s="174">
        <v>8.4487447698744802</v>
      </c>
      <c r="M64" s="177">
        <v>7.9135983263598302</v>
      </c>
      <c r="N64" s="167">
        <v>12.1747666559382</v>
      </c>
      <c r="O64" s="193">
        <f t="shared" si="4"/>
        <v>0.65</v>
      </c>
      <c r="P64" s="167">
        <v>1.8857418731895701</v>
      </c>
      <c r="Q64" s="167">
        <v>1.86160283231413</v>
      </c>
      <c r="R64" s="167">
        <v>1.14032829095591</v>
      </c>
      <c r="S64" s="167">
        <v>3.53363373028645</v>
      </c>
      <c r="T64" s="167">
        <v>1.1615706469263001</v>
      </c>
      <c r="U64" s="167">
        <v>0.553910524621822</v>
      </c>
      <c r="V64" s="167">
        <v>1.4029610556807199</v>
      </c>
      <c r="W64" s="167">
        <v>0.63501770196330898</v>
      </c>
      <c r="X64" s="167">
        <v>1.31799163179916E-2</v>
      </c>
      <c r="Y64" s="173">
        <f t="shared" si="5"/>
        <v>7.9267782426778215</v>
      </c>
      <c r="Z64" s="178">
        <v>57</v>
      </c>
      <c r="AA64" s="178">
        <v>46</v>
      </c>
      <c r="AB64" s="174">
        <v>368.43</v>
      </c>
      <c r="AC64" s="194"/>
      <c r="AD64" s="195">
        <v>1.19246861924686E-2</v>
      </c>
      <c r="AE64" s="176">
        <f t="shared" si="2"/>
        <v>9.6234309623430964E-3</v>
      </c>
      <c r="AF64" s="174">
        <v>6.4636842105263197</v>
      </c>
      <c r="AG64" s="180">
        <v>7.7077405857740602E-2</v>
      </c>
      <c r="AH64" s="181">
        <v>0.72270363951473104</v>
      </c>
      <c r="AI64" s="181">
        <v>0.48960138648180201</v>
      </c>
      <c r="AJ64" s="174">
        <v>0.73870292887029299</v>
      </c>
      <c r="AK64" s="58">
        <v>8.1171548117154796E-2</v>
      </c>
      <c r="AL64" s="58">
        <v>1.7991631799163198E-2</v>
      </c>
      <c r="AM64" s="182">
        <v>0</v>
      </c>
    </row>
    <row r="65" spans="1:39" ht="16.05" customHeight="1" outlineLevel="1">
      <c r="A65" s="186">
        <v>43406</v>
      </c>
      <c r="B65" s="187" t="s">
        <v>41</v>
      </c>
      <c r="C65" s="188">
        <v>1563</v>
      </c>
      <c r="D65" s="188">
        <v>5239</v>
      </c>
      <c r="E65" s="189">
        <v>3.3518873960332698</v>
      </c>
      <c r="F65" s="167">
        <v>0.83115106394350102</v>
      </c>
      <c r="G65" s="192">
        <v>25.18</v>
      </c>
      <c r="H65" s="192">
        <v>30.56</v>
      </c>
      <c r="I65" s="176">
        <v>0.48299999999999998</v>
      </c>
      <c r="J65" s="176">
        <v>0.25</v>
      </c>
      <c r="K65" s="176">
        <v>0.11799999999999999</v>
      </c>
      <c r="L65" s="174">
        <v>9.1471654895972492</v>
      </c>
      <c r="M65" s="177">
        <v>8.0190876121397192</v>
      </c>
      <c r="N65" s="167">
        <v>12.403897254207299</v>
      </c>
      <c r="O65" s="193">
        <f t="shared" si="4"/>
        <v>0.64649742317235903</v>
      </c>
      <c r="P65" s="167">
        <v>1.8928255093002699</v>
      </c>
      <c r="Q65" s="167">
        <v>1.97431355181577</v>
      </c>
      <c r="R65" s="167">
        <v>1.17360496014172</v>
      </c>
      <c r="S65" s="167">
        <v>3.3723058754059601</v>
      </c>
      <c r="T65" s="167">
        <v>1.1774431650428101</v>
      </c>
      <c r="U65" s="167">
        <v>0.58488337762031295</v>
      </c>
      <c r="V65" s="167">
        <v>1.57130203720106</v>
      </c>
      <c r="W65" s="167">
        <v>0.65721877767936199</v>
      </c>
      <c r="X65" s="167">
        <v>2.0041992746707399E-2</v>
      </c>
      <c r="Y65" s="173">
        <f t="shared" si="5"/>
        <v>8.0391296048864263</v>
      </c>
      <c r="Z65" s="178">
        <v>81</v>
      </c>
      <c r="AA65" s="178">
        <v>60</v>
      </c>
      <c r="AB65" s="174">
        <v>373.19</v>
      </c>
      <c r="AC65" s="194"/>
      <c r="AD65" s="195">
        <v>1.5460965833174301E-2</v>
      </c>
      <c r="AE65" s="176">
        <f t="shared" si="2"/>
        <v>1.1452567283832793E-2</v>
      </c>
      <c r="AF65" s="174">
        <v>4.6072839506172798</v>
      </c>
      <c r="AG65" s="180">
        <v>7.1233059744226002E-2</v>
      </c>
      <c r="AH65" s="181">
        <v>0.75239923224568095</v>
      </c>
      <c r="AI65" s="181">
        <v>0.50159948816378797</v>
      </c>
      <c r="AJ65" s="174">
        <v>0.75205191830502005</v>
      </c>
      <c r="AK65" s="58">
        <v>9.0857033785073496E-2</v>
      </c>
      <c r="AL65" s="58">
        <v>1.8705859896926899E-2</v>
      </c>
      <c r="AM65" s="182">
        <v>0</v>
      </c>
    </row>
    <row r="66" spans="1:39" ht="16.05" customHeight="1" outlineLevel="1">
      <c r="A66" s="184">
        <v>43407</v>
      </c>
      <c r="B66" s="185" t="s">
        <v>41</v>
      </c>
      <c r="C66" s="188">
        <v>1640</v>
      </c>
      <c r="D66" s="188">
        <v>5516</v>
      </c>
      <c r="E66" s="189">
        <v>3.36341463414634</v>
      </c>
      <c r="F66" s="167">
        <v>0.31153172588832501</v>
      </c>
      <c r="G66" s="192">
        <v>22.09</v>
      </c>
      <c r="H66" s="192">
        <v>28.51</v>
      </c>
      <c r="I66" s="176">
        <v>0.45400000000000001</v>
      </c>
      <c r="J66" s="176">
        <v>0.24</v>
      </c>
      <c r="K66" s="176">
        <v>0.13900000000000001</v>
      </c>
      <c r="L66" s="174">
        <v>11.0960841189268</v>
      </c>
      <c r="M66" s="177">
        <v>9.7974981870920992</v>
      </c>
      <c r="N66" s="167">
        <v>14.937258153676099</v>
      </c>
      <c r="O66" s="193">
        <f t="shared" si="4"/>
        <v>0.65591007976794646</v>
      </c>
      <c r="P66" s="167">
        <v>2.4068546158098401</v>
      </c>
      <c r="Q66" s="167">
        <v>2.8349917081260401</v>
      </c>
      <c r="R66" s="167">
        <v>1.3413488114980701</v>
      </c>
      <c r="S66" s="167">
        <v>3.2797125483692602</v>
      </c>
      <c r="T66" s="167">
        <v>1.5273631840796</v>
      </c>
      <c r="U66" s="167">
        <v>0.53593145384190199</v>
      </c>
      <c r="V66" s="167">
        <v>2.2177998894416802</v>
      </c>
      <c r="W66" s="167">
        <v>0.79325594250967402</v>
      </c>
      <c r="X66" s="167">
        <v>2.8281363306743999E-2</v>
      </c>
      <c r="Y66" s="173">
        <f t="shared" si="5"/>
        <v>9.8257795503988437</v>
      </c>
      <c r="Z66" s="178">
        <v>110</v>
      </c>
      <c r="AA66" s="178">
        <v>72</v>
      </c>
      <c r="AB66" s="174">
        <v>743.9</v>
      </c>
      <c r="AC66" s="194"/>
      <c r="AD66" s="195">
        <v>1.99419869470631E-2</v>
      </c>
      <c r="AE66" s="176">
        <f t="shared" si="2"/>
        <v>1.3052936910804931E-2</v>
      </c>
      <c r="AF66" s="174">
        <v>6.76272727272727</v>
      </c>
      <c r="AG66" s="180">
        <v>0.134862218999275</v>
      </c>
      <c r="AH66" s="181">
        <v>0.74695121951219501</v>
      </c>
      <c r="AI66" s="181">
        <v>0.50731707317073205</v>
      </c>
      <c r="AJ66" s="174">
        <v>0.60043509789702698</v>
      </c>
      <c r="AK66" s="58">
        <v>8.5750543872371299E-2</v>
      </c>
      <c r="AL66" s="58">
        <v>1.1965192168237901E-2</v>
      </c>
      <c r="AM66" s="182">
        <v>0.42077592458303098</v>
      </c>
    </row>
    <row r="67" spans="1:39" ht="16.05" customHeight="1" outlineLevel="1">
      <c r="A67" s="186">
        <v>43408</v>
      </c>
      <c r="B67" s="185" t="s">
        <v>41</v>
      </c>
      <c r="C67" s="188">
        <v>2083</v>
      </c>
      <c r="D67" s="188">
        <v>6205</v>
      </c>
      <c r="E67" s="189">
        <v>2.97887662025924</v>
      </c>
      <c r="F67" s="167">
        <v>1.0657103284448</v>
      </c>
      <c r="G67" s="192">
        <v>22.88</v>
      </c>
      <c r="H67" s="192">
        <v>29.34</v>
      </c>
      <c r="I67" s="176">
        <v>0.45800000000000002</v>
      </c>
      <c r="J67" s="176">
        <v>0.21199999999999999</v>
      </c>
      <c r="K67" s="176">
        <v>0.128</v>
      </c>
      <c r="L67" s="174">
        <v>10.6206285253828</v>
      </c>
      <c r="M67" s="177">
        <v>9.9423045930701104</v>
      </c>
      <c r="N67" s="167">
        <v>14.883474065138699</v>
      </c>
      <c r="O67" s="193">
        <f t="shared" si="4"/>
        <v>0.6680096696212745</v>
      </c>
      <c r="P67" s="167">
        <v>2.3006031363088102</v>
      </c>
      <c r="Q67" s="167">
        <v>2.62557297949337</v>
      </c>
      <c r="R67" s="167">
        <v>1.5995174909529599</v>
      </c>
      <c r="S67" s="167">
        <v>3.1768395657418602</v>
      </c>
      <c r="T67" s="167">
        <v>1.4024125452352201</v>
      </c>
      <c r="U67" s="167">
        <v>0.56091676718938499</v>
      </c>
      <c r="V67" s="167">
        <v>2.4400482509047001</v>
      </c>
      <c r="W67" s="167">
        <v>0.777563329312425</v>
      </c>
      <c r="X67" s="167">
        <v>1.9339242546333599E-2</v>
      </c>
      <c r="Y67" s="173">
        <f t="shared" si="5"/>
        <v>9.9616438356164441</v>
      </c>
      <c r="Z67" s="206">
        <v>132</v>
      </c>
      <c r="AA67" s="178">
        <v>93</v>
      </c>
      <c r="AB67" s="166">
        <v>894.68</v>
      </c>
      <c r="AC67" s="194"/>
      <c r="AD67" s="195">
        <v>2.1273166800967001E-2</v>
      </c>
      <c r="AE67" s="176">
        <f t="shared" ref="AE67:AE97" si="11">AA67/D67</f>
        <v>1.4987912973408542E-2</v>
      </c>
      <c r="AF67" s="174">
        <v>6.7778787878787901</v>
      </c>
      <c r="AG67" s="180">
        <v>0.14418694601128099</v>
      </c>
      <c r="AH67" s="181">
        <v>0.72683629380700898</v>
      </c>
      <c r="AI67" s="181">
        <v>0.46567450792126702</v>
      </c>
      <c r="AJ67" s="174">
        <v>0.63513295729250596</v>
      </c>
      <c r="AK67" s="58">
        <v>8.3158742949234504E-2</v>
      </c>
      <c r="AL67" s="58">
        <v>1.2087026591458499E-2</v>
      </c>
      <c r="AM67" s="182">
        <v>0.39210314262691398</v>
      </c>
    </row>
    <row r="68" spans="1:39" ht="16.05" customHeight="1" outlineLevel="1">
      <c r="A68" s="186">
        <v>43409</v>
      </c>
      <c r="B68" s="185" t="s">
        <v>41</v>
      </c>
      <c r="C68" s="188">
        <v>2262</v>
      </c>
      <c r="D68" s="188">
        <v>6915</v>
      </c>
      <c r="E68" s="189">
        <v>3.0570291777188299</v>
      </c>
      <c r="F68" s="167">
        <v>0.91071688199566203</v>
      </c>
      <c r="G68" s="192">
        <v>21.54</v>
      </c>
      <c r="H68" s="192">
        <v>27.25</v>
      </c>
      <c r="I68" s="176">
        <v>0.47499999999999998</v>
      </c>
      <c r="J68" s="176">
        <v>0.253</v>
      </c>
      <c r="K68" s="176">
        <v>0.13800000000000001</v>
      </c>
      <c r="L68" s="174">
        <v>10.7175704989154</v>
      </c>
      <c r="M68" s="177">
        <v>9.6886478669558898</v>
      </c>
      <c r="N68" s="167">
        <v>14.435897435897401</v>
      </c>
      <c r="O68" s="193">
        <f t="shared" ref="O68:O131" si="12">M68/N68</f>
        <v>0.67114967462039188</v>
      </c>
      <c r="P68" s="167">
        <v>2.2512389571213101</v>
      </c>
      <c r="Q68" s="167">
        <v>2.5516052574876098</v>
      </c>
      <c r="R68" s="167">
        <v>1.58220211161388</v>
      </c>
      <c r="S68" s="167">
        <v>3.29562594268477</v>
      </c>
      <c r="T68" s="167">
        <v>1.3992673992674001</v>
      </c>
      <c r="U68" s="167">
        <v>0.56862745098039202</v>
      </c>
      <c r="V68" s="167">
        <v>2.02607196724844</v>
      </c>
      <c r="W68" s="167">
        <v>0.76125834949364402</v>
      </c>
      <c r="X68" s="167">
        <v>1.2436731742588599E-2</v>
      </c>
      <c r="Y68" s="173">
        <f t="shared" ref="Y68:Y102" si="13">X68+M68</f>
        <v>9.7010845986984791</v>
      </c>
      <c r="Z68" s="206">
        <v>100</v>
      </c>
      <c r="AA68" s="178">
        <v>72</v>
      </c>
      <c r="AB68" s="166">
        <v>679</v>
      </c>
      <c r="AC68" s="194"/>
      <c r="AD68" s="195">
        <v>1.44613159797542E-2</v>
      </c>
      <c r="AE68" s="176">
        <f t="shared" si="11"/>
        <v>1.0412147505422993E-2</v>
      </c>
      <c r="AF68" s="174">
        <v>6.79</v>
      </c>
      <c r="AG68" s="180">
        <v>9.8192335502530703E-2</v>
      </c>
      <c r="AH68" s="181">
        <v>0.79664014146772799</v>
      </c>
      <c r="AI68" s="181">
        <v>0.51503094606542899</v>
      </c>
      <c r="AJ68" s="174">
        <v>0.64902386117136701</v>
      </c>
      <c r="AK68" s="58">
        <v>8.1851048445408497E-2</v>
      </c>
      <c r="AL68" s="58">
        <v>1.2581344902386099E-2</v>
      </c>
      <c r="AM68" s="182">
        <v>0.36847433116413603</v>
      </c>
    </row>
    <row r="69" spans="1:39" ht="16.05" customHeight="1" outlineLevel="1">
      <c r="A69" s="186">
        <v>43410</v>
      </c>
      <c r="B69" s="185" t="s">
        <v>41</v>
      </c>
      <c r="C69" s="188">
        <v>1687</v>
      </c>
      <c r="D69" s="188">
        <v>6527</v>
      </c>
      <c r="E69" s="189">
        <v>3.8689982216953198</v>
      </c>
      <c r="F69" s="167">
        <v>0.94776366048720695</v>
      </c>
      <c r="G69" s="192">
        <v>21.65</v>
      </c>
      <c r="H69" s="192">
        <v>26.25</v>
      </c>
      <c r="I69" s="176">
        <v>0.42</v>
      </c>
      <c r="J69" s="176">
        <v>0.20799999999999999</v>
      </c>
      <c r="K69" s="176">
        <v>0.11</v>
      </c>
      <c r="L69" s="174">
        <v>10.392370154741799</v>
      </c>
      <c r="M69" s="177">
        <v>9.6151371227210092</v>
      </c>
      <c r="N69" s="167">
        <v>14.453707968678</v>
      </c>
      <c r="O69" s="193">
        <f t="shared" si="12"/>
        <v>0.66523670905469745</v>
      </c>
      <c r="P69" s="167">
        <v>2.1275909719023498</v>
      </c>
      <c r="Q69" s="167">
        <v>2.4788116075541198</v>
      </c>
      <c r="R69" s="167">
        <v>1.6089359742054401</v>
      </c>
      <c r="S69" s="167">
        <v>3.59972362966375</v>
      </c>
      <c r="T69" s="167">
        <v>1.3645785352372199</v>
      </c>
      <c r="U69" s="167">
        <v>0.57485029940119803</v>
      </c>
      <c r="V69" s="167">
        <v>1.9405803777061299</v>
      </c>
      <c r="W69" s="167">
        <v>0.75863657300783005</v>
      </c>
      <c r="X69" s="167">
        <v>1.05714723456412E-2</v>
      </c>
      <c r="Y69" s="173">
        <f t="shared" si="13"/>
        <v>9.6257085950666497</v>
      </c>
      <c r="Z69" s="206">
        <v>114</v>
      </c>
      <c r="AA69" s="178">
        <v>81</v>
      </c>
      <c r="AB69" s="166">
        <v>832.86</v>
      </c>
      <c r="AC69" s="194"/>
      <c r="AD69" s="195">
        <v>1.7465910831928898E-2</v>
      </c>
      <c r="AE69" s="176">
        <f t="shared" si="11"/>
        <v>1.2409989275317911E-2</v>
      </c>
      <c r="AF69" s="174">
        <v>7.3057894736842099</v>
      </c>
      <c r="AG69" s="180">
        <v>0.127602267504213</v>
      </c>
      <c r="AH69" s="181">
        <v>0.76585655008891496</v>
      </c>
      <c r="AI69" s="181">
        <v>0.56490812092471798</v>
      </c>
      <c r="AJ69" s="174">
        <v>0.73969664470660301</v>
      </c>
      <c r="AK69" s="58">
        <v>9.6215719319748705E-2</v>
      </c>
      <c r="AL69" s="58">
        <v>1.63934426229508E-2</v>
      </c>
      <c r="AM69" s="182">
        <v>0.30412134211735897</v>
      </c>
    </row>
    <row r="70" spans="1:39" ht="16.05" customHeight="1" outlineLevel="1">
      <c r="A70" s="186">
        <v>43411</v>
      </c>
      <c r="B70" s="187" t="s">
        <v>41</v>
      </c>
      <c r="C70" s="188">
        <v>1320</v>
      </c>
      <c r="D70" s="188">
        <v>5927</v>
      </c>
      <c r="E70" s="189">
        <v>4.4901515151515197</v>
      </c>
      <c r="F70" s="167">
        <v>0.93782086991732705</v>
      </c>
      <c r="G70" s="192">
        <v>21.1</v>
      </c>
      <c r="H70" s="192">
        <v>27.64</v>
      </c>
      <c r="I70" s="176">
        <v>0.5</v>
      </c>
      <c r="J70" s="176">
        <v>0.26800000000000002</v>
      </c>
      <c r="K70" s="176">
        <v>0.14199999999999999</v>
      </c>
      <c r="L70" s="174">
        <v>9.8662055002530806</v>
      </c>
      <c r="M70" s="177">
        <v>9.2640458916821302</v>
      </c>
      <c r="N70" s="167">
        <v>13.851664984863801</v>
      </c>
      <c r="O70" s="193">
        <f t="shared" si="12"/>
        <v>0.66880377931499768</v>
      </c>
      <c r="P70" s="167">
        <v>2.0300201816347099</v>
      </c>
      <c r="Q70" s="167">
        <v>2.1379919273461101</v>
      </c>
      <c r="R70" s="167">
        <v>1.4308779011099899</v>
      </c>
      <c r="S70" s="167">
        <v>3.9495459132189699</v>
      </c>
      <c r="T70" s="167">
        <v>1.2671543895055499</v>
      </c>
      <c r="U70" s="167">
        <v>0.58879919273461201</v>
      </c>
      <c r="V70" s="167">
        <v>1.74066599394551</v>
      </c>
      <c r="W70" s="167">
        <v>0.70660948536831503</v>
      </c>
      <c r="X70" s="167">
        <v>1.36662729880209E-2</v>
      </c>
      <c r="Y70" s="173">
        <f t="shared" si="13"/>
        <v>9.2777121646701506</v>
      </c>
      <c r="Z70" s="206">
        <v>96</v>
      </c>
      <c r="AA70" s="178">
        <v>72</v>
      </c>
      <c r="AB70" s="166">
        <v>748.04</v>
      </c>
      <c r="AC70" s="194"/>
      <c r="AD70" s="195">
        <v>1.61970642820989E-2</v>
      </c>
      <c r="AE70" s="176">
        <f t="shared" si="11"/>
        <v>1.2147798211574152E-2</v>
      </c>
      <c r="AF70" s="174">
        <v>7.7920833333333297</v>
      </c>
      <c r="AG70" s="180">
        <v>0.12620887464147101</v>
      </c>
      <c r="AH70" s="181">
        <v>0.76590909090909098</v>
      </c>
      <c r="AI70" s="181">
        <v>0.59393939393939399</v>
      </c>
      <c r="AJ70" s="174">
        <v>0.88408975873122997</v>
      </c>
      <c r="AK70" s="58">
        <v>0.115741521849165</v>
      </c>
      <c r="AL70" s="58">
        <v>2.4464315842753499E-2</v>
      </c>
      <c r="AM70" s="182">
        <v>0</v>
      </c>
    </row>
    <row r="71" spans="1:39" ht="16.05" customHeight="1" outlineLevel="1">
      <c r="A71" s="186">
        <v>43412</v>
      </c>
      <c r="B71" s="187" t="s">
        <v>41</v>
      </c>
      <c r="C71" s="188">
        <v>2357</v>
      </c>
      <c r="D71" s="188">
        <v>7057</v>
      </c>
      <c r="E71" s="189">
        <v>2.9940602460755201</v>
      </c>
      <c r="F71" s="167">
        <v>2.0876858553209598</v>
      </c>
      <c r="G71" s="192">
        <v>20.100000000000001</v>
      </c>
      <c r="H71" s="192">
        <v>28.36</v>
      </c>
      <c r="I71" s="176">
        <v>0.45500000000000002</v>
      </c>
      <c r="J71" s="176">
        <v>0.2</v>
      </c>
      <c r="K71" s="176">
        <v>9.5000000000000001E-2</v>
      </c>
      <c r="L71" s="174">
        <v>9.0127532946011009</v>
      </c>
      <c r="M71" s="177">
        <v>7.9740683009777502</v>
      </c>
      <c r="N71" s="167">
        <v>12.656995051731901</v>
      </c>
      <c r="O71" s="193">
        <f t="shared" si="12"/>
        <v>0.6300127532946006</v>
      </c>
      <c r="P71" s="167">
        <v>1.95096716149348</v>
      </c>
      <c r="Q71" s="167">
        <v>1.97031039136302</v>
      </c>
      <c r="R71" s="167">
        <v>1.2759784075573599</v>
      </c>
      <c r="S71" s="167">
        <v>3.53351327035538</v>
      </c>
      <c r="T71" s="167">
        <v>1.20152946468736</v>
      </c>
      <c r="U71" s="167">
        <v>0.56095366621682397</v>
      </c>
      <c r="V71" s="167">
        <v>1.5249662618083699</v>
      </c>
      <c r="W71" s="167">
        <v>0.63877642825011205</v>
      </c>
      <c r="X71" s="167">
        <v>1.0627745500921101E-2</v>
      </c>
      <c r="Y71" s="173">
        <f t="shared" si="13"/>
        <v>7.9846960464786711</v>
      </c>
      <c r="Z71" s="206">
        <v>97</v>
      </c>
      <c r="AA71" s="178">
        <v>70</v>
      </c>
      <c r="AB71" s="166">
        <v>536.03</v>
      </c>
      <c r="AC71" s="194"/>
      <c r="AD71" s="195">
        <f>Z71/D71</f>
        <v>1.3745217514524585E-2</v>
      </c>
      <c r="AE71" s="176">
        <f t="shared" si="11"/>
        <v>9.9192291341930004E-3</v>
      </c>
      <c r="AF71" s="174">
        <f>AB71/Z71</f>
        <v>5.5260824742268042</v>
      </c>
      <c r="AG71" s="180">
        <f>AD71*AF71</f>
        <v>7.5957205611449627E-2</v>
      </c>
      <c r="AH71" s="181">
        <v>0.619855748833263</v>
      </c>
      <c r="AI71" s="181">
        <v>0.37802291047942299</v>
      </c>
      <c r="AJ71" s="174">
        <v>0.76236361059940505</v>
      </c>
      <c r="AK71" s="58">
        <v>9.9617401161966795E-2</v>
      </c>
      <c r="AL71" s="58">
        <v>1.9696754995040401E-2</v>
      </c>
      <c r="AM71" s="182">
        <v>0</v>
      </c>
    </row>
    <row r="72" spans="1:39" ht="16.05" customHeight="1" outlineLevel="1">
      <c r="A72" s="184">
        <v>43413</v>
      </c>
      <c r="B72" s="187" t="s">
        <v>41</v>
      </c>
      <c r="C72" s="188">
        <v>5833</v>
      </c>
      <c r="D72" s="188">
        <v>10854</v>
      </c>
      <c r="E72" s="189">
        <v>1.86079204525973</v>
      </c>
      <c r="F72" s="167">
        <v>0.51348051686014395</v>
      </c>
      <c r="G72" s="192">
        <v>20.55</v>
      </c>
      <c r="H72" s="192">
        <v>29.68</v>
      </c>
      <c r="I72" s="176">
        <v>0.36499999999999999</v>
      </c>
      <c r="J72" s="176">
        <v>0.17199999999999999</v>
      </c>
      <c r="K72" s="176">
        <v>8.1000000000000003E-2</v>
      </c>
      <c r="L72" s="174">
        <v>8.5983047724341297</v>
      </c>
      <c r="M72" s="177">
        <v>6.1881334070388796</v>
      </c>
      <c r="N72" s="167">
        <v>10.8947283049473</v>
      </c>
      <c r="O72" s="193">
        <f t="shared" si="12"/>
        <v>0.56799336650082832</v>
      </c>
      <c r="P72" s="167">
        <v>1.8592051905920499</v>
      </c>
      <c r="Q72" s="167">
        <v>1.7211678832116799</v>
      </c>
      <c r="R72" s="167">
        <v>1.03811841038118</v>
      </c>
      <c r="S72" s="167">
        <v>2.6676399026764002</v>
      </c>
      <c r="T72" s="167">
        <v>1.0311435523114401</v>
      </c>
      <c r="U72" s="167">
        <v>0.60957015409570203</v>
      </c>
      <c r="V72" s="167">
        <v>1.3498783454987799</v>
      </c>
      <c r="W72" s="167">
        <v>0.61800486618004902</v>
      </c>
      <c r="X72" s="167">
        <v>9.1210613598673301E-3</v>
      </c>
      <c r="Y72" s="173">
        <f t="shared" si="13"/>
        <v>6.1972544683987465</v>
      </c>
      <c r="Z72" s="206">
        <v>92</v>
      </c>
      <c r="AA72" s="178">
        <v>79</v>
      </c>
      <c r="AB72" s="166">
        <v>460.08</v>
      </c>
      <c r="AC72" s="194"/>
      <c r="AD72" s="195">
        <v>8.4761378293716598E-3</v>
      </c>
      <c r="AE72" s="176">
        <f t="shared" si="11"/>
        <v>7.2784227013082733E-3</v>
      </c>
      <c r="AF72" s="174">
        <v>5.00086956521739</v>
      </c>
      <c r="AG72" s="180">
        <v>4.2388059701492502E-2</v>
      </c>
      <c r="AH72" s="181">
        <v>0.556317503857363</v>
      </c>
      <c r="AI72" s="181">
        <v>0.29093091033773399</v>
      </c>
      <c r="AJ72" s="174">
        <v>0.56366316565321495</v>
      </c>
      <c r="AK72" s="58">
        <v>6.6611387506909897E-2</v>
      </c>
      <c r="AL72" s="58">
        <v>1.24378109452736E-2</v>
      </c>
      <c r="AM72" s="182">
        <v>0</v>
      </c>
    </row>
    <row r="73" spans="1:39" ht="16.05" customHeight="1" outlineLevel="1">
      <c r="A73" s="186">
        <v>43414</v>
      </c>
      <c r="B73" s="185" t="s">
        <v>41</v>
      </c>
      <c r="C73" s="188">
        <v>5879</v>
      </c>
      <c r="D73" s="188">
        <v>12233</v>
      </c>
      <c r="E73" s="189">
        <v>2.0807960537506398</v>
      </c>
      <c r="F73" s="167">
        <v>0.59893543014796002</v>
      </c>
      <c r="G73" s="192">
        <v>19.03</v>
      </c>
      <c r="H73" s="192">
        <v>27.6</v>
      </c>
      <c r="I73" s="176">
        <v>0.34300000000000003</v>
      </c>
      <c r="J73" s="176">
        <v>0.16300000000000001</v>
      </c>
      <c r="K73" s="176">
        <v>8.2000000000000003E-2</v>
      </c>
      <c r="L73" s="174">
        <v>9.3922995176980297</v>
      </c>
      <c r="M73" s="177">
        <v>7.1486144036622203</v>
      </c>
      <c r="N73" s="167">
        <v>12.275266704098801</v>
      </c>
      <c r="O73" s="193">
        <f t="shared" si="12"/>
        <v>0.58235919234856592</v>
      </c>
      <c r="P73" s="167">
        <v>2.0623245367770902</v>
      </c>
      <c r="Q73" s="167">
        <v>1.93472768107805</v>
      </c>
      <c r="R73" s="167">
        <v>1.7777933745087</v>
      </c>
      <c r="S73" s="167">
        <v>2.4685569904547999</v>
      </c>
      <c r="T73" s="167">
        <v>1.1854295339696801</v>
      </c>
      <c r="U73" s="167">
        <v>0.55670971364402</v>
      </c>
      <c r="V73" s="167">
        <v>1.63475575519371</v>
      </c>
      <c r="W73" s="167">
        <v>0.65496911847276795</v>
      </c>
      <c r="X73" s="167">
        <v>8.0928635657647307E-3</v>
      </c>
      <c r="Y73" s="173">
        <f t="shared" si="13"/>
        <v>7.1567072672279854</v>
      </c>
      <c r="Z73" s="206">
        <v>110</v>
      </c>
      <c r="AA73" s="178">
        <v>85</v>
      </c>
      <c r="AB73" s="166">
        <v>796.9</v>
      </c>
      <c r="AC73" s="194"/>
      <c r="AD73" s="195">
        <v>8.9920706286274795E-3</v>
      </c>
      <c r="AE73" s="176">
        <f t="shared" si="11"/>
        <v>6.9484182130303282E-3</v>
      </c>
      <c r="AF73" s="174">
        <v>7.2445454545454604</v>
      </c>
      <c r="AG73" s="180">
        <v>6.5143464399574899E-2</v>
      </c>
      <c r="AH73" s="181">
        <v>0.57441741792821899</v>
      </c>
      <c r="AI73" s="181">
        <v>0.35073992175540097</v>
      </c>
      <c r="AJ73" s="174">
        <v>0.42794081582604399</v>
      </c>
      <c r="AK73" s="58">
        <v>6.0819095888171297E-2</v>
      </c>
      <c r="AL73" s="58">
        <v>8.8285784353797098E-3</v>
      </c>
      <c r="AM73" s="182">
        <v>0.344314558979809</v>
      </c>
    </row>
    <row r="74" spans="1:39" ht="16.05" customHeight="1" outlineLevel="1">
      <c r="A74" s="186">
        <v>43415</v>
      </c>
      <c r="B74" s="185" t="s">
        <v>41</v>
      </c>
      <c r="C74" s="188">
        <v>5386</v>
      </c>
      <c r="D74" s="188">
        <v>12470</v>
      </c>
      <c r="E74" s="189">
        <v>2.3152617898254699</v>
      </c>
      <c r="F74" s="167">
        <v>0.56335131748195699</v>
      </c>
      <c r="G74" s="192">
        <v>18.93</v>
      </c>
      <c r="H74" s="192">
        <v>27.4</v>
      </c>
      <c r="I74" s="176">
        <v>0.34599999999999997</v>
      </c>
      <c r="J74" s="176">
        <v>0.16500000000000001</v>
      </c>
      <c r="K74" s="176">
        <v>8.5000000000000006E-2</v>
      </c>
      <c r="L74" s="174">
        <v>9.3017642341619897</v>
      </c>
      <c r="M74" s="177">
        <v>7.5620689655172404</v>
      </c>
      <c r="N74" s="167">
        <v>12.4192018964836</v>
      </c>
      <c r="O74" s="193">
        <f t="shared" si="12"/>
        <v>0.60890136327185251</v>
      </c>
      <c r="P74" s="167">
        <v>2.0450414855788202</v>
      </c>
      <c r="Q74" s="167">
        <v>2.0298959568023198</v>
      </c>
      <c r="R74" s="167">
        <v>1.6898459107072299</v>
      </c>
      <c r="S74" s="167">
        <v>2.5611747662320599</v>
      </c>
      <c r="T74" s="167">
        <v>1.1914921638351099</v>
      </c>
      <c r="U74" s="167">
        <v>0.57434479125510296</v>
      </c>
      <c r="V74" s="167">
        <v>1.64743843013302</v>
      </c>
      <c r="W74" s="167">
        <v>0.67996839193994496</v>
      </c>
      <c r="X74" s="167">
        <v>9.7834803528468305E-3</v>
      </c>
      <c r="Y74" s="173">
        <f t="shared" si="13"/>
        <v>7.5718524458700873</v>
      </c>
      <c r="Z74" s="206">
        <v>91</v>
      </c>
      <c r="AA74" s="178">
        <v>76</v>
      </c>
      <c r="AB74" s="166">
        <v>499.09</v>
      </c>
      <c r="AC74" s="194"/>
      <c r="AD74" s="195">
        <v>7.2975140336808304E-3</v>
      </c>
      <c r="AE74" s="176">
        <f t="shared" si="11"/>
        <v>6.094627105052125E-3</v>
      </c>
      <c r="AF74" s="174">
        <v>5.4845054945054903</v>
      </c>
      <c r="AG74" s="180">
        <v>4.0023255813953502E-2</v>
      </c>
      <c r="AH74" s="181">
        <v>0.63813590790939501</v>
      </c>
      <c r="AI74" s="181">
        <v>0.38321574452283702</v>
      </c>
      <c r="AJ74" s="174">
        <v>0.49246190858059302</v>
      </c>
      <c r="AK74" s="58">
        <v>6.40737770649559E-2</v>
      </c>
      <c r="AL74" s="58">
        <v>9.1419406575781893E-3</v>
      </c>
      <c r="AM74" s="182">
        <v>0.33344025661587801</v>
      </c>
    </row>
    <row r="75" spans="1:39" ht="16.05" customHeight="1" outlineLevel="1">
      <c r="A75" s="186">
        <v>43416</v>
      </c>
      <c r="B75" s="185" t="s">
        <v>41</v>
      </c>
      <c r="C75" s="188">
        <v>4353</v>
      </c>
      <c r="D75" s="188">
        <v>11952</v>
      </c>
      <c r="E75" s="189">
        <v>2.7456926257753298</v>
      </c>
      <c r="F75" s="167">
        <v>0.64863055020080296</v>
      </c>
      <c r="G75" s="192">
        <v>19.190000000000001</v>
      </c>
      <c r="H75" s="192">
        <v>28.37</v>
      </c>
      <c r="I75" s="176">
        <v>0.40200000000000002</v>
      </c>
      <c r="J75" s="176">
        <v>0.19400000000000001</v>
      </c>
      <c r="K75" s="202">
        <v>0.10299999999999999</v>
      </c>
      <c r="L75" s="174">
        <v>9.4553212851405597</v>
      </c>
      <c r="M75" s="177">
        <v>7.6127844712182098</v>
      </c>
      <c r="N75" s="167">
        <v>12.081795246315201</v>
      </c>
      <c r="O75" s="193">
        <f t="shared" si="12"/>
        <v>0.63010374832664173</v>
      </c>
      <c r="P75" s="167">
        <v>1.9697251361040999</v>
      </c>
      <c r="Q75" s="167">
        <v>2.0154030009294899</v>
      </c>
      <c r="R75" s="167">
        <v>1.4932943832160399</v>
      </c>
      <c r="S75" s="167">
        <v>2.6592749966803901</v>
      </c>
      <c r="T75" s="167">
        <v>1.1406187757269901</v>
      </c>
      <c r="U75" s="167">
        <v>0.557429292258664</v>
      </c>
      <c r="V75" s="167">
        <v>1.5689815429557801</v>
      </c>
      <c r="W75" s="167">
        <v>0.67706811844376602</v>
      </c>
      <c r="X75" s="167">
        <v>1.1295180722891599E-2</v>
      </c>
      <c r="Y75" s="173">
        <f t="shared" si="13"/>
        <v>7.6240796519411012</v>
      </c>
      <c r="Z75" s="206">
        <v>135</v>
      </c>
      <c r="AA75" s="178">
        <v>87</v>
      </c>
      <c r="AB75" s="166">
        <v>939.65</v>
      </c>
      <c r="AC75" s="194"/>
      <c r="AD75" s="195">
        <v>1.1295180722891599E-2</v>
      </c>
      <c r="AE75" s="176">
        <f t="shared" si="11"/>
        <v>7.2791164658634541E-3</v>
      </c>
      <c r="AF75" s="174">
        <v>6.9603703703703701</v>
      </c>
      <c r="AG75" s="180">
        <v>7.8618641231592998E-2</v>
      </c>
      <c r="AH75" s="181">
        <v>0.67149092579830005</v>
      </c>
      <c r="AI75" s="181">
        <v>0.45164254537100901</v>
      </c>
      <c r="AJ75" s="174">
        <v>0.53196117804551502</v>
      </c>
      <c r="AK75" s="58">
        <v>7.0950468540829995E-2</v>
      </c>
      <c r="AL75" s="58">
        <v>1.02074966532798E-2</v>
      </c>
      <c r="AM75" s="182">
        <v>0.33559236947791199</v>
      </c>
    </row>
    <row r="76" spans="1:39" ht="16.05" customHeight="1" outlineLevel="1">
      <c r="A76" s="186">
        <v>43417</v>
      </c>
      <c r="B76" s="185" t="s">
        <v>41</v>
      </c>
      <c r="C76" s="188">
        <v>3454</v>
      </c>
      <c r="D76" s="188">
        <v>11282</v>
      </c>
      <c r="E76" s="189">
        <v>3.2663578459756799</v>
      </c>
      <c r="F76" s="167">
        <v>0.64411167878035802</v>
      </c>
      <c r="G76" s="192">
        <v>20.34</v>
      </c>
      <c r="H76" s="192">
        <v>27.62</v>
      </c>
      <c r="I76" s="176">
        <v>0.41899999999999998</v>
      </c>
      <c r="J76" s="176">
        <v>0.19800000000000001</v>
      </c>
      <c r="K76" s="176">
        <v>0.10100000000000001</v>
      </c>
      <c r="L76" s="174">
        <v>9.2345328842403802</v>
      </c>
      <c r="M76" s="177">
        <v>7.7149441588370902</v>
      </c>
      <c r="N76" s="167">
        <v>12.223002387305201</v>
      </c>
      <c r="O76" s="193">
        <f t="shared" si="12"/>
        <v>0.63118241446551826</v>
      </c>
      <c r="P76" s="167">
        <v>1.9309085802555801</v>
      </c>
      <c r="Q76" s="167">
        <v>1.95885409352619</v>
      </c>
      <c r="R76" s="167">
        <v>1.42395730936666</v>
      </c>
      <c r="S76" s="167">
        <v>2.9477601460469001</v>
      </c>
      <c r="T76" s="167">
        <v>1.1502597949726201</v>
      </c>
      <c r="U76" s="167">
        <v>0.58039601179609601</v>
      </c>
      <c r="V76" s="167">
        <v>1.5775874174975399</v>
      </c>
      <c r="W76" s="167">
        <v>0.65327903384356101</v>
      </c>
      <c r="X76" s="167">
        <v>1.3738698812267299E-2</v>
      </c>
      <c r="Y76" s="173">
        <f t="shared" si="13"/>
        <v>7.7286828576493578</v>
      </c>
      <c r="Z76" s="206">
        <v>106</v>
      </c>
      <c r="AA76" s="178">
        <v>86</v>
      </c>
      <c r="AB76" s="166">
        <v>617.94000000000005</v>
      </c>
      <c r="AC76" s="194"/>
      <c r="AD76" s="195">
        <v>9.3954972522602397E-3</v>
      </c>
      <c r="AE76" s="176">
        <f t="shared" si="11"/>
        <v>7.6227619216450984E-3</v>
      </c>
      <c r="AF76" s="174">
        <v>5.8296226415094301</v>
      </c>
      <c r="AG76" s="180">
        <v>5.4772203510016E-2</v>
      </c>
      <c r="AH76" s="181">
        <v>0.69947886508396095</v>
      </c>
      <c r="AI76" s="181">
        <v>0.53300521134916001</v>
      </c>
      <c r="AJ76" s="174">
        <v>0.606186846303847</v>
      </c>
      <c r="AK76" s="58">
        <v>7.8798085445842894E-2</v>
      </c>
      <c r="AL76" s="58">
        <v>1.4359156177982601E-2</v>
      </c>
      <c r="AM76" s="182">
        <v>0.277344442474738</v>
      </c>
    </row>
    <row r="77" spans="1:39" ht="16.05" customHeight="1" outlineLevel="1">
      <c r="A77" s="186">
        <v>43418</v>
      </c>
      <c r="B77" s="187" t="s">
        <v>41</v>
      </c>
      <c r="C77" s="188">
        <v>2855</v>
      </c>
      <c r="D77" s="188">
        <v>10476</v>
      </c>
      <c r="E77" s="189">
        <v>3.66935201401051</v>
      </c>
      <c r="F77" s="167">
        <v>0.58777480326460496</v>
      </c>
      <c r="G77" s="192">
        <v>19.559999999999999</v>
      </c>
      <c r="H77" s="192">
        <v>28.07</v>
      </c>
      <c r="I77" s="176">
        <v>0.40699999999999997</v>
      </c>
      <c r="J77" s="176">
        <v>0.20300000000000001</v>
      </c>
      <c r="K77" s="176">
        <v>0.111</v>
      </c>
      <c r="L77" s="174">
        <v>8.5668193967162996</v>
      </c>
      <c r="M77" s="177">
        <v>7.2893279877815997</v>
      </c>
      <c r="N77" s="167">
        <v>11.7953351869015</v>
      </c>
      <c r="O77" s="193">
        <f t="shared" si="12"/>
        <v>0.61798396334478589</v>
      </c>
      <c r="P77" s="167">
        <v>1.8041396354649399</v>
      </c>
      <c r="Q77" s="167">
        <v>1.91643497065184</v>
      </c>
      <c r="R77" s="167">
        <v>1.1762434352795801</v>
      </c>
      <c r="S77" s="167">
        <v>3.1178560395427901</v>
      </c>
      <c r="T77" s="167">
        <v>1.06811862835959</v>
      </c>
      <c r="U77" s="167">
        <v>0.60874266295952995</v>
      </c>
      <c r="V77" s="167">
        <v>1.4806919987642899</v>
      </c>
      <c r="W77" s="167">
        <v>0.62310781587889996</v>
      </c>
      <c r="X77" s="167">
        <v>1.33638793432608E-2</v>
      </c>
      <c r="Y77" s="173">
        <f t="shared" si="13"/>
        <v>7.3026918671248602</v>
      </c>
      <c r="Z77" s="206">
        <v>84</v>
      </c>
      <c r="AA77" s="178">
        <v>62</v>
      </c>
      <c r="AB77" s="166">
        <v>548.16</v>
      </c>
      <c r="AC77" s="194"/>
      <c r="AD77" s="195">
        <v>8.0183276059564695E-3</v>
      </c>
      <c r="AE77" s="176">
        <f t="shared" si="11"/>
        <v>5.918289423444063E-3</v>
      </c>
      <c r="AF77" s="174">
        <v>6.5257142857142902</v>
      </c>
      <c r="AG77" s="180">
        <v>5.2325315005727402E-2</v>
      </c>
      <c r="AH77" s="181">
        <v>0.71033274956217196</v>
      </c>
      <c r="AI77" s="181">
        <v>0.52259194395796804</v>
      </c>
      <c r="AJ77" s="174">
        <v>0.70198549064528404</v>
      </c>
      <c r="AK77" s="58">
        <v>9.0874379534173294E-2</v>
      </c>
      <c r="AL77" s="58">
        <v>1.7086674303169101E-2</v>
      </c>
      <c r="AM77" s="182">
        <v>0</v>
      </c>
    </row>
    <row r="78" spans="1:39" ht="16.05" customHeight="1" outlineLevel="1">
      <c r="A78" s="186">
        <v>43419</v>
      </c>
      <c r="B78" s="187" t="s">
        <v>41</v>
      </c>
      <c r="C78" s="188">
        <v>2738</v>
      </c>
      <c r="D78" s="188">
        <v>10025</v>
      </c>
      <c r="E78" s="189">
        <v>3.6614317019722402</v>
      </c>
      <c r="F78" s="167">
        <v>0.68916233536159599</v>
      </c>
      <c r="G78" s="192">
        <v>20.59</v>
      </c>
      <c r="H78" s="192">
        <v>29.34</v>
      </c>
      <c r="I78" s="176">
        <v>0.41599999999999998</v>
      </c>
      <c r="J78" s="176">
        <v>0.20200000000000001</v>
      </c>
      <c r="K78" s="176">
        <v>0.10199999999999999</v>
      </c>
      <c r="L78" s="174">
        <v>8.4790024937655897</v>
      </c>
      <c r="M78" s="177">
        <v>7.3372568578553601</v>
      </c>
      <c r="N78" s="167">
        <v>11.911902834008099</v>
      </c>
      <c r="O78" s="193">
        <f t="shared" si="12"/>
        <v>0.61596009975062316</v>
      </c>
      <c r="P78" s="167">
        <v>1.86072874493927</v>
      </c>
      <c r="Q78" s="167">
        <v>1.93295546558704</v>
      </c>
      <c r="R78" s="167">
        <v>1.18105263157895</v>
      </c>
      <c r="S78" s="167">
        <v>3.1428340080971702</v>
      </c>
      <c r="T78" s="167">
        <v>1.10769230769231</v>
      </c>
      <c r="U78" s="167">
        <v>0.59060728744939295</v>
      </c>
      <c r="V78" s="167">
        <v>1.4557085020242899</v>
      </c>
      <c r="W78" s="167">
        <v>0.64032388663967599</v>
      </c>
      <c r="X78" s="167">
        <v>9.3765586034912692E-3</v>
      </c>
      <c r="Y78" s="173">
        <f t="shared" si="13"/>
        <v>7.3466334164588512</v>
      </c>
      <c r="Z78" s="206">
        <v>99</v>
      </c>
      <c r="AA78" s="178">
        <v>65</v>
      </c>
      <c r="AB78" s="166">
        <v>843.01</v>
      </c>
      <c r="AC78" s="194"/>
      <c r="AD78" s="195">
        <v>9.8753117206982505E-3</v>
      </c>
      <c r="AE78" s="176">
        <f t="shared" si="11"/>
        <v>6.4837905236907727E-3</v>
      </c>
      <c r="AF78" s="174">
        <v>8.5152525252525209</v>
      </c>
      <c r="AG78" s="180">
        <v>8.4090773067331703E-2</v>
      </c>
      <c r="AH78" s="181">
        <v>0.66910153396639904</v>
      </c>
      <c r="AI78" s="181">
        <v>0.50146092037983903</v>
      </c>
      <c r="AJ78" s="174">
        <v>0.70014962593516195</v>
      </c>
      <c r="AK78" s="58">
        <v>9.0174563591022397E-2</v>
      </c>
      <c r="AL78" s="58">
        <v>1.6857855361596001E-2</v>
      </c>
      <c r="AM78" s="182">
        <v>0</v>
      </c>
    </row>
    <row r="79" spans="1:39" ht="16.05" customHeight="1" outlineLevel="1">
      <c r="A79" s="186">
        <v>43420</v>
      </c>
      <c r="B79" s="187" t="s">
        <v>41</v>
      </c>
      <c r="C79" s="188">
        <v>2562</v>
      </c>
      <c r="D79" s="188">
        <v>9822</v>
      </c>
      <c r="E79" s="189">
        <v>3.8337236533957801</v>
      </c>
      <c r="F79" s="167">
        <v>0.144162156383629</v>
      </c>
      <c r="G79" s="192">
        <v>19.59</v>
      </c>
      <c r="H79" s="192">
        <v>26.48</v>
      </c>
      <c r="I79" s="176">
        <v>0.40200000000000002</v>
      </c>
      <c r="J79" s="176">
        <v>0.185</v>
      </c>
      <c r="K79" s="176">
        <v>9.5000000000000001E-2</v>
      </c>
      <c r="L79" s="174">
        <v>8.4792302993280408</v>
      </c>
      <c r="M79" s="177">
        <v>7.1949704744451202</v>
      </c>
      <c r="N79" s="167">
        <v>11.7507482540738</v>
      </c>
      <c r="O79" s="193">
        <f t="shared" si="12"/>
        <v>0.61229892079006432</v>
      </c>
      <c r="P79" s="167">
        <v>1.77386099102095</v>
      </c>
      <c r="Q79" s="167">
        <v>1.9758895909544401</v>
      </c>
      <c r="R79" s="167">
        <v>1.1282008646491499</v>
      </c>
      <c r="S79" s="167">
        <v>3.0979381443299001</v>
      </c>
      <c r="T79" s="167">
        <v>1.0808114399733999</v>
      </c>
      <c r="U79" s="167">
        <v>0.583139341536415</v>
      </c>
      <c r="V79" s="167">
        <v>1.45078150981044</v>
      </c>
      <c r="W79" s="167">
        <v>0.66012637179913503</v>
      </c>
      <c r="X79" s="167">
        <v>9.1631032376298105E-3</v>
      </c>
      <c r="Y79" s="173">
        <f t="shared" si="13"/>
        <v>7.2041335776827502</v>
      </c>
      <c r="Z79" s="206">
        <v>103</v>
      </c>
      <c r="AA79" s="178">
        <v>70</v>
      </c>
      <c r="AB79" s="166">
        <v>612.97</v>
      </c>
      <c r="AC79" s="194"/>
      <c r="AD79" s="195">
        <v>1.0486662594176299E-2</v>
      </c>
      <c r="AE79" s="176">
        <f t="shared" si="11"/>
        <v>7.1268580737120753E-3</v>
      </c>
      <c r="AF79" s="174">
        <v>5.9511650485436904</v>
      </c>
      <c r="AG79" s="180">
        <v>6.2407859906332699E-2</v>
      </c>
      <c r="AH79" s="181">
        <v>0.67174082747853203</v>
      </c>
      <c r="AI79" s="181">
        <v>0.49765807962529302</v>
      </c>
      <c r="AJ79" s="174">
        <v>0.68285481571981299</v>
      </c>
      <c r="AK79" s="58">
        <v>9.7536143351659499E-2</v>
      </c>
      <c r="AL79" s="58">
        <v>1.85298309916514E-2</v>
      </c>
      <c r="AM79" s="182">
        <v>0</v>
      </c>
    </row>
    <row r="80" spans="1:39" ht="16.05" customHeight="1" outlineLevel="1">
      <c r="A80" s="186">
        <v>43421</v>
      </c>
      <c r="B80" s="185" t="s">
        <v>41</v>
      </c>
      <c r="C80" s="188">
        <v>2532</v>
      </c>
      <c r="D80" s="188">
        <v>9647</v>
      </c>
      <c r="E80" s="189">
        <v>3.81003159557662</v>
      </c>
      <c r="F80" s="167">
        <v>0.755102928164196</v>
      </c>
      <c r="G80" s="192">
        <v>19.43</v>
      </c>
      <c r="H80" s="192">
        <v>26.11</v>
      </c>
      <c r="I80" s="176">
        <v>0.39200000000000002</v>
      </c>
      <c r="J80" s="176">
        <v>0.16900000000000001</v>
      </c>
      <c r="K80" s="176">
        <v>9.6000000000000002E-2</v>
      </c>
      <c r="L80" s="174">
        <v>9.8339380118171391</v>
      </c>
      <c r="M80" s="177">
        <v>8.6480771224214799</v>
      </c>
      <c r="N80" s="167">
        <v>13.9581729964865</v>
      </c>
      <c r="O80" s="193">
        <f t="shared" si="12"/>
        <v>0.61957085104177623</v>
      </c>
      <c r="P80" s="167">
        <v>2.19089844403547</v>
      </c>
      <c r="Q80" s="167">
        <v>2.3874853605487698</v>
      </c>
      <c r="R80" s="167">
        <v>1.2538062573197299</v>
      </c>
      <c r="S80" s="167">
        <v>3.4642797389995001</v>
      </c>
      <c r="T80" s="167">
        <v>1.36724109084825</v>
      </c>
      <c r="U80" s="167">
        <v>0.49757403379621901</v>
      </c>
      <c r="V80" s="167">
        <v>2.0473481679772498</v>
      </c>
      <c r="W80" s="167">
        <v>0.74953990296135198</v>
      </c>
      <c r="X80" s="167">
        <v>1.5237897792059699E-2</v>
      </c>
      <c r="Y80" s="173">
        <f t="shared" si="13"/>
        <v>8.6633150202135401</v>
      </c>
      <c r="Z80" s="206">
        <v>120</v>
      </c>
      <c r="AA80" s="178">
        <v>77</v>
      </c>
      <c r="AB80" s="166">
        <v>856.8</v>
      </c>
      <c r="AC80" s="194"/>
      <c r="AD80" s="195">
        <v>1.2439100238416099E-2</v>
      </c>
      <c r="AE80" s="176">
        <f t="shared" si="11"/>
        <v>7.98175598631699E-3</v>
      </c>
      <c r="AF80" s="174">
        <v>7.14</v>
      </c>
      <c r="AG80" s="180">
        <v>8.8815175702290902E-2</v>
      </c>
      <c r="AH80" s="181">
        <v>0.69154818325434397</v>
      </c>
      <c r="AI80" s="181">
        <v>0.48538704581358599</v>
      </c>
      <c r="AJ80" s="174">
        <v>0.55374727894682296</v>
      </c>
      <c r="AK80" s="58">
        <v>0.11018969627863601</v>
      </c>
      <c r="AL80" s="58">
        <v>1.85549911889707E-2</v>
      </c>
      <c r="AM80" s="182">
        <v>0.41836840468539399</v>
      </c>
    </row>
    <row r="81" spans="1:40" ht="16.05" customHeight="1" outlineLevel="1">
      <c r="A81" s="184">
        <v>43422</v>
      </c>
      <c r="B81" s="185" t="s">
        <v>41</v>
      </c>
      <c r="C81" s="188">
        <v>2546</v>
      </c>
      <c r="D81" s="188">
        <v>9597</v>
      </c>
      <c r="E81" s="189">
        <f t="shared" ref="E81:E88" si="14">D81/C81</f>
        <v>3.7694422623723489</v>
      </c>
      <c r="F81" s="167">
        <f t="shared" ref="F81:F88" si="15">3.3*M81*G81/1000+AB81/D81*3.3*0.7</f>
        <v>0.68152809002813386</v>
      </c>
      <c r="G81" s="192">
        <v>17.100000000000001</v>
      </c>
      <c r="H81" s="192">
        <v>24.06</v>
      </c>
      <c r="I81" s="176">
        <v>0.39200000000000002</v>
      </c>
      <c r="J81" s="176">
        <v>0.19</v>
      </c>
      <c r="K81" s="176">
        <v>0.10299999999999999</v>
      </c>
      <c r="L81" s="174">
        <v>9.5615296446806308</v>
      </c>
      <c r="M81" s="177">
        <v>9.0920079191414001</v>
      </c>
      <c r="N81" s="167">
        <v>14.6157453936348</v>
      </c>
      <c r="O81" s="193">
        <f t="shared" si="12"/>
        <v>0.62206939668646644</v>
      </c>
      <c r="P81" s="167">
        <v>2.1003350083752101</v>
      </c>
      <c r="Q81" s="167">
        <v>2.4023450586264699</v>
      </c>
      <c r="R81" s="167">
        <v>1.3983249581239501</v>
      </c>
      <c r="S81" s="167">
        <v>4.1232830820770499</v>
      </c>
      <c r="T81" s="167">
        <v>1.3329983249581201</v>
      </c>
      <c r="U81" s="167">
        <v>0.50519262981574498</v>
      </c>
      <c r="V81" s="167">
        <v>2.0050251256281402</v>
      </c>
      <c r="W81" s="167">
        <v>0.74824120603015098</v>
      </c>
      <c r="X81" s="167">
        <v>1.4692091278524499E-2</v>
      </c>
      <c r="Y81" s="173">
        <f t="shared" si="13"/>
        <v>9.1067000104199245</v>
      </c>
      <c r="Z81" s="207">
        <v>110</v>
      </c>
      <c r="AA81" s="208">
        <v>80</v>
      </c>
      <c r="AB81" s="167">
        <v>699.9</v>
      </c>
      <c r="AC81" s="194"/>
      <c r="AD81" s="195">
        <f t="shared" ref="AD81:AD88" si="16">Z81/D81</f>
        <v>1.1461915181827655E-2</v>
      </c>
      <c r="AE81" s="176">
        <f t="shared" si="11"/>
        <v>8.3359383140564763E-3</v>
      </c>
      <c r="AF81" s="174">
        <f t="shared" ref="AF81:AF88" si="17">AB81/Z81</f>
        <v>6.3627272727272723</v>
      </c>
      <c r="AG81" s="180">
        <f t="shared" ref="AG81:AG88" si="18">AD81*AF81</f>
        <v>7.2929040325101599E-2</v>
      </c>
      <c r="AH81" s="181">
        <v>0.684603299293009</v>
      </c>
      <c r="AI81" s="181">
        <v>0.48075412411626101</v>
      </c>
      <c r="AJ81" s="174">
        <v>0.59560279253933501</v>
      </c>
      <c r="AK81" s="58">
        <v>0.119933312493488</v>
      </c>
      <c r="AL81" s="58">
        <v>1.8964259664478501E-2</v>
      </c>
      <c r="AM81" s="182">
        <v>0.37574241950609599</v>
      </c>
    </row>
    <row r="82" spans="1:40" ht="16.05" customHeight="1" outlineLevel="1">
      <c r="A82" s="186">
        <v>43423</v>
      </c>
      <c r="B82" s="185" t="s">
        <v>41</v>
      </c>
      <c r="C82" s="188">
        <v>2528</v>
      </c>
      <c r="D82" s="188">
        <v>9553</v>
      </c>
      <c r="E82" s="189">
        <f t="shared" si="14"/>
        <v>3.7788765822784809</v>
      </c>
      <c r="F82" s="167">
        <f t="shared" si="15"/>
        <v>0.68025812069506952</v>
      </c>
      <c r="G82" s="192">
        <v>16.43</v>
      </c>
      <c r="H82" s="192">
        <v>24.22</v>
      </c>
      <c r="I82" s="176">
        <v>0.42299999999999999</v>
      </c>
      <c r="J82" s="176">
        <v>0.19900000000000001</v>
      </c>
      <c r="K82" s="176">
        <v>0.111</v>
      </c>
      <c r="L82" s="174">
        <v>9.5277923165497693</v>
      </c>
      <c r="M82" s="177">
        <v>9.1210091070867794</v>
      </c>
      <c r="N82" s="167">
        <v>14.2467298888162</v>
      </c>
      <c r="O82" s="193">
        <f t="shared" si="12"/>
        <v>0.64021773264943038</v>
      </c>
      <c r="P82" s="167">
        <v>2.0575539568345298</v>
      </c>
      <c r="Q82" s="167">
        <v>2.3587311968606901</v>
      </c>
      <c r="R82" s="167">
        <v>1.3914323086985001</v>
      </c>
      <c r="S82" s="167">
        <v>4.0882930019620698</v>
      </c>
      <c r="T82" s="167">
        <v>1.28466317854807</v>
      </c>
      <c r="U82" s="167">
        <v>0.51062786134728599</v>
      </c>
      <c r="V82" s="167">
        <v>1.81720078482668</v>
      </c>
      <c r="W82" s="167">
        <v>0.73822759973839103</v>
      </c>
      <c r="X82" s="167">
        <v>1.2247461530409299E-2</v>
      </c>
      <c r="Y82" s="173">
        <f t="shared" si="13"/>
        <v>9.1332565686171883</v>
      </c>
      <c r="Z82" s="178">
        <v>93</v>
      </c>
      <c r="AA82" s="178">
        <v>72</v>
      </c>
      <c r="AB82" s="174">
        <v>768.07</v>
      </c>
      <c r="AC82" s="194"/>
      <c r="AD82" s="195">
        <f t="shared" si="16"/>
        <v>9.7351617292996961E-3</v>
      </c>
      <c r="AE82" s="176">
        <f t="shared" si="11"/>
        <v>7.5368994033287971E-3</v>
      </c>
      <c r="AF82" s="174">
        <f t="shared" si="17"/>
        <v>8.2588172043010761</v>
      </c>
      <c r="AG82" s="180">
        <f t="shared" si="18"/>
        <v>8.040092117659374E-2</v>
      </c>
      <c r="AH82" s="181">
        <v>0.722310126582278</v>
      </c>
      <c r="AI82" s="181">
        <v>0.489319620253165</v>
      </c>
      <c r="AJ82" s="174">
        <v>0.60504553543389505</v>
      </c>
      <c r="AK82" s="58">
        <v>0.136710980843714</v>
      </c>
      <c r="AL82" s="58">
        <v>2.14592274678112E-2</v>
      </c>
      <c r="AM82" s="182">
        <v>0.35235004710562101</v>
      </c>
    </row>
    <row r="83" spans="1:40" ht="16.05" customHeight="1" outlineLevel="1">
      <c r="A83" s="186">
        <v>43424</v>
      </c>
      <c r="B83" s="185" t="s">
        <v>41</v>
      </c>
      <c r="C83" s="188">
        <v>2671</v>
      </c>
      <c r="D83" s="188">
        <v>9674</v>
      </c>
      <c r="E83" s="189">
        <f t="shared" si="14"/>
        <v>3.6218644702358667</v>
      </c>
      <c r="F83" s="167">
        <f t="shared" si="15"/>
        <v>0.66924387512921224</v>
      </c>
      <c r="G83" s="192">
        <v>16.48</v>
      </c>
      <c r="H83" s="192">
        <v>25</v>
      </c>
      <c r="I83" s="176">
        <v>0.435</v>
      </c>
      <c r="J83" s="176">
        <v>0.214</v>
      </c>
      <c r="K83" s="176">
        <v>0.11899999999999999</v>
      </c>
      <c r="L83" s="174">
        <v>9.3050444490386592</v>
      </c>
      <c r="M83" s="177">
        <v>8.9308455654331205</v>
      </c>
      <c r="N83" s="167">
        <v>14.1866995073892</v>
      </c>
      <c r="O83" s="193">
        <f t="shared" si="12"/>
        <v>0.62952243125904328</v>
      </c>
      <c r="P83" s="167">
        <v>1.97619047619048</v>
      </c>
      <c r="Q83" s="167">
        <v>2.2247947454844001</v>
      </c>
      <c r="R83" s="167">
        <v>1.38686371100164</v>
      </c>
      <c r="S83" s="167">
        <v>4.3402298850574699</v>
      </c>
      <c r="T83" s="167">
        <v>1.2133004926108399</v>
      </c>
      <c r="U83" s="167">
        <v>0.55172413793103403</v>
      </c>
      <c r="V83" s="167">
        <v>1.7594417077175699</v>
      </c>
      <c r="W83" s="167">
        <v>0.73415435139573104</v>
      </c>
      <c r="X83" s="167">
        <v>1.5298738887740301E-2</v>
      </c>
      <c r="Y83" s="173">
        <f t="shared" si="13"/>
        <v>8.9461443043208604</v>
      </c>
      <c r="Z83" s="178">
        <v>132</v>
      </c>
      <c r="AA83" s="178">
        <v>94</v>
      </c>
      <c r="AB83" s="174">
        <v>768.68</v>
      </c>
      <c r="AC83" s="194"/>
      <c r="AD83" s="195">
        <f t="shared" si="16"/>
        <v>1.3644821170146785E-2</v>
      </c>
      <c r="AE83" s="176">
        <f t="shared" si="11"/>
        <v>9.716766590862104E-3</v>
      </c>
      <c r="AF83" s="174">
        <f t="shared" si="17"/>
        <v>5.8233333333333333</v>
      </c>
      <c r="AG83" s="180">
        <f t="shared" si="18"/>
        <v>7.9458341947488118E-2</v>
      </c>
      <c r="AH83" s="181">
        <v>0.70685136652938996</v>
      </c>
      <c r="AI83" s="181">
        <v>0.49419692998876802</v>
      </c>
      <c r="AJ83" s="174">
        <v>0.67779615464130705</v>
      </c>
      <c r="AK83" s="58">
        <v>0.15391771759355</v>
      </c>
      <c r="AL83" s="58">
        <v>2.3361587761008901E-2</v>
      </c>
      <c r="AM83" s="182">
        <v>0.27858176555716402</v>
      </c>
    </row>
    <row r="84" spans="1:40" ht="16.05" customHeight="1" outlineLevel="1">
      <c r="A84" s="186">
        <v>43425</v>
      </c>
      <c r="B84" s="187" t="s">
        <v>41</v>
      </c>
      <c r="C84" s="188">
        <v>2446</v>
      </c>
      <c r="D84" s="188">
        <v>9408</v>
      </c>
      <c r="E84" s="189">
        <f t="shared" si="14"/>
        <v>3.8462796402289454</v>
      </c>
      <c r="F84" s="167">
        <f t="shared" si="15"/>
        <v>0.53403063775510229</v>
      </c>
      <c r="G84" s="192">
        <v>16.600000000000001</v>
      </c>
      <c r="H84" s="192">
        <v>24.53</v>
      </c>
      <c r="I84" s="176">
        <v>0.44900000000000001</v>
      </c>
      <c r="J84" s="176">
        <v>0.222</v>
      </c>
      <c r="K84" s="176">
        <v>0.11700000000000001</v>
      </c>
      <c r="L84" s="174">
        <v>9.4001913265306101</v>
      </c>
      <c r="M84" s="177">
        <v>8.5233843537415002</v>
      </c>
      <c r="N84" s="167">
        <v>13.5110362257793</v>
      </c>
      <c r="O84" s="193">
        <f t="shared" si="12"/>
        <v>0.63084608843537326</v>
      </c>
      <c r="P84" s="167">
        <v>1.7659646166807099</v>
      </c>
      <c r="Q84" s="167">
        <v>1.9577085088458299</v>
      </c>
      <c r="R84" s="167">
        <v>1.2636899747262</v>
      </c>
      <c r="S84" s="167">
        <v>4.6406065711878703</v>
      </c>
      <c r="T84" s="167">
        <v>1.0889637742207201</v>
      </c>
      <c r="U84" s="167">
        <v>0.57657961246840805</v>
      </c>
      <c r="V84" s="167">
        <v>1.5319292333614201</v>
      </c>
      <c r="W84" s="167">
        <v>0.68559393428812099</v>
      </c>
      <c r="X84" s="167">
        <v>1.2436224489795899E-2</v>
      </c>
      <c r="Y84" s="173">
        <f t="shared" si="13"/>
        <v>8.5358205782312968</v>
      </c>
      <c r="Z84" s="178">
        <v>64</v>
      </c>
      <c r="AA84" s="178">
        <v>77</v>
      </c>
      <c r="AB84" s="174">
        <v>273.36</v>
      </c>
      <c r="AC84" s="194"/>
      <c r="AD84" s="195">
        <f t="shared" si="16"/>
        <v>6.8027210884353739E-3</v>
      </c>
      <c r="AE84" s="176">
        <f t="shared" si="11"/>
        <v>8.1845238095238099E-3</v>
      </c>
      <c r="AF84" s="174">
        <f t="shared" si="17"/>
        <v>4.2712500000000002</v>
      </c>
      <c r="AG84" s="180">
        <f t="shared" si="18"/>
        <v>2.9056122448979593E-2</v>
      </c>
      <c r="AH84" s="181">
        <v>0.76410466067048199</v>
      </c>
      <c r="AI84" s="181">
        <v>0.56336876533115299</v>
      </c>
      <c r="AJ84" s="174">
        <v>0.78922193877550995</v>
      </c>
      <c r="AK84" s="58">
        <v>0.186862244897959</v>
      </c>
      <c r="AL84" s="58">
        <v>2.71045918367347E-2</v>
      </c>
      <c r="AM84" s="182">
        <v>0</v>
      </c>
    </row>
    <row r="85" spans="1:40" ht="16.05" customHeight="1" outlineLevel="1">
      <c r="A85" s="186">
        <v>43426</v>
      </c>
      <c r="B85" s="187" t="s">
        <v>41</v>
      </c>
      <c r="C85" s="188">
        <v>2194</v>
      </c>
      <c r="D85" s="188">
        <v>9086</v>
      </c>
      <c r="E85" s="189">
        <f t="shared" si="14"/>
        <v>4.1412944393801272</v>
      </c>
      <c r="F85" s="167">
        <f t="shared" si="15"/>
        <v>0.61137268765133146</v>
      </c>
      <c r="G85" s="192">
        <v>17.84</v>
      </c>
      <c r="H85" s="192">
        <v>26.42</v>
      </c>
      <c r="I85" s="176">
        <v>0.443</v>
      </c>
      <c r="J85" s="176">
        <v>0.21099999999999999</v>
      </c>
      <c r="K85" s="176">
        <v>0.112</v>
      </c>
      <c r="L85" s="174">
        <v>8.7891261281091797</v>
      </c>
      <c r="M85" s="177">
        <v>7.8576931543033197</v>
      </c>
      <c r="N85" s="167">
        <v>12.6429962812113</v>
      </c>
      <c r="O85" s="193">
        <f t="shared" si="12"/>
        <v>0.62150561303103458</v>
      </c>
      <c r="P85" s="167">
        <v>1.7614662652736</v>
      </c>
      <c r="Q85" s="167">
        <v>1.8942801487515499</v>
      </c>
      <c r="R85" s="167">
        <v>1.1558349566141299</v>
      </c>
      <c r="S85" s="167">
        <v>4.12679298742695</v>
      </c>
      <c r="T85" s="167">
        <v>1.0885425889853</v>
      </c>
      <c r="U85" s="167">
        <v>0.54807862581901901</v>
      </c>
      <c r="V85" s="167">
        <v>1.4274836196210401</v>
      </c>
      <c r="W85" s="167">
        <v>0.64051708871967405</v>
      </c>
      <c r="X85" s="167">
        <v>1.91503411842395E-2</v>
      </c>
      <c r="Y85" s="173">
        <f t="shared" si="13"/>
        <v>7.8768434954875595</v>
      </c>
      <c r="Z85" s="178">
        <v>82</v>
      </c>
      <c r="AA85" s="178">
        <v>56</v>
      </c>
      <c r="AB85" s="174">
        <v>585.17999999999995</v>
      </c>
      <c r="AC85" s="194"/>
      <c r="AD85" s="195">
        <f t="shared" si="16"/>
        <v>9.0248734316530927E-3</v>
      </c>
      <c r="AE85" s="176">
        <f t="shared" si="11"/>
        <v>6.1633281972265025E-3</v>
      </c>
      <c r="AF85" s="174">
        <f t="shared" si="17"/>
        <v>7.1363414634146336</v>
      </c>
      <c r="AG85" s="180">
        <f t="shared" si="18"/>
        <v>6.4404578472375074E-2</v>
      </c>
      <c r="AH85" s="181">
        <v>0.73017319963536897</v>
      </c>
      <c r="AI85" s="181">
        <v>0.54102096627164997</v>
      </c>
      <c r="AJ85" s="174">
        <v>0.73090468853180701</v>
      </c>
      <c r="AK85" s="58">
        <v>0.20394012766894101</v>
      </c>
      <c r="AL85" s="58">
        <v>2.6964560862865899E-2</v>
      </c>
      <c r="AM85" s="182">
        <v>0</v>
      </c>
    </row>
    <row r="86" spans="1:40" ht="16.05" customHeight="1" outlineLevel="1">
      <c r="A86" s="186">
        <v>43427</v>
      </c>
      <c r="B86" s="187" t="s">
        <v>41</v>
      </c>
      <c r="C86" s="188">
        <v>1969</v>
      </c>
      <c r="D86" s="188">
        <v>8745</v>
      </c>
      <c r="E86" s="189">
        <f t="shared" si="14"/>
        <v>4.4413407821229054</v>
      </c>
      <c r="F86" s="167">
        <f t="shared" si="15"/>
        <v>0.61116623396226433</v>
      </c>
      <c r="G86" s="192">
        <v>19.260000000000002</v>
      </c>
      <c r="H86" s="192">
        <v>27.66</v>
      </c>
      <c r="I86" s="176">
        <v>0.42</v>
      </c>
      <c r="J86" s="176">
        <v>0.19700000000000001</v>
      </c>
      <c r="K86" s="176">
        <v>9.8000000000000004E-2</v>
      </c>
      <c r="L86" s="174">
        <v>8.6767295597484306</v>
      </c>
      <c r="M86" s="177">
        <v>7.5702687249857101</v>
      </c>
      <c r="N86" s="167">
        <v>12.2869339272457</v>
      </c>
      <c r="O86" s="193">
        <f t="shared" si="12"/>
        <v>0.61612349914236897</v>
      </c>
      <c r="P86" s="167">
        <v>1.71213808463252</v>
      </c>
      <c r="Q86" s="167">
        <v>1.8491091314031201</v>
      </c>
      <c r="R86" s="167">
        <v>1.1317743132887901</v>
      </c>
      <c r="S86" s="167">
        <v>4.05122494432071</v>
      </c>
      <c r="T86" s="167">
        <v>1.0009279881217501</v>
      </c>
      <c r="U86" s="167">
        <v>0.54027468448403904</v>
      </c>
      <c r="V86" s="167">
        <v>1.37899034892353</v>
      </c>
      <c r="W86" s="167">
        <v>0.62249443207126998</v>
      </c>
      <c r="X86" s="167">
        <v>1.05202973127501E-2</v>
      </c>
      <c r="Y86" s="173">
        <f t="shared" si="13"/>
        <v>7.5807890222984602</v>
      </c>
      <c r="Z86" s="178">
        <v>80</v>
      </c>
      <c r="AA86" s="178">
        <v>60</v>
      </c>
      <c r="AB86" s="174">
        <v>492.2</v>
      </c>
      <c r="AC86" s="194"/>
      <c r="AD86" s="195">
        <f t="shared" si="16"/>
        <v>9.1480846197827329E-3</v>
      </c>
      <c r="AE86" s="176">
        <f t="shared" si="11"/>
        <v>6.8610634648370496E-3</v>
      </c>
      <c r="AF86" s="174">
        <f t="shared" si="17"/>
        <v>6.1524999999999999</v>
      </c>
      <c r="AG86" s="180">
        <f t="shared" si="18"/>
        <v>5.628359062321326E-2</v>
      </c>
      <c r="AH86" s="181">
        <v>0.72574911122397201</v>
      </c>
      <c r="AI86" s="181">
        <v>0.55256475368207203</v>
      </c>
      <c r="AJ86" s="174">
        <v>0.75311606632361305</v>
      </c>
      <c r="AK86" s="58">
        <v>0.23156089193825</v>
      </c>
      <c r="AL86" s="58">
        <v>3.3161806746712402E-2</v>
      </c>
      <c r="AM86" s="182">
        <v>0</v>
      </c>
    </row>
    <row r="87" spans="1:40" ht="16.05" customHeight="1" outlineLevel="1">
      <c r="A87" s="186">
        <v>43428</v>
      </c>
      <c r="B87" s="185" t="s">
        <v>41</v>
      </c>
      <c r="C87" s="188">
        <v>2098</v>
      </c>
      <c r="D87" s="188">
        <v>8658</v>
      </c>
      <c r="E87" s="189">
        <f t="shared" si="14"/>
        <v>4.1267874165872263</v>
      </c>
      <c r="F87" s="167">
        <f t="shared" si="15"/>
        <v>0.79312344455994421</v>
      </c>
      <c r="G87" s="192">
        <v>18.29</v>
      </c>
      <c r="H87" s="192">
        <v>24.43</v>
      </c>
      <c r="I87" s="176">
        <v>0.42399999999999999</v>
      </c>
      <c r="J87" s="176">
        <v>0.187</v>
      </c>
      <c r="K87" s="176">
        <v>0.115</v>
      </c>
      <c r="L87" s="174">
        <v>9.9991914991915003</v>
      </c>
      <c r="M87" s="177">
        <v>9.1844536844536808</v>
      </c>
      <c r="N87" s="167">
        <v>15.1695917588707</v>
      </c>
      <c r="O87" s="193">
        <f t="shared" si="12"/>
        <v>0.60545160545160359</v>
      </c>
      <c r="P87" s="167">
        <v>2.09996184662343</v>
      </c>
      <c r="Q87" s="167">
        <v>2.2315909958031299</v>
      </c>
      <c r="R87" s="167">
        <v>1.33231590995803</v>
      </c>
      <c r="S87" s="167">
        <v>5.1911484166348698</v>
      </c>
      <c r="T87" s="167">
        <v>1.26287676459367</v>
      </c>
      <c r="U87" s="167">
        <v>0.46604349484929403</v>
      </c>
      <c r="V87" s="167">
        <v>1.8264021365890899</v>
      </c>
      <c r="W87" s="167">
        <v>0.75925219381915299</v>
      </c>
      <c r="X87" s="167">
        <v>2.65650265650266E-2</v>
      </c>
      <c r="Y87" s="173">
        <f t="shared" si="13"/>
        <v>9.2110187110187081</v>
      </c>
      <c r="Z87" s="178">
        <v>105</v>
      </c>
      <c r="AA87" s="178">
        <v>70</v>
      </c>
      <c r="AB87" s="174">
        <v>894.95</v>
      </c>
      <c r="AC87" s="194"/>
      <c r="AD87" s="195">
        <f t="shared" si="16"/>
        <v>1.2127512127512128E-2</v>
      </c>
      <c r="AE87" s="176">
        <f t="shared" si="11"/>
        <v>8.0850080850080851E-3</v>
      </c>
      <c r="AF87" s="174">
        <f t="shared" si="17"/>
        <v>8.5233333333333334</v>
      </c>
      <c r="AG87" s="180">
        <f t="shared" si="18"/>
        <v>0.10336682836682837</v>
      </c>
      <c r="AH87" s="181">
        <v>0.71830314585319399</v>
      </c>
      <c r="AI87" s="181">
        <v>0.48236415633937102</v>
      </c>
      <c r="AJ87" s="174">
        <v>0.57715407715407696</v>
      </c>
      <c r="AK87" s="58">
        <v>0.21494571494571499</v>
      </c>
      <c r="AL87" s="58">
        <v>2.87595287595288E-2</v>
      </c>
      <c r="AM87" s="182">
        <v>0.41325941325941301</v>
      </c>
    </row>
    <row r="88" spans="1:40" ht="16.05" customHeight="1" outlineLevel="1">
      <c r="A88" s="186">
        <v>43429</v>
      </c>
      <c r="B88" s="185" t="s">
        <v>41</v>
      </c>
      <c r="C88" s="188">
        <v>2214</v>
      </c>
      <c r="D88" s="188">
        <v>8817</v>
      </c>
      <c r="E88" s="189">
        <f t="shared" si="14"/>
        <v>3.9823848238482387</v>
      </c>
      <c r="F88" s="167">
        <f t="shared" si="15"/>
        <v>0.65579752841102401</v>
      </c>
      <c r="G88" s="192">
        <v>17.02</v>
      </c>
      <c r="H88" s="192">
        <v>24.01</v>
      </c>
      <c r="I88" s="176">
        <v>0.39500000000000002</v>
      </c>
      <c r="J88" s="176">
        <v>0.19400000000000001</v>
      </c>
      <c r="K88" s="176">
        <v>0.115</v>
      </c>
      <c r="L88" s="174">
        <v>9.37779290007939</v>
      </c>
      <c r="M88" s="177">
        <v>9.44062606328683</v>
      </c>
      <c r="N88" s="167">
        <v>15.189416058394199</v>
      </c>
      <c r="O88" s="193">
        <f t="shared" si="12"/>
        <v>0.62152659634796248</v>
      </c>
      <c r="P88" s="167">
        <v>2.0423357664233599</v>
      </c>
      <c r="Q88" s="167">
        <v>2.2713503649634998</v>
      </c>
      <c r="R88" s="167">
        <v>1.44051094890511</v>
      </c>
      <c r="S88" s="167">
        <v>5.2162408759124101</v>
      </c>
      <c r="T88" s="167">
        <v>1.2381386861313901</v>
      </c>
      <c r="U88" s="167">
        <v>0.50821167883211704</v>
      </c>
      <c r="V88" s="167">
        <v>1.7644160583941599</v>
      </c>
      <c r="W88" s="167">
        <v>0.708211678832117</v>
      </c>
      <c r="X88" s="167">
        <v>4.0149710785981597E-2</v>
      </c>
      <c r="Y88" s="173">
        <f t="shared" si="13"/>
        <v>9.4807757740728107</v>
      </c>
      <c r="Z88" s="178">
        <v>77</v>
      </c>
      <c r="AA88" s="178">
        <v>61</v>
      </c>
      <c r="AB88" s="174">
        <v>479.23</v>
      </c>
      <c r="AC88" s="194"/>
      <c r="AD88" s="195">
        <f t="shared" si="16"/>
        <v>8.7331291822615401E-3</v>
      </c>
      <c r="AE88" s="176">
        <f t="shared" si="11"/>
        <v>6.9184529885448565E-3</v>
      </c>
      <c r="AF88" s="174">
        <f t="shared" si="17"/>
        <v>6.2237662337662343</v>
      </c>
      <c r="AG88" s="180">
        <f t="shared" si="18"/>
        <v>5.43529545196779E-2</v>
      </c>
      <c r="AH88" s="181">
        <v>0.71544715447154505</v>
      </c>
      <c r="AI88" s="181">
        <v>0.52484191508581801</v>
      </c>
      <c r="AJ88" s="174">
        <v>0.61801066122263804</v>
      </c>
      <c r="AK88" s="58">
        <v>0.22036974027447001</v>
      </c>
      <c r="AL88" s="58">
        <v>2.88079845752524E-2</v>
      </c>
      <c r="AM88" s="182">
        <v>0.36180106612226398</v>
      </c>
    </row>
    <row r="89" spans="1:40" ht="16.05" customHeight="1" outlineLevel="1">
      <c r="A89" s="186">
        <v>43430</v>
      </c>
      <c r="B89" s="185" t="s">
        <v>41</v>
      </c>
      <c r="C89" s="188">
        <v>2002</v>
      </c>
      <c r="D89" s="188">
        <v>8670</v>
      </c>
      <c r="E89" s="189">
        <v>4.3306693306693296</v>
      </c>
      <c r="F89" s="167">
        <v>0.62865932525951596</v>
      </c>
      <c r="G89" s="192">
        <v>17.010000000000002</v>
      </c>
      <c r="H89" s="192">
        <v>24.29</v>
      </c>
      <c r="I89" s="176">
        <v>0.42299999999999999</v>
      </c>
      <c r="J89" s="176">
        <v>0.21199999999999999</v>
      </c>
      <c r="K89" s="176">
        <v>0.115</v>
      </c>
      <c r="L89" s="174">
        <v>9.2711649365628599</v>
      </c>
      <c r="M89" s="177">
        <v>9.0415224913494807</v>
      </c>
      <c r="N89" s="167">
        <v>14.460431654676301</v>
      </c>
      <c r="O89" s="193">
        <f t="shared" si="12"/>
        <v>0.6252595155709324</v>
      </c>
      <c r="P89" s="167">
        <v>1.98948533480908</v>
      </c>
      <c r="Q89" s="167">
        <v>2.1885261021951701</v>
      </c>
      <c r="R89" s="167">
        <v>1.3560228740084901</v>
      </c>
      <c r="S89" s="167">
        <v>4.8140564471499703</v>
      </c>
      <c r="T89" s="167">
        <v>1.22966242390703</v>
      </c>
      <c r="U89" s="167">
        <v>0.49769415237041098</v>
      </c>
      <c r="V89" s="167">
        <v>1.69802619442907</v>
      </c>
      <c r="W89" s="167">
        <v>0.68695812580704696</v>
      </c>
      <c r="X89" s="167">
        <v>2.7450980392156901E-2</v>
      </c>
      <c r="Y89" s="173">
        <f t="shared" si="13"/>
        <v>9.0689734717416375</v>
      </c>
      <c r="Z89" s="178">
        <v>85</v>
      </c>
      <c r="AA89" s="178">
        <v>67</v>
      </c>
      <c r="AB89" s="174">
        <v>506.15</v>
      </c>
      <c r="AC89" s="194"/>
      <c r="AD89" s="195">
        <v>9.8039215686274508E-3</v>
      </c>
      <c r="AE89" s="176">
        <f t="shared" si="11"/>
        <v>7.7277970011534027E-3</v>
      </c>
      <c r="AF89" s="174">
        <v>5.9547058823529397</v>
      </c>
      <c r="AG89" s="180">
        <v>5.8379469434832798E-2</v>
      </c>
      <c r="AH89" s="181">
        <v>0.72677322677322698</v>
      </c>
      <c r="AI89" s="181">
        <v>0.48601398601398599</v>
      </c>
      <c r="AJ89" s="174">
        <v>0.63321799307958504</v>
      </c>
      <c r="AK89" s="58">
        <v>0.22525951557093399</v>
      </c>
      <c r="AL89" s="58">
        <v>2.9527104959630901E-2</v>
      </c>
      <c r="AM89" s="182">
        <v>0.34359861591695501</v>
      </c>
    </row>
    <row r="90" spans="1:40" ht="16.05" customHeight="1" outlineLevel="1">
      <c r="A90" s="186">
        <v>43431</v>
      </c>
      <c r="B90" s="185" t="s">
        <v>41</v>
      </c>
      <c r="C90" s="188">
        <v>2036</v>
      </c>
      <c r="D90" s="188">
        <v>8504</v>
      </c>
      <c r="E90" s="189">
        <v>4.17681728880157</v>
      </c>
      <c r="F90" s="167">
        <v>0.69137048918156196</v>
      </c>
      <c r="G90" s="192">
        <v>18.690000000000001</v>
      </c>
      <c r="H90" s="192">
        <v>27.63</v>
      </c>
      <c r="I90" s="176">
        <v>0.44400000000000001</v>
      </c>
      <c r="J90" s="176">
        <v>0.218</v>
      </c>
      <c r="K90" s="176">
        <v>0.10199999999999999</v>
      </c>
      <c r="L90" s="174">
        <v>9.2861006585136394</v>
      </c>
      <c r="M90" s="177">
        <v>8.9600188146754505</v>
      </c>
      <c r="N90" s="167">
        <v>14.363053722902899</v>
      </c>
      <c r="O90" s="193">
        <f t="shared" si="12"/>
        <v>0.62382408278457324</v>
      </c>
      <c r="P90" s="167">
        <v>1.9032987747408101</v>
      </c>
      <c r="Q90" s="167">
        <v>2.1345900094250698</v>
      </c>
      <c r="R90" s="167">
        <v>1.36154571159284</v>
      </c>
      <c r="S90" s="167">
        <v>4.8060320452403396</v>
      </c>
      <c r="T90" s="167">
        <v>1.16116870876532</v>
      </c>
      <c r="U90" s="167">
        <v>0.52987747408105601</v>
      </c>
      <c r="V90" s="167">
        <v>1.7560791705937799</v>
      </c>
      <c r="W90" s="167">
        <v>0.71046182846371397</v>
      </c>
      <c r="X90" s="167">
        <v>1.0818438381937899E-2</v>
      </c>
      <c r="Y90" s="173">
        <f t="shared" si="13"/>
        <v>8.9708372530573879</v>
      </c>
      <c r="Z90" s="178">
        <v>78</v>
      </c>
      <c r="AA90" s="178">
        <v>59</v>
      </c>
      <c r="AB90" s="174">
        <v>553.22</v>
      </c>
      <c r="AC90" s="194"/>
      <c r="AD90" s="195">
        <v>9.1721542803386603E-3</v>
      </c>
      <c r="AE90" s="176">
        <f t="shared" si="11"/>
        <v>6.9379115710253994E-3</v>
      </c>
      <c r="AF90" s="174">
        <v>7.0925641025640997</v>
      </c>
      <c r="AG90" s="180">
        <v>6.5054092191909704E-2</v>
      </c>
      <c r="AH90" s="181">
        <v>0.74852652259331998</v>
      </c>
      <c r="AI90" s="181">
        <v>0.52603143418467602</v>
      </c>
      <c r="AJ90" s="174">
        <v>0.69038099717779899</v>
      </c>
      <c r="AK90" s="58">
        <v>0.247412982126058</v>
      </c>
      <c r="AL90" s="58">
        <v>3.7746942615239899E-2</v>
      </c>
      <c r="AM90" s="182">
        <v>0.26269990592662301</v>
      </c>
    </row>
    <row r="91" spans="1:40" s="166" customFormat="1" ht="16.05" customHeight="1" outlineLevel="1">
      <c r="A91" s="196">
        <v>43432</v>
      </c>
      <c r="B91" s="197" t="s">
        <v>41</v>
      </c>
      <c r="C91" s="198">
        <v>2125</v>
      </c>
      <c r="D91" s="198">
        <v>8464</v>
      </c>
      <c r="E91" s="200">
        <v>3.9830588235294102</v>
      </c>
      <c r="F91" s="166">
        <v>0.62473987039224999</v>
      </c>
      <c r="G91" s="201">
        <v>18.829999999999998</v>
      </c>
      <c r="H91" s="201">
        <v>27.4</v>
      </c>
      <c r="I91" s="203">
        <v>0.47199999999999998</v>
      </c>
      <c r="J91" s="203">
        <v>0.21299999999999999</v>
      </c>
      <c r="K91" s="203">
        <v>0.11799999999999999</v>
      </c>
      <c r="L91" s="166">
        <v>9.2437381852552001</v>
      </c>
      <c r="M91" s="204">
        <v>8.1908081285444201</v>
      </c>
      <c r="N91" s="166">
        <v>13.0682375117813</v>
      </c>
      <c r="O91" s="205">
        <f t="shared" si="12"/>
        <v>0.62677221172022846</v>
      </c>
      <c r="P91" s="166">
        <v>1.78454288407163</v>
      </c>
      <c r="Q91" s="166">
        <v>1.9236569274269599</v>
      </c>
      <c r="R91" s="166">
        <v>1.2147031102733299</v>
      </c>
      <c r="S91" s="166">
        <v>4.14703110273327</v>
      </c>
      <c r="T91" s="166">
        <v>1.0627709707822799</v>
      </c>
      <c r="U91" s="166">
        <v>0.56041470311027297</v>
      </c>
      <c r="V91" s="166">
        <v>1.5990574929312</v>
      </c>
      <c r="W91" s="166">
        <v>0.77606032045240303</v>
      </c>
      <c r="X91" s="166">
        <v>1.26417769376181E-2</v>
      </c>
      <c r="Y91" s="200">
        <f t="shared" si="13"/>
        <v>8.2034499054820387</v>
      </c>
      <c r="Z91" s="206">
        <v>71</v>
      </c>
      <c r="AA91" s="206">
        <v>48</v>
      </c>
      <c r="AB91" s="166">
        <v>414.29</v>
      </c>
      <c r="AC91" s="209"/>
      <c r="AD91" s="210">
        <v>8.3884688090737208E-3</v>
      </c>
      <c r="AE91" s="203">
        <f t="shared" si="11"/>
        <v>5.6710775047258983E-3</v>
      </c>
      <c r="AF91" s="166">
        <v>5.8350704225352104</v>
      </c>
      <c r="AG91" s="211">
        <v>4.8947306238185301E-2</v>
      </c>
      <c r="AH91" s="212">
        <v>0.72235294117647098</v>
      </c>
      <c r="AI91" s="212">
        <v>0.51858823529411802</v>
      </c>
      <c r="AJ91" s="166">
        <v>0.76287807183364797</v>
      </c>
      <c r="AK91" s="213">
        <v>0.25082703213610602</v>
      </c>
      <c r="AL91" s="213">
        <v>3.9697542533081297E-2</v>
      </c>
      <c r="AM91" s="214">
        <v>0</v>
      </c>
    </row>
    <row r="92" spans="1:40" ht="16.05" customHeight="1" outlineLevel="1">
      <c r="A92" s="186">
        <v>43433</v>
      </c>
      <c r="B92" s="187" t="s">
        <v>41</v>
      </c>
      <c r="C92" s="188">
        <v>2543</v>
      </c>
      <c r="D92" s="188">
        <v>9066</v>
      </c>
      <c r="E92" s="189">
        <v>3.5650806134486799</v>
      </c>
      <c r="F92" s="167">
        <v>0.56965252283256096</v>
      </c>
      <c r="G92" s="192">
        <v>18.29</v>
      </c>
      <c r="H92" s="192">
        <v>26.56</v>
      </c>
      <c r="I92" s="176">
        <v>0.433</v>
      </c>
      <c r="J92" s="176">
        <v>0.22</v>
      </c>
      <c r="K92" s="176">
        <v>0.105</v>
      </c>
      <c r="L92" s="174">
        <v>8.5366203397308595</v>
      </c>
      <c r="M92" s="177">
        <v>7.7190602250165501</v>
      </c>
      <c r="N92" s="167">
        <v>12.6823124320406</v>
      </c>
      <c r="O92" s="193">
        <f t="shared" si="12"/>
        <v>0.60864769468343272</v>
      </c>
      <c r="P92" s="167">
        <v>1.7988401594780701</v>
      </c>
      <c r="Q92" s="167">
        <v>1.8457774555998601</v>
      </c>
      <c r="R92" s="167">
        <v>1.1850308082638601</v>
      </c>
      <c r="S92" s="167">
        <v>4.0023559260601704</v>
      </c>
      <c r="T92" s="167">
        <v>1.08916274012323</v>
      </c>
      <c r="U92" s="167">
        <v>0.55744835085175803</v>
      </c>
      <c r="V92" s="167">
        <v>1.5177600579920301</v>
      </c>
      <c r="W92" s="167">
        <v>0.68593693367162001</v>
      </c>
      <c r="X92" s="167">
        <v>1.04787116699757E-2</v>
      </c>
      <c r="Y92" s="173">
        <f t="shared" si="13"/>
        <v>7.7295389366865255</v>
      </c>
      <c r="Z92" s="178">
        <v>82</v>
      </c>
      <c r="AA92" s="178">
        <v>58</v>
      </c>
      <c r="AB92" s="174">
        <v>472.18</v>
      </c>
      <c r="AC92" s="194"/>
      <c r="AD92" s="195">
        <v>9.0447827046106297E-3</v>
      </c>
      <c r="AE92" s="176">
        <f t="shared" si="11"/>
        <v>6.3975292300904475E-3</v>
      </c>
      <c r="AF92" s="174">
        <v>5.7582926829268297</v>
      </c>
      <c r="AG92" s="180">
        <v>5.20825060666225E-2</v>
      </c>
      <c r="AH92" s="181">
        <v>0.679119150609516</v>
      </c>
      <c r="AI92" s="181">
        <v>0.48014156508061301</v>
      </c>
      <c r="AJ92" s="174">
        <v>0.72468563864990099</v>
      </c>
      <c r="AK92" s="58">
        <v>0.25071696448268299</v>
      </c>
      <c r="AL92" s="58">
        <v>3.9157290977277701E-2</v>
      </c>
      <c r="AM92" s="182">
        <v>0</v>
      </c>
    </row>
    <row r="93" spans="1:40" ht="16.05" customHeight="1" outlineLevel="1">
      <c r="A93" s="186">
        <v>43434</v>
      </c>
      <c r="B93" s="187" t="s">
        <v>41</v>
      </c>
      <c r="C93" s="188">
        <v>3145</v>
      </c>
      <c r="D93" s="188">
        <v>9766</v>
      </c>
      <c r="E93" s="189">
        <v>3.10524642289348</v>
      </c>
      <c r="F93" s="167">
        <v>7.7682797460577505E-2</v>
      </c>
      <c r="G93" s="192">
        <v>18.37</v>
      </c>
      <c r="H93" s="192">
        <v>24.8</v>
      </c>
      <c r="I93" s="176">
        <v>0.39800000000000002</v>
      </c>
      <c r="J93" s="176">
        <v>0.193</v>
      </c>
      <c r="K93" s="176">
        <v>9.1999999999999998E-2</v>
      </c>
      <c r="L93" s="174">
        <v>6.9096866680319504</v>
      </c>
      <c r="M93" s="177">
        <v>7.0188408765103398</v>
      </c>
      <c r="N93" s="167">
        <v>11.729295003422299</v>
      </c>
      <c r="O93" s="193">
        <f t="shared" si="12"/>
        <v>0.59840262133934108</v>
      </c>
      <c r="P93" s="167">
        <v>1.77310061601643</v>
      </c>
      <c r="Q93" s="167">
        <v>1.80578370978782</v>
      </c>
      <c r="R93" s="167">
        <v>1.0424366872005499</v>
      </c>
      <c r="S93" s="167">
        <v>3.4820328542094501</v>
      </c>
      <c r="T93" s="167">
        <v>0.98802190280629698</v>
      </c>
      <c r="U93" s="167">
        <v>0.56485284052019202</v>
      </c>
      <c r="V93" s="167">
        <v>1.4356605065024</v>
      </c>
      <c r="W93" s="167">
        <v>0.63740588637919204</v>
      </c>
      <c r="X93" s="167">
        <v>1.2697112430882699E-2</v>
      </c>
      <c r="Y93" s="173">
        <f t="shared" si="13"/>
        <v>7.0315379889412224</v>
      </c>
      <c r="Z93" s="178">
        <v>58</v>
      </c>
      <c r="AA93" s="178">
        <v>48</v>
      </c>
      <c r="AB93" s="174">
        <v>328.42</v>
      </c>
      <c r="AC93" s="194"/>
      <c r="AD93" s="195">
        <v>5.9389719434773704E-3</v>
      </c>
      <c r="AE93" s="176">
        <f t="shared" si="11"/>
        <v>4.915011263567479E-3</v>
      </c>
      <c r="AF93" s="174">
        <v>5.6624137931034504</v>
      </c>
      <c r="AG93" s="180">
        <v>3.3628916649600701E-2</v>
      </c>
      <c r="AH93" s="181">
        <v>0.67281399046104895</v>
      </c>
      <c r="AI93" s="181">
        <v>0.446740858505564</v>
      </c>
      <c r="AJ93" s="174">
        <v>0.64181855416751998</v>
      </c>
      <c r="AK93" s="58">
        <v>0.22998156870776201</v>
      </c>
      <c r="AL93" s="58">
        <v>3.4507474912963298E-2</v>
      </c>
      <c r="AM93" s="182">
        <v>0</v>
      </c>
    </row>
    <row r="94" spans="1:40" ht="16.05" customHeight="1">
      <c r="A94" s="186">
        <v>43435</v>
      </c>
      <c r="B94" s="185" t="s">
        <v>41</v>
      </c>
      <c r="C94" s="188">
        <v>3520</v>
      </c>
      <c r="D94" s="188">
        <v>10498</v>
      </c>
      <c r="E94" s="189">
        <v>2.9823863636363601</v>
      </c>
      <c r="F94" s="167">
        <v>0.13707290912554801</v>
      </c>
      <c r="G94" s="192">
        <v>15.48</v>
      </c>
      <c r="H94" s="192">
        <v>22.89</v>
      </c>
      <c r="I94" s="176">
        <v>0.39100000000000001</v>
      </c>
      <c r="J94" s="176">
        <v>0.18</v>
      </c>
      <c r="K94" s="176">
        <v>9.6000000000000002E-2</v>
      </c>
      <c r="L94" s="174">
        <v>10.064488473995</v>
      </c>
      <c r="M94" s="177">
        <v>9.5936368832158507</v>
      </c>
      <c r="N94" s="167">
        <v>15.465909090909101</v>
      </c>
      <c r="O94" s="193">
        <f t="shared" si="12"/>
        <v>0.62030863021527871</v>
      </c>
      <c r="P94" s="167">
        <v>2.07785626535627</v>
      </c>
      <c r="Q94" s="167">
        <v>2.1560196560196601</v>
      </c>
      <c r="R94" s="167">
        <v>1.1984029484029499</v>
      </c>
      <c r="S94" s="167">
        <v>5.24508599508599</v>
      </c>
      <c r="T94" s="167">
        <v>1.2036240786240799</v>
      </c>
      <c r="U94" s="167">
        <v>0.49907862407862402</v>
      </c>
      <c r="V94" s="167">
        <v>2.1939496314496298</v>
      </c>
      <c r="W94" s="167">
        <v>0.891891891891892</v>
      </c>
      <c r="X94" s="167">
        <v>1.38121546961326E-2</v>
      </c>
      <c r="Y94" s="173">
        <f t="shared" si="13"/>
        <v>9.6074490379119837</v>
      </c>
      <c r="Z94" s="178">
        <v>106</v>
      </c>
      <c r="AA94" s="178">
        <v>68</v>
      </c>
      <c r="AB94" s="174">
        <v>622.94000000000005</v>
      </c>
      <c r="AC94" s="194"/>
      <c r="AD94" s="195">
        <v>1.0097161364069299E-2</v>
      </c>
      <c r="AE94" s="176">
        <f t="shared" si="11"/>
        <v>6.4774242712897692E-3</v>
      </c>
      <c r="AF94" s="174">
        <v>5.8767924528301902</v>
      </c>
      <c r="AG94" s="180">
        <v>5.93389216993713E-2</v>
      </c>
      <c r="AH94" s="181">
        <v>0.69318181818181801</v>
      </c>
      <c r="AI94" s="181">
        <v>0.46022727272727298</v>
      </c>
      <c r="AJ94" s="174">
        <v>0.56067822442369997</v>
      </c>
      <c r="AK94" s="58">
        <v>0.204229377024195</v>
      </c>
      <c r="AL94" s="58">
        <v>2.6957515717279501E-2</v>
      </c>
      <c r="AM94" s="182">
        <v>0.39550390550581099</v>
      </c>
    </row>
    <row r="95" spans="1:40" ht="16.05" customHeight="1" outlineLevel="1">
      <c r="A95" s="186">
        <v>43436</v>
      </c>
      <c r="B95" s="185" t="s">
        <v>41</v>
      </c>
      <c r="C95" s="188">
        <v>4117</v>
      </c>
      <c r="D95" s="188">
        <v>11445</v>
      </c>
      <c r="E95" s="189">
        <v>2.7799368472188499</v>
      </c>
      <c r="F95" s="167">
        <v>0.63108747889908301</v>
      </c>
      <c r="G95" s="192">
        <v>14.57</v>
      </c>
      <c r="H95" s="192">
        <v>20.66</v>
      </c>
      <c r="I95" s="176">
        <v>0.375</v>
      </c>
      <c r="J95" s="176">
        <v>0.17599999999999999</v>
      </c>
      <c r="K95" s="176">
        <v>9.4E-2</v>
      </c>
      <c r="L95" s="174">
        <v>9.2918304936653602</v>
      </c>
      <c r="M95" s="177">
        <v>8.8835299257317608</v>
      </c>
      <c r="N95" s="167">
        <v>14.6480334245786</v>
      </c>
      <c r="O95" s="193">
        <f t="shared" si="12"/>
        <v>0.60646570554827406</v>
      </c>
      <c r="P95" s="167">
        <v>2.0142630744849401</v>
      </c>
      <c r="Q95" s="167">
        <v>2.2462181241896002</v>
      </c>
      <c r="R95" s="167">
        <v>1.30528742256159</v>
      </c>
      <c r="S95" s="167">
        <v>4.9520242040051903</v>
      </c>
      <c r="T95" s="167">
        <v>1.15012246074053</v>
      </c>
      <c r="U95" s="167">
        <v>0.51692839648465605</v>
      </c>
      <c r="V95" s="167">
        <v>1.7455698026221</v>
      </c>
      <c r="W95" s="167">
        <v>0.71761993948998704</v>
      </c>
      <c r="X95" s="167">
        <v>1.5814766273481901E-2</v>
      </c>
      <c r="Y95" s="173">
        <f t="shared" si="13"/>
        <v>8.8993446920052435</v>
      </c>
      <c r="Z95" s="178">
        <v>119</v>
      </c>
      <c r="AA95" s="178">
        <v>76</v>
      </c>
      <c r="AB95" s="174">
        <v>1062.81</v>
      </c>
      <c r="AC95" s="194"/>
      <c r="AD95" s="195">
        <v>1.03975535168196E-2</v>
      </c>
      <c r="AE95" s="176">
        <f t="shared" si="11"/>
        <v>6.6404543468763649E-3</v>
      </c>
      <c r="AF95" s="174">
        <v>8.9311764705882393</v>
      </c>
      <c r="AG95" s="180">
        <v>9.2862385321100901E-2</v>
      </c>
      <c r="AH95" s="181">
        <v>0.65095943648287602</v>
      </c>
      <c r="AI95" s="181">
        <v>0.41097886810784601</v>
      </c>
      <c r="AJ95" s="174">
        <v>0.54748798602009596</v>
      </c>
      <c r="AK95" s="58">
        <v>0.19143730886850199</v>
      </c>
      <c r="AL95" s="58">
        <v>2.2892092616863299E-2</v>
      </c>
      <c r="AM95" s="182">
        <v>0.33822629969418999</v>
      </c>
    </row>
    <row r="96" spans="1:40" ht="16.05" customHeight="1" outlineLevel="1">
      <c r="A96" s="186">
        <v>43437</v>
      </c>
      <c r="B96" s="185" t="s">
        <v>41</v>
      </c>
      <c r="C96" s="188">
        <v>5500</v>
      </c>
      <c r="D96" s="188">
        <v>13280</v>
      </c>
      <c r="E96" s="189">
        <v>2.4145454545454501</v>
      </c>
      <c r="F96" s="167">
        <v>0.54865804472891599</v>
      </c>
      <c r="G96" s="192">
        <v>16.07</v>
      </c>
      <c r="H96" s="192">
        <v>23.84</v>
      </c>
      <c r="I96" s="176">
        <v>0.374</v>
      </c>
      <c r="J96" s="176">
        <v>0.191</v>
      </c>
      <c r="K96" s="176">
        <v>0.10100000000000001</v>
      </c>
      <c r="L96" s="174">
        <v>9.5131777108433706</v>
      </c>
      <c r="M96" s="177">
        <v>8.1899096385542194</v>
      </c>
      <c r="N96" s="167">
        <v>13.6824757831174</v>
      </c>
      <c r="O96" s="193">
        <f t="shared" si="12"/>
        <v>0.59856927710843277</v>
      </c>
      <c r="P96" s="167">
        <v>2.0100641590137101</v>
      </c>
      <c r="Q96" s="167">
        <v>2.1118379670398801</v>
      </c>
      <c r="R96" s="167">
        <v>1.1817838721851801</v>
      </c>
      <c r="S96" s="167">
        <v>4.3244433262045501</v>
      </c>
      <c r="T96" s="167">
        <v>1.12290854195496</v>
      </c>
      <c r="U96" s="167">
        <v>0.55617058749528203</v>
      </c>
      <c r="V96" s="167">
        <v>1.6714052082022901</v>
      </c>
      <c r="W96" s="167">
        <v>0.70386212102151202</v>
      </c>
      <c r="X96" s="167">
        <v>1.5135542168674699E-2</v>
      </c>
      <c r="Y96" s="173">
        <f t="shared" si="13"/>
        <v>8.2050451807228946</v>
      </c>
      <c r="Z96" s="178">
        <v>117</v>
      </c>
      <c r="AA96" s="178">
        <v>81</v>
      </c>
      <c r="AB96" s="174">
        <v>700.83</v>
      </c>
      <c r="AC96" s="194"/>
      <c r="AD96" s="195">
        <v>8.8102409638554195E-3</v>
      </c>
      <c r="AE96" s="176">
        <f t="shared" si="11"/>
        <v>6.0993975903614458E-3</v>
      </c>
      <c r="AF96" s="174">
        <v>5.99</v>
      </c>
      <c r="AG96" s="180">
        <v>5.2773343373494E-2</v>
      </c>
      <c r="AH96" s="181">
        <v>0.61290909090909096</v>
      </c>
      <c r="AI96" s="181">
        <v>0.38</v>
      </c>
      <c r="AJ96" s="174">
        <v>0.56061746987951799</v>
      </c>
      <c r="AK96" s="58">
        <v>0.18064759036144601</v>
      </c>
      <c r="AL96" s="58">
        <v>2.37951807228916E-2</v>
      </c>
      <c r="AM96" s="182">
        <v>0.30549698795180702</v>
      </c>
      <c r="AN96" s="257"/>
    </row>
    <row r="97" spans="1:40" ht="16.05" customHeight="1" outlineLevel="1">
      <c r="A97" s="186">
        <v>43438</v>
      </c>
      <c r="B97" s="185" t="s">
        <v>41</v>
      </c>
      <c r="C97" s="188">
        <v>3977</v>
      </c>
      <c r="D97" s="188">
        <v>12470</v>
      </c>
      <c r="E97" s="189">
        <v>3.1355292934372598</v>
      </c>
      <c r="F97" s="167">
        <v>0.59231361531675997</v>
      </c>
      <c r="G97" s="192">
        <v>17.73</v>
      </c>
      <c r="H97" s="192">
        <v>24.24</v>
      </c>
      <c r="I97" s="176">
        <v>0.40300000000000002</v>
      </c>
      <c r="J97" s="176">
        <v>0.19800000000000001</v>
      </c>
      <c r="K97" s="176">
        <v>0.109</v>
      </c>
      <c r="L97" s="174">
        <v>9.4048917401764207</v>
      </c>
      <c r="M97" s="177">
        <v>8.1091419406575795</v>
      </c>
      <c r="N97" s="167">
        <v>13.1942849686848</v>
      </c>
      <c r="O97" s="193">
        <f t="shared" si="12"/>
        <v>0.61459502806735988</v>
      </c>
      <c r="P97" s="167">
        <v>1.8627348643006301</v>
      </c>
      <c r="Q97" s="167">
        <v>2.0356210855949901</v>
      </c>
      <c r="R97" s="167">
        <v>1.1886743215031299</v>
      </c>
      <c r="S97" s="167">
        <v>4.1611430062630497</v>
      </c>
      <c r="T97" s="167">
        <v>1.0763308977035499</v>
      </c>
      <c r="U97" s="167">
        <v>0.56576200417536504</v>
      </c>
      <c r="V97" s="167">
        <v>1.60882045929019</v>
      </c>
      <c r="W97" s="167">
        <v>0.69519832985386198</v>
      </c>
      <c r="X97" s="167">
        <v>2.7024859663191701E-2</v>
      </c>
      <c r="Y97" s="173">
        <f t="shared" si="13"/>
        <v>8.1361668003207708</v>
      </c>
      <c r="Z97" s="178">
        <v>111</v>
      </c>
      <c r="AA97" s="178">
        <v>80</v>
      </c>
      <c r="AB97" s="174">
        <v>696.89</v>
      </c>
      <c r="AC97" s="194"/>
      <c r="AD97" s="195">
        <v>8.9013632718524492E-3</v>
      </c>
      <c r="AE97" s="176">
        <f t="shared" si="11"/>
        <v>6.4153969526864474E-3</v>
      </c>
      <c r="AF97" s="174">
        <v>6.27828828828829</v>
      </c>
      <c r="AG97" s="180">
        <v>5.5885324779470703E-2</v>
      </c>
      <c r="AH97" s="181">
        <v>0.64873019864219295</v>
      </c>
      <c r="AI97" s="181">
        <v>0.49409102338446098</v>
      </c>
      <c r="AJ97" s="174">
        <v>0.62910986367281496</v>
      </c>
      <c r="AK97" s="58">
        <v>0.21170809943865301</v>
      </c>
      <c r="AL97" s="58">
        <v>2.8307939053728901E-2</v>
      </c>
      <c r="AM97" s="182">
        <v>0.25364875701683998</v>
      </c>
      <c r="AN97" s="258"/>
    </row>
    <row r="98" spans="1:40" s="166" customFormat="1" ht="16.05" customHeight="1" outlineLevel="1">
      <c r="A98" s="196">
        <v>43439</v>
      </c>
      <c r="B98" s="197" t="s">
        <v>41</v>
      </c>
      <c r="C98" s="198">
        <v>3419</v>
      </c>
      <c r="D98" s="198">
        <v>11928</v>
      </c>
      <c r="E98" s="200">
        <v>3.4887393974846401</v>
      </c>
      <c r="F98" s="166">
        <v>0.52041884481891298</v>
      </c>
      <c r="G98" s="201">
        <v>17.579999999999998</v>
      </c>
      <c r="H98" s="201">
        <v>26.21</v>
      </c>
      <c r="I98" s="203">
        <v>0.41499999999999998</v>
      </c>
      <c r="J98" s="203">
        <v>0.19800000000000001</v>
      </c>
      <c r="K98" s="203">
        <v>0.107</v>
      </c>
      <c r="L98" s="166">
        <v>8.8216800804828992</v>
      </c>
      <c r="M98" s="204">
        <v>7.4021629778672002</v>
      </c>
      <c r="N98" s="166">
        <v>12.141501650165001</v>
      </c>
      <c r="O98" s="205">
        <f t="shared" si="12"/>
        <v>0.60965794768611725</v>
      </c>
      <c r="P98" s="166">
        <v>1.77255225522552</v>
      </c>
      <c r="Q98" s="166">
        <v>1.88971397139714</v>
      </c>
      <c r="R98" s="166">
        <v>1.0814081408140801</v>
      </c>
      <c r="S98" s="166">
        <v>3.6461771177117699</v>
      </c>
      <c r="T98" s="166">
        <v>1.0044004400440001</v>
      </c>
      <c r="U98" s="166">
        <v>0.59020902090209004</v>
      </c>
      <c r="V98" s="166">
        <v>1.47029702970297</v>
      </c>
      <c r="W98" s="166">
        <v>0.686743674367437</v>
      </c>
      <c r="X98" s="166">
        <v>2.7917505030181099E-2</v>
      </c>
      <c r="Y98" s="200">
        <f t="shared" si="13"/>
        <v>7.430080482897381</v>
      </c>
      <c r="Z98" s="206">
        <v>81</v>
      </c>
      <c r="AA98" s="206">
        <v>64</v>
      </c>
      <c r="AB98" s="166">
        <v>481.19</v>
      </c>
      <c r="AC98" s="209"/>
      <c r="AD98" s="210">
        <v>6.7907444668008103E-3</v>
      </c>
      <c r="AE98" s="203">
        <v>5.3655264922870599E-3</v>
      </c>
      <c r="AF98" s="166">
        <v>5.9406172839506199</v>
      </c>
      <c r="AG98" s="211">
        <v>4.0341213950368902E-2</v>
      </c>
      <c r="AH98" s="212">
        <v>0.69172272594325801</v>
      </c>
      <c r="AI98" s="212">
        <v>0.50394852295992998</v>
      </c>
      <c r="AJ98" s="166">
        <v>0.706237424547284</v>
      </c>
      <c r="AK98" s="213">
        <v>0.24279007377598899</v>
      </c>
      <c r="AL98" s="213">
        <v>3.1354795439302502E-2</v>
      </c>
      <c r="AM98" s="214">
        <v>0</v>
      </c>
      <c r="AN98" s="259"/>
    </row>
    <row r="99" spans="1:40" ht="16.05" customHeight="1" outlineLevel="1">
      <c r="A99" s="186">
        <v>43440</v>
      </c>
      <c r="B99" s="187" t="s">
        <v>41</v>
      </c>
      <c r="C99" s="188">
        <v>3199</v>
      </c>
      <c r="D99" s="188">
        <v>11669</v>
      </c>
      <c r="E99" s="189">
        <v>3.64770240700219</v>
      </c>
      <c r="F99" s="167">
        <v>0.55217963647270496</v>
      </c>
      <c r="G99" s="192">
        <v>17.75</v>
      </c>
      <c r="H99" s="192">
        <v>27.2</v>
      </c>
      <c r="I99" s="176">
        <v>0.39300000000000002</v>
      </c>
      <c r="J99" s="176">
        <v>0.19800000000000001</v>
      </c>
      <c r="K99" s="176">
        <v>9.8000000000000004E-2</v>
      </c>
      <c r="L99" s="174">
        <v>8.7884994429685506</v>
      </c>
      <c r="M99" s="177">
        <v>7.4468249207301396</v>
      </c>
      <c r="N99" s="167">
        <v>12.1670400448054</v>
      </c>
      <c r="O99" s="193">
        <f t="shared" si="12"/>
        <v>0.61204901876767381</v>
      </c>
      <c r="P99" s="167">
        <v>1.79067488098572</v>
      </c>
      <c r="Q99" s="167">
        <v>1.9070288434612199</v>
      </c>
      <c r="R99" s="167">
        <v>1.09871184542145</v>
      </c>
      <c r="S99" s="167">
        <v>3.6691402968356202</v>
      </c>
      <c r="T99" s="167">
        <v>1.0134416129935599</v>
      </c>
      <c r="U99" s="167">
        <v>0.57154858583029999</v>
      </c>
      <c r="V99" s="167">
        <v>1.4434332119854401</v>
      </c>
      <c r="W99" s="167">
        <v>0.67306076729207498</v>
      </c>
      <c r="X99" s="167">
        <v>1.6368154940440499E-2</v>
      </c>
      <c r="Y99" s="173">
        <f t="shared" si="13"/>
        <v>7.4631930756705804</v>
      </c>
      <c r="Z99" s="178">
        <v>84</v>
      </c>
      <c r="AA99" s="178">
        <v>66</v>
      </c>
      <c r="AB99" s="174">
        <v>582.16</v>
      </c>
      <c r="AC99" s="194"/>
      <c r="AD99" s="195">
        <v>7.19856028794241E-3</v>
      </c>
      <c r="AE99" s="176">
        <v>5.6560116548118903E-3</v>
      </c>
      <c r="AF99" s="174">
        <v>6.93047619047619</v>
      </c>
      <c r="AG99" s="180">
        <v>4.9889450681292302E-2</v>
      </c>
      <c r="AH99" s="181">
        <v>0.66739606126914697</v>
      </c>
      <c r="AI99" s="181">
        <v>0.495779931228509</v>
      </c>
      <c r="AJ99" s="174">
        <v>0.70083126231896498</v>
      </c>
      <c r="AK99" s="58">
        <v>0.24432256405861699</v>
      </c>
      <c r="AL99" s="58">
        <v>3.11937612477504E-2</v>
      </c>
      <c r="AM99" s="182">
        <v>0</v>
      </c>
      <c r="AN99" s="258"/>
    </row>
    <row r="100" spans="1:40" ht="16.05" customHeight="1" outlineLevel="1">
      <c r="A100" s="186">
        <v>43441</v>
      </c>
      <c r="B100" s="187" t="s">
        <v>41</v>
      </c>
      <c r="C100" s="188">
        <v>3016</v>
      </c>
      <c r="D100" s="188">
        <v>11312</v>
      </c>
      <c r="E100" s="189">
        <v>3.7506631299734701</v>
      </c>
      <c r="F100" s="167">
        <v>0.52818582337340902</v>
      </c>
      <c r="G100" s="192">
        <v>17.350000000000001</v>
      </c>
      <c r="H100" s="192">
        <v>23.81</v>
      </c>
      <c r="I100" s="176">
        <v>0.36099999999999999</v>
      </c>
      <c r="J100" s="176">
        <v>0.17499999999999999</v>
      </c>
      <c r="K100" s="176">
        <v>8.4000000000000005E-2</v>
      </c>
      <c r="L100" s="174">
        <v>8.3171852899575693</v>
      </c>
      <c r="M100" s="177">
        <v>7.0879596888260297</v>
      </c>
      <c r="N100" s="167">
        <v>11.7392386530015</v>
      </c>
      <c r="O100" s="193">
        <f t="shared" si="12"/>
        <v>0.60378359264497727</v>
      </c>
      <c r="P100" s="167">
        <v>1.7330893118594399</v>
      </c>
      <c r="Q100" s="167">
        <v>1.8263543191800899</v>
      </c>
      <c r="R100" s="167">
        <v>1.0383601756954599</v>
      </c>
      <c r="S100" s="167">
        <v>3.4562225475841899</v>
      </c>
      <c r="T100" s="167">
        <v>0.99326500732064404</v>
      </c>
      <c r="U100" s="167">
        <v>0.56120058565153697</v>
      </c>
      <c r="V100" s="167">
        <v>1.4894582723279699</v>
      </c>
      <c r="W100" s="167">
        <v>0.64128843338213803</v>
      </c>
      <c r="X100" s="167">
        <v>1.31718528995757E-2</v>
      </c>
      <c r="Y100" s="173">
        <f t="shared" si="13"/>
        <v>7.1011315417256053</v>
      </c>
      <c r="Z100" s="178">
        <v>71</v>
      </c>
      <c r="AA100" s="178">
        <v>57</v>
      </c>
      <c r="AB100" s="174">
        <v>568.29</v>
      </c>
      <c r="AC100" s="194"/>
      <c r="AD100" s="195">
        <v>6.2765205091937799E-3</v>
      </c>
      <c r="AE100" s="176">
        <v>5.0388967468175403E-3</v>
      </c>
      <c r="AF100" s="174">
        <v>8.0040845070422506</v>
      </c>
      <c r="AG100" s="180">
        <v>5.0237800565770901E-2</v>
      </c>
      <c r="AH100" s="181">
        <v>0.59549071618037097</v>
      </c>
      <c r="AI100" s="181">
        <v>0.44927055702917801</v>
      </c>
      <c r="AJ100" s="174">
        <v>0.64365275813295597</v>
      </c>
      <c r="AK100" s="58">
        <v>0.24257425742574301</v>
      </c>
      <c r="AL100" s="58">
        <v>3.16478076379067E-2</v>
      </c>
      <c r="AM100" s="182">
        <v>0</v>
      </c>
      <c r="AN100" s="258"/>
    </row>
    <row r="101" spans="1:40" ht="16.05" customHeight="1" outlineLevel="1">
      <c r="A101" s="186">
        <v>43442</v>
      </c>
      <c r="B101" s="185" t="s">
        <v>41</v>
      </c>
      <c r="C101" s="188">
        <v>4225</v>
      </c>
      <c r="D101" s="188">
        <v>12377</v>
      </c>
      <c r="E101" s="189">
        <v>2.9294674556213001</v>
      </c>
      <c r="F101" s="167">
        <v>0.65863851337157597</v>
      </c>
      <c r="G101" s="192">
        <v>17.59</v>
      </c>
      <c r="H101" s="192">
        <v>23.84</v>
      </c>
      <c r="I101" s="176">
        <v>0.29299999999999998</v>
      </c>
      <c r="J101" s="176">
        <v>0.13200000000000001</v>
      </c>
      <c r="K101" s="176">
        <v>7.0999999999999994E-2</v>
      </c>
      <c r="L101" s="174">
        <v>8.8674961622364101</v>
      </c>
      <c r="M101" s="177">
        <v>8.3670517896097607</v>
      </c>
      <c r="N101" s="167">
        <v>14.365237897073101</v>
      </c>
      <c r="O101" s="193">
        <f t="shared" si="12"/>
        <v>0.58245132099862662</v>
      </c>
      <c r="P101" s="167">
        <v>2.03537245110279</v>
      </c>
      <c r="Q101" s="167">
        <v>2.1284505479261999</v>
      </c>
      <c r="R101" s="167">
        <v>1.1179081703426299</v>
      </c>
      <c r="S101" s="167">
        <v>4.9679567207657103</v>
      </c>
      <c r="T101" s="167">
        <v>1.15688722430295</v>
      </c>
      <c r="U101" s="167">
        <v>0.45803856290747702</v>
      </c>
      <c r="V101" s="167">
        <v>1.8019142738243901</v>
      </c>
      <c r="W101" s="167">
        <v>0.69870994590095703</v>
      </c>
      <c r="X101" s="167">
        <v>2.0683525894804902E-2</v>
      </c>
      <c r="Y101" s="173">
        <f t="shared" si="13"/>
        <v>8.3877353155045657</v>
      </c>
      <c r="Z101" s="178">
        <v>119</v>
      </c>
      <c r="AA101" s="178">
        <v>82</v>
      </c>
      <c r="AB101" s="174">
        <v>954.81</v>
      </c>
      <c r="AC101" s="194"/>
      <c r="AD101" s="195">
        <v>9.6146077401632092E-3</v>
      </c>
      <c r="AE101" s="176">
        <v>6.6251918881796903E-3</v>
      </c>
      <c r="AF101" s="174">
        <v>8.0236134453781496</v>
      </c>
      <c r="AG101" s="180">
        <v>7.7143895936010398E-2</v>
      </c>
      <c r="AH101" s="181">
        <v>0.47550295857988201</v>
      </c>
      <c r="AI101" s="181">
        <v>0.29585798816567999</v>
      </c>
      <c r="AJ101" s="174">
        <v>0.46238991678112601</v>
      </c>
      <c r="AK101" s="58">
        <v>0.19051466429667899</v>
      </c>
      <c r="AL101" s="58">
        <v>2.2218631332309901E-2</v>
      </c>
      <c r="AM101" s="182">
        <v>0.37060677062293002</v>
      </c>
      <c r="AN101" s="258"/>
    </row>
    <row r="102" spans="1:40" ht="16.05" customHeight="1" outlineLevel="1">
      <c r="A102" s="186">
        <v>43443</v>
      </c>
      <c r="B102" s="185" t="s">
        <v>41</v>
      </c>
      <c r="C102" s="188">
        <v>4649</v>
      </c>
      <c r="D102" s="188">
        <v>12991</v>
      </c>
      <c r="E102" s="189">
        <v>2.7943643794364399</v>
      </c>
      <c r="F102" s="167">
        <v>0.62767855376799297</v>
      </c>
      <c r="G102" s="192">
        <v>17.2</v>
      </c>
      <c r="H102" s="192">
        <v>24.93</v>
      </c>
      <c r="I102" s="176">
        <v>0.28599999999999998</v>
      </c>
      <c r="J102" s="176">
        <v>0.13900000000000001</v>
      </c>
      <c r="K102" s="176">
        <v>8.8999999999999996E-2</v>
      </c>
      <c r="L102" s="174">
        <v>8.4219074744053604</v>
      </c>
      <c r="M102" s="177">
        <v>8.3386960203217608</v>
      </c>
      <c r="N102" s="167">
        <v>14.521179624664899</v>
      </c>
      <c r="O102" s="193">
        <f t="shared" si="12"/>
        <v>0.57424370718189433</v>
      </c>
      <c r="P102" s="167">
        <v>2.0123324396782798</v>
      </c>
      <c r="Q102" s="167">
        <v>2.2357908847185</v>
      </c>
      <c r="R102" s="167">
        <v>1.17506702412869</v>
      </c>
      <c r="S102" s="167">
        <v>5.0172922252010697</v>
      </c>
      <c r="T102" s="167">
        <v>1.12882037533512</v>
      </c>
      <c r="U102" s="167">
        <v>0.48538873994638099</v>
      </c>
      <c r="V102" s="167">
        <v>1.7384718498659499</v>
      </c>
      <c r="W102" s="167">
        <v>0.72801608579088495</v>
      </c>
      <c r="X102" s="167">
        <v>1.2855053498575899E-2</v>
      </c>
      <c r="Y102" s="173">
        <f t="shared" si="13"/>
        <v>8.3515510738203371</v>
      </c>
      <c r="Z102" s="178">
        <v>157</v>
      </c>
      <c r="AA102" s="178">
        <v>101</v>
      </c>
      <c r="AB102" s="174">
        <v>925.43</v>
      </c>
      <c r="AC102" s="194"/>
      <c r="AD102" s="195">
        <v>1.2085289816026501E-2</v>
      </c>
      <c r="AE102" s="176">
        <v>7.7746131937495204E-3</v>
      </c>
      <c r="AF102" s="174">
        <v>5.8944585987261098</v>
      </c>
      <c r="AG102" s="180">
        <v>7.12362404741744E-2</v>
      </c>
      <c r="AH102" s="181">
        <v>0.468918046891805</v>
      </c>
      <c r="AI102" s="181">
        <v>0.30436653043665302</v>
      </c>
      <c r="AJ102" s="174">
        <v>0.47833115233623302</v>
      </c>
      <c r="AK102" s="58">
        <v>0.185667000230929</v>
      </c>
      <c r="AL102" s="58">
        <v>2.4016626895543101E-2</v>
      </c>
      <c r="AM102" s="182">
        <v>0.313062889692864</v>
      </c>
      <c r="AN102" s="258"/>
    </row>
    <row r="103" spans="1:40" ht="16.05" customHeight="1" outlineLevel="1">
      <c r="A103" s="186">
        <v>43444</v>
      </c>
      <c r="B103" s="185" t="s">
        <v>41</v>
      </c>
      <c r="C103" s="188">
        <v>4512</v>
      </c>
      <c r="D103" s="188">
        <v>13059</v>
      </c>
      <c r="E103" s="189">
        <v>2.8942819148936199</v>
      </c>
      <c r="F103" s="167">
        <v>0.65245063404548598</v>
      </c>
      <c r="G103" s="192">
        <v>18.73</v>
      </c>
      <c r="H103" s="192">
        <v>26.1</v>
      </c>
      <c r="I103" s="176">
        <v>0.28000000000000003</v>
      </c>
      <c r="J103" s="176">
        <v>0.13600000000000001</v>
      </c>
      <c r="K103" s="176">
        <v>0.09</v>
      </c>
      <c r="L103" s="174">
        <v>8.3737652193889307</v>
      </c>
      <c r="M103" s="177">
        <v>8.2513209280955699</v>
      </c>
      <c r="N103" s="167">
        <v>14.078129082832501</v>
      </c>
      <c r="O103" s="193">
        <f t="shared" si="12"/>
        <v>0.58610919672256734</v>
      </c>
      <c r="P103" s="167">
        <v>1.9942513718317201</v>
      </c>
      <c r="Q103" s="167">
        <v>2.3228377319048898</v>
      </c>
      <c r="R103" s="167">
        <v>1.18931277763261</v>
      </c>
      <c r="S103" s="167">
        <v>4.6567807682257598</v>
      </c>
      <c r="T103" s="167">
        <v>1.1299973869872</v>
      </c>
      <c r="U103" s="167">
        <v>0.48745753854193902</v>
      </c>
      <c r="V103" s="167">
        <v>1.6088319832767199</v>
      </c>
      <c r="W103" s="167">
        <v>0.68865952443167</v>
      </c>
      <c r="X103" s="167">
        <v>1.2941266559460899E-2</v>
      </c>
      <c r="Y103" s="173">
        <v>8.2642621946550303</v>
      </c>
      <c r="Z103" s="178">
        <v>141</v>
      </c>
      <c r="AA103" s="178">
        <v>91</v>
      </c>
      <c r="AB103" s="174">
        <v>817.59</v>
      </c>
      <c r="AC103" s="194"/>
      <c r="AD103" s="195">
        <v>1.0797151389846099E-2</v>
      </c>
      <c r="AE103" s="176">
        <v>7.7341297189677596E-3</v>
      </c>
      <c r="AF103" s="174">
        <v>5.7985106382978699</v>
      </c>
      <c r="AG103" s="180">
        <v>6.2607397197335199E-2</v>
      </c>
      <c r="AH103" s="181">
        <v>0.434175531914894</v>
      </c>
      <c r="AI103" s="181">
        <v>0.309175531914894</v>
      </c>
      <c r="AJ103" s="174">
        <v>0.49077264721647901</v>
      </c>
      <c r="AK103" s="58">
        <v>0.19120912780457899</v>
      </c>
      <c r="AL103" s="58">
        <v>2.4351022283482699E-2</v>
      </c>
      <c r="AM103" s="182">
        <v>0.292288842943564</v>
      </c>
      <c r="AN103" s="258"/>
    </row>
    <row r="104" spans="1:40" ht="16.05" customHeight="1" outlineLevel="1">
      <c r="A104" s="186">
        <v>43445</v>
      </c>
      <c r="B104" s="185" t="s">
        <v>41</v>
      </c>
      <c r="C104" s="188">
        <v>4245</v>
      </c>
      <c r="D104" s="188">
        <v>12786</v>
      </c>
      <c r="E104" s="189">
        <v>3.0120141342756201</v>
      </c>
      <c r="F104" s="167">
        <v>0.75533392351008899</v>
      </c>
      <c r="G104" s="192">
        <v>21.46</v>
      </c>
      <c r="H104" s="192">
        <v>31.94</v>
      </c>
      <c r="I104" s="176">
        <v>0.29399999999999998</v>
      </c>
      <c r="J104" s="176">
        <v>0.14799999999999999</v>
      </c>
      <c r="K104" s="176">
        <v>8.5000000000000006E-2</v>
      </c>
      <c r="L104" s="174">
        <v>8.7196934146722995</v>
      </c>
      <c r="M104" s="177">
        <v>8.1641639292976702</v>
      </c>
      <c r="N104" s="167">
        <v>14.194587979331001</v>
      </c>
      <c r="O104" s="193">
        <f t="shared" si="12"/>
        <v>0.57516033161270053</v>
      </c>
      <c r="P104" s="167">
        <v>1.97810715257003</v>
      </c>
      <c r="Q104" s="167">
        <v>2.30391623606201</v>
      </c>
      <c r="R104" s="167">
        <v>1.19485994016862</v>
      </c>
      <c r="S104" s="167">
        <v>4.6845254283383202</v>
      </c>
      <c r="T104" s="167">
        <v>1.09137884144683</v>
      </c>
      <c r="U104" s="167">
        <v>0.51903725863475603</v>
      </c>
      <c r="V104" s="167">
        <v>1.65066630405222</v>
      </c>
      <c r="W104" s="167">
        <v>0.77209681805819996</v>
      </c>
      <c r="X104" s="167">
        <v>5.7093696230251798E-3</v>
      </c>
      <c r="Y104" s="173">
        <v>8.1698732989207006</v>
      </c>
      <c r="Z104" s="178">
        <v>156</v>
      </c>
      <c r="AA104" s="178">
        <v>109</v>
      </c>
      <c r="AB104" s="174">
        <v>1010.44</v>
      </c>
      <c r="AC104" s="194"/>
      <c r="AD104" s="195">
        <v>1.2200844673862E-2</v>
      </c>
      <c r="AE104" s="176">
        <v>8.5249491631471906E-3</v>
      </c>
      <c r="AF104" s="174">
        <v>6.4771794871794901</v>
      </c>
      <c r="AG104" s="180">
        <v>7.9027060847802297E-2</v>
      </c>
      <c r="AH104" s="181">
        <v>0.43133097762073003</v>
      </c>
      <c r="AI104" s="181">
        <v>0.30318021201413398</v>
      </c>
      <c r="AJ104" s="174">
        <v>0.555685906460191</v>
      </c>
      <c r="AK104" s="58">
        <v>0.22313467855466901</v>
      </c>
      <c r="AL104" s="58">
        <v>3.2144533083059597E-2</v>
      </c>
      <c r="AM104" s="182">
        <v>0.225559205380885</v>
      </c>
      <c r="AN104" s="258"/>
    </row>
    <row r="105" spans="1:40" s="166" customFormat="1" ht="16.05" customHeight="1" outlineLevel="1">
      <c r="A105" s="196">
        <v>43446</v>
      </c>
      <c r="B105" s="197" t="s">
        <v>41</v>
      </c>
      <c r="C105" s="198">
        <v>4003</v>
      </c>
      <c r="D105" s="198">
        <v>12465</v>
      </c>
      <c r="E105" s="200">
        <v>3.1139145640769401</v>
      </c>
      <c r="F105" s="166">
        <v>0.76127670878459697</v>
      </c>
      <c r="G105" s="201">
        <v>19.11</v>
      </c>
      <c r="H105" s="201">
        <v>25.99</v>
      </c>
      <c r="I105" s="203">
        <v>0.29199999999999998</v>
      </c>
      <c r="J105" s="203">
        <v>0.14899999999999999</v>
      </c>
      <c r="K105" s="203">
        <v>8.5000000000000006E-2</v>
      </c>
      <c r="L105" s="166">
        <v>8.25070196550341</v>
      </c>
      <c r="M105" s="204">
        <v>7.4428399518652197</v>
      </c>
      <c r="N105" s="166">
        <v>13.2271171941831</v>
      </c>
      <c r="O105" s="205">
        <f t="shared" si="12"/>
        <v>0.56269554753309081</v>
      </c>
      <c r="P105" s="166">
        <v>1.91745081266039</v>
      </c>
      <c r="Q105" s="166">
        <v>2.1459937268320499</v>
      </c>
      <c r="R105" s="166">
        <v>1.0986598232107201</v>
      </c>
      <c r="S105" s="166">
        <v>4.2985457656116299</v>
      </c>
      <c r="T105" s="166">
        <v>1.0604505275164</v>
      </c>
      <c r="U105" s="166">
        <v>0.52266894781864803</v>
      </c>
      <c r="V105" s="166">
        <v>1.50513259195894</v>
      </c>
      <c r="W105" s="166">
        <v>0.67821499857428003</v>
      </c>
      <c r="X105" s="166">
        <v>1.0348977135980699E-2</v>
      </c>
      <c r="Y105" s="200">
        <v>7.4531889290012003</v>
      </c>
      <c r="Z105" s="206">
        <v>169</v>
      </c>
      <c r="AA105" s="206">
        <v>116</v>
      </c>
      <c r="AB105" s="166">
        <v>1164.31</v>
      </c>
      <c r="AC105" s="209"/>
      <c r="AD105" s="210">
        <v>1.35579622944244E-2</v>
      </c>
      <c r="AE105" s="203">
        <v>9.3060569594865597E-3</v>
      </c>
      <c r="AF105" s="166">
        <v>6.8894082840236699</v>
      </c>
      <c r="AG105" s="211">
        <v>9.3406337745687906E-2</v>
      </c>
      <c r="AH105" s="212">
        <v>0.43467399450412197</v>
      </c>
      <c r="AI105" s="212">
        <v>0.32450662003497399</v>
      </c>
      <c r="AJ105" s="166">
        <v>0.61331728840754096</v>
      </c>
      <c r="AK105" s="213">
        <v>0.25262735659847602</v>
      </c>
      <c r="AL105" s="213">
        <v>3.7785800240673899E-2</v>
      </c>
      <c r="AM105" s="214">
        <v>0</v>
      </c>
    </row>
    <row r="106" spans="1:40" ht="16.05" customHeight="1" outlineLevel="1">
      <c r="A106" s="186">
        <v>43447</v>
      </c>
      <c r="B106" s="187" t="s">
        <v>41</v>
      </c>
      <c r="C106" s="188">
        <v>4009</v>
      </c>
      <c r="D106" s="188">
        <v>12405</v>
      </c>
      <c r="E106" s="189">
        <v>3.0942878523322501</v>
      </c>
      <c r="F106" s="167">
        <v>0.70267320580411097</v>
      </c>
      <c r="G106" s="192">
        <v>22.96</v>
      </c>
      <c r="H106" s="192">
        <v>33.229999999999997</v>
      </c>
      <c r="I106" s="176">
        <v>0.28399999999999997</v>
      </c>
      <c r="J106" s="176">
        <v>0.14299999999999999</v>
      </c>
      <c r="K106" s="176">
        <v>8.3000000000000004E-2</v>
      </c>
      <c r="L106" s="174">
        <v>8.1507456670697298</v>
      </c>
      <c r="M106" s="177">
        <v>7.1067311567916196</v>
      </c>
      <c r="N106" s="167">
        <v>12.7489515545915</v>
      </c>
      <c r="O106" s="193">
        <f t="shared" si="12"/>
        <v>0.55743651753325163</v>
      </c>
      <c r="P106" s="167">
        <v>1.8879248011569101</v>
      </c>
      <c r="Q106" s="167">
        <v>2.1276934201012301</v>
      </c>
      <c r="R106" s="167">
        <v>1.03383947939262</v>
      </c>
      <c r="S106" s="167">
        <v>4.0271872740419399</v>
      </c>
      <c r="T106" s="167">
        <v>1.0147505422993499</v>
      </c>
      <c r="U106" s="167">
        <v>0.52595806218365904</v>
      </c>
      <c r="V106" s="167">
        <v>1.4656543745480799</v>
      </c>
      <c r="W106" s="167">
        <v>0.66594360086767901</v>
      </c>
      <c r="X106" s="167">
        <v>5.15920999596937E-3</v>
      </c>
      <c r="Y106" s="173">
        <v>7.1118903667875903</v>
      </c>
      <c r="Z106" s="178">
        <v>165</v>
      </c>
      <c r="AA106" s="178">
        <v>111</v>
      </c>
      <c r="AB106" s="174">
        <v>884.35</v>
      </c>
      <c r="AC106" s="194"/>
      <c r="AD106" s="195">
        <v>1.33010882708585E-2</v>
      </c>
      <c r="AE106" s="176">
        <v>8.9480048367593708E-3</v>
      </c>
      <c r="AF106" s="174">
        <v>5.3596969696969703</v>
      </c>
      <c r="AG106" s="180">
        <v>7.1289802498992305E-2</v>
      </c>
      <c r="AH106" s="181">
        <v>0.41556497879770499</v>
      </c>
      <c r="AI106" s="181">
        <v>0.305313045647294</v>
      </c>
      <c r="AJ106" s="174">
        <v>0.59226118500604596</v>
      </c>
      <c r="AK106" s="58">
        <v>0.26247480854494198</v>
      </c>
      <c r="AL106" s="58">
        <v>3.9177750906892399E-2</v>
      </c>
      <c r="AM106" s="182">
        <v>0</v>
      </c>
    </row>
    <row r="107" spans="1:40" ht="16.05" customHeight="1" outlineLevel="1">
      <c r="A107" s="186">
        <v>43448</v>
      </c>
      <c r="B107" s="187" t="s">
        <v>41</v>
      </c>
      <c r="C107" s="188">
        <v>4536</v>
      </c>
      <c r="D107" s="188">
        <v>12977</v>
      </c>
      <c r="E107" s="189">
        <v>2.8608906525573201</v>
      </c>
      <c r="F107" s="167">
        <v>0.66324406503814404</v>
      </c>
      <c r="G107" s="192">
        <v>18.57</v>
      </c>
      <c r="H107" s="192">
        <v>25.95</v>
      </c>
      <c r="I107" s="176">
        <v>0.28000000000000003</v>
      </c>
      <c r="J107" s="176">
        <v>0.151</v>
      </c>
      <c r="K107" s="176">
        <v>0.09</v>
      </c>
      <c r="L107" s="174">
        <v>8.1840949371965799</v>
      </c>
      <c r="M107" s="177">
        <v>6.8579795021961898</v>
      </c>
      <c r="N107" s="167">
        <v>12.611024514666299</v>
      </c>
      <c r="O107" s="193">
        <f t="shared" si="12"/>
        <v>0.54380827618093475</v>
      </c>
      <c r="P107" s="167">
        <v>1.8832365027632101</v>
      </c>
      <c r="Q107" s="167">
        <v>2.0715601530395298</v>
      </c>
      <c r="R107" s="167">
        <v>0.97789428935808398</v>
      </c>
      <c r="S107" s="167">
        <v>3.9343913844409801</v>
      </c>
      <c r="T107" s="167">
        <v>0.97151764205753199</v>
      </c>
      <c r="U107" s="167">
        <v>0.51721694771149196</v>
      </c>
      <c r="V107" s="167">
        <v>1.48377497520193</v>
      </c>
      <c r="W107" s="167">
        <v>0.77143262009352398</v>
      </c>
      <c r="X107" s="167">
        <v>1.29459813516221E-2</v>
      </c>
      <c r="Y107" s="173">
        <v>6.8709254835478202</v>
      </c>
      <c r="Z107" s="178">
        <v>167</v>
      </c>
      <c r="AA107" s="178">
        <v>108</v>
      </c>
      <c r="AB107" s="174">
        <v>1057.33</v>
      </c>
      <c r="AC107" s="194"/>
      <c r="AD107" s="195">
        <v>1.28689219388148E-2</v>
      </c>
      <c r="AE107" s="176">
        <v>8.3224165831856396E-3</v>
      </c>
      <c r="AF107" s="174">
        <v>6.3313173652694603</v>
      </c>
      <c r="AG107" s="180">
        <v>8.1477228943515403E-2</v>
      </c>
      <c r="AH107" s="181">
        <v>0.41093474426807802</v>
      </c>
      <c r="AI107" s="181">
        <v>0.27491181657848301</v>
      </c>
      <c r="AJ107" s="174">
        <v>0.57863913076982398</v>
      </c>
      <c r="AK107" s="58">
        <v>0.24057948678431099</v>
      </c>
      <c r="AL107" s="58">
        <v>3.6294983432226202E-2</v>
      </c>
      <c r="AM107" s="182">
        <v>0</v>
      </c>
    </row>
    <row r="108" spans="1:40" ht="16.05" customHeight="1" outlineLevel="1">
      <c r="A108" s="186">
        <v>43449</v>
      </c>
      <c r="B108" s="185" t="s">
        <v>41</v>
      </c>
      <c r="C108" s="188">
        <v>5484</v>
      </c>
      <c r="D108" s="188">
        <v>14083</v>
      </c>
      <c r="E108" s="189">
        <v>2.5680160466812501</v>
      </c>
      <c r="F108" s="167">
        <v>0.88312177547397597</v>
      </c>
      <c r="G108" s="192">
        <v>18.27</v>
      </c>
      <c r="H108" s="192">
        <v>25.22</v>
      </c>
      <c r="I108" s="176">
        <v>0.28100000000000003</v>
      </c>
      <c r="J108" s="176">
        <v>0.151</v>
      </c>
      <c r="K108" s="176">
        <v>8.6999999999999994E-2</v>
      </c>
      <c r="L108" s="174">
        <v>9.5918483277710695</v>
      </c>
      <c r="M108" s="177">
        <v>8.76631399559753</v>
      </c>
      <c r="N108" s="167">
        <v>16.218602207041499</v>
      </c>
      <c r="O108" s="193">
        <f t="shared" si="12"/>
        <v>0.54050983455229762</v>
      </c>
      <c r="P108" s="167">
        <v>2.22766684182869</v>
      </c>
      <c r="Q108" s="167">
        <v>2.5026274303731002</v>
      </c>
      <c r="R108" s="167">
        <v>1.0906463478717801</v>
      </c>
      <c r="S108" s="167">
        <v>5.9402259590120901</v>
      </c>
      <c r="T108" s="167">
        <v>1.2456647398843901</v>
      </c>
      <c r="U108" s="167">
        <v>0.44613767735155002</v>
      </c>
      <c r="V108" s="167">
        <v>1.98699421965318</v>
      </c>
      <c r="W108" s="167">
        <v>0.77863899106673695</v>
      </c>
      <c r="X108" s="167">
        <v>1.5763686714478399E-2</v>
      </c>
      <c r="Y108" s="173">
        <v>8.7820776823120106</v>
      </c>
      <c r="Z108" s="178">
        <v>235</v>
      </c>
      <c r="AA108" s="178">
        <v>153</v>
      </c>
      <c r="AB108" s="174">
        <v>1692.65</v>
      </c>
      <c r="AC108" s="194"/>
      <c r="AD108" s="195">
        <v>1.6686785486047E-2</v>
      </c>
      <c r="AE108" s="176">
        <v>1.0864162465383799E-2</v>
      </c>
      <c r="AF108" s="174">
        <v>7.2027659574468101</v>
      </c>
      <c r="AG108" s="180">
        <v>0.120191010438117</v>
      </c>
      <c r="AH108" s="181">
        <v>0.38967906637490901</v>
      </c>
      <c r="AI108" s="181">
        <v>0.26312910284463897</v>
      </c>
      <c r="AJ108" s="174">
        <v>0.46233046936022199</v>
      </c>
      <c r="AK108" s="58">
        <v>0.20109351700632</v>
      </c>
      <c r="AL108" s="58">
        <v>2.7692963147056701E-2</v>
      </c>
      <c r="AM108" s="182">
        <v>0.314066605126749</v>
      </c>
    </row>
    <row r="109" spans="1:40" ht="16.05" customHeight="1" outlineLevel="1">
      <c r="A109" s="186">
        <v>43450</v>
      </c>
      <c r="B109" s="185" t="s">
        <v>41</v>
      </c>
      <c r="C109" s="188">
        <v>6547</v>
      </c>
      <c r="D109" s="188">
        <v>15880</v>
      </c>
      <c r="E109" s="189">
        <v>2.4255384145410099</v>
      </c>
      <c r="F109" s="167">
        <v>0.90990243324937004</v>
      </c>
      <c r="G109" s="192">
        <v>18.260000000000002</v>
      </c>
      <c r="H109" s="192">
        <v>25.77</v>
      </c>
      <c r="I109" s="176">
        <v>0.26500000000000001</v>
      </c>
      <c r="J109" s="176">
        <v>0.13600000000000001</v>
      </c>
      <c r="K109" s="176">
        <v>8.5000000000000006E-2</v>
      </c>
      <c r="L109" s="174">
        <v>9.1581863979848901</v>
      </c>
      <c r="M109" s="177">
        <v>8.5841939546599502</v>
      </c>
      <c r="N109" s="167">
        <v>16.199286987522299</v>
      </c>
      <c r="O109" s="193">
        <f t="shared" si="12"/>
        <v>0.5299118387909314</v>
      </c>
      <c r="P109" s="167">
        <v>2.27843137254902</v>
      </c>
      <c r="Q109" s="167">
        <v>2.7327391562685701</v>
      </c>
      <c r="R109" s="167">
        <v>1.14236482471777</v>
      </c>
      <c r="S109" s="167">
        <v>5.6632204396910302</v>
      </c>
      <c r="T109" s="167">
        <v>1.20439691027926</v>
      </c>
      <c r="U109" s="167">
        <v>0.46999405822935197</v>
      </c>
      <c r="V109" s="167">
        <v>1.8963755199049299</v>
      </c>
      <c r="W109" s="167">
        <v>0.81176470588235305</v>
      </c>
      <c r="X109" s="167">
        <v>1.0390428211586899E-2</v>
      </c>
      <c r="Y109" s="173">
        <v>8.59458438287154</v>
      </c>
      <c r="Z109" s="178">
        <v>258</v>
      </c>
      <c r="AA109" s="178">
        <v>168</v>
      </c>
      <c r="AB109" s="174">
        <v>2282.42</v>
      </c>
      <c r="AC109" s="194"/>
      <c r="AD109" s="195">
        <v>1.62468513853904E-2</v>
      </c>
      <c r="AE109" s="176">
        <v>1.0579345088161199E-2</v>
      </c>
      <c r="AF109" s="174">
        <v>8.8465891472868208</v>
      </c>
      <c r="AG109" s="180">
        <v>0.143729219143577</v>
      </c>
      <c r="AH109" s="181">
        <v>0.402168932335421</v>
      </c>
      <c r="AI109" s="181">
        <v>0.26775622422483603</v>
      </c>
      <c r="AJ109" s="174">
        <v>0.47285894206549101</v>
      </c>
      <c r="AK109" s="58">
        <v>0.19754408060453399</v>
      </c>
      <c r="AL109" s="58">
        <v>2.71410579345088E-2</v>
      </c>
      <c r="AM109" s="182">
        <v>0.28211586901763203</v>
      </c>
    </row>
    <row r="110" spans="1:40" ht="16.05" customHeight="1" outlineLevel="1">
      <c r="A110" s="186">
        <v>43451</v>
      </c>
      <c r="B110" s="185" t="s">
        <v>41</v>
      </c>
      <c r="C110" s="188">
        <v>6569</v>
      </c>
      <c r="D110" s="188">
        <v>16913</v>
      </c>
      <c r="E110" s="189">
        <v>2.57466889937586</v>
      </c>
      <c r="F110" s="167">
        <v>0.98795618530124696</v>
      </c>
      <c r="G110" s="192">
        <v>19.510000000000002</v>
      </c>
      <c r="H110" s="192">
        <v>27.91</v>
      </c>
      <c r="I110" s="176">
        <v>0.26700000000000002</v>
      </c>
      <c r="J110" s="176">
        <v>0.14099999999999999</v>
      </c>
      <c r="K110" s="176">
        <v>0.09</v>
      </c>
      <c r="L110" s="174">
        <v>9.3192810264293708</v>
      </c>
      <c r="M110" s="177">
        <v>8.9626914208005708</v>
      </c>
      <c r="N110" s="167">
        <v>16.4107394175598</v>
      </c>
      <c r="O110" s="193">
        <f t="shared" si="12"/>
        <v>0.54614793354224622</v>
      </c>
      <c r="P110" s="167">
        <v>2.2545198657572798</v>
      </c>
      <c r="Q110" s="167">
        <v>2.8467034751542699</v>
      </c>
      <c r="R110" s="167">
        <v>1.2143553101656399</v>
      </c>
      <c r="S110" s="167">
        <v>5.7032586337555502</v>
      </c>
      <c r="T110" s="167">
        <v>1.2107827216628799</v>
      </c>
      <c r="U110" s="167">
        <v>0.46768431308866498</v>
      </c>
      <c r="V110" s="167">
        <v>1.9109018079463</v>
      </c>
      <c r="W110" s="167">
        <v>0.80253329002923002</v>
      </c>
      <c r="X110" s="167">
        <v>1.14113403890498E-2</v>
      </c>
      <c r="Y110" s="173">
        <v>8.97410276118962</v>
      </c>
      <c r="Z110" s="178">
        <v>295</v>
      </c>
      <c r="AA110" s="178">
        <v>186</v>
      </c>
      <c r="AB110" s="174">
        <v>2688.05</v>
      </c>
      <c r="AC110" s="194"/>
      <c r="AD110" s="195">
        <v>1.7442204221604699E-2</v>
      </c>
      <c r="AE110" s="176">
        <v>1.09974575770118E-2</v>
      </c>
      <c r="AF110" s="174">
        <v>9.1120338983050804</v>
      </c>
      <c r="AG110" s="180">
        <v>0.15893395612842201</v>
      </c>
      <c r="AH110" s="181">
        <v>0.39655959811234598</v>
      </c>
      <c r="AI110" s="181">
        <v>0.27812452428071199</v>
      </c>
      <c r="AJ110" s="174">
        <v>0.53574173712528805</v>
      </c>
      <c r="AK110" s="58">
        <v>0.215632945071838</v>
      </c>
      <c r="AL110" s="58">
        <v>3.1809850410926502E-2</v>
      </c>
      <c r="AM110" s="182">
        <v>0.27511381777331001</v>
      </c>
    </row>
    <row r="111" spans="1:40" ht="16.05" customHeight="1" outlineLevel="1">
      <c r="A111" s="186">
        <v>43452</v>
      </c>
      <c r="B111" s="185" t="s">
        <v>41</v>
      </c>
      <c r="C111" s="188">
        <v>6106</v>
      </c>
      <c r="D111" s="188">
        <v>16796</v>
      </c>
      <c r="E111" s="189">
        <v>2.7507369800196502</v>
      </c>
      <c r="F111" s="167">
        <v>0.917829846808764</v>
      </c>
      <c r="G111" s="192">
        <v>22.99</v>
      </c>
      <c r="H111" s="192">
        <v>33.74</v>
      </c>
      <c r="I111" s="176">
        <v>0.28100000000000003</v>
      </c>
      <c r="J111" s="176">
        <v>0.154</v>
      </c>
      <c r="K111" s="176">
        <v>8.6999999999999994E-2</v>
      </c>
      <c r="L111" s="174">
        <v>9.3579423672302902</v>
      </c>
      <c r="M111" s="177">
        <v>8.3663372231483706</v>
      </c>
      <c r="N111" s="167">
        <v>15.2210788561525</v>
      </c>
      <c r="O111" s="193">
        <f t="shared" si="12"/>
        <v>0.54965467968563997</v>
      </c>
      <c r="P111" s="167">
        <v>2.1262998266897699</v>
      </c>
      <c r="Q111" s="167">
        <v>2.6494800693240901</v>
      </c>
      <c r="R111" s="167">
        <v>1.1806759098786801</v>
      </c>
      <c r="S111" s="167">
        <v>5.0957538994800702</v>
      </c>
      <c r="T111" s="167">
        <v>1.12673310225303</v>
      </c>
      <c r="U111" s="167">
        <v>0.50769064124783403</v>
      </c>
      <c r="V111" s="167">
        <v>1.76451473136915</v>
      </c>
      <c r="W111" s="167">
        <v>0.76993067590987896</v>
      </c>
      <c r="X111" s="167">
        <v>1.35746606334842E-2</v>
      </c>
      <c r="Y111" s="173">
        <v>8.3799118837818494</v>
      </c>
      <c r="Z111" s="178">
        <v>283</v>
      </c>
      <c r="AA111" s="178">
        <v>197</v>
      </c>
      <c r="AB111" s="174">
        <v>2259.17</v>
      </c>
      <c r="AC111" s="194"/>
      <c r="AD111" s="195">
        <v>1.6849249821386001E-2</v>
      </c>
      <c r="AE111" s="176">
        <v>1.1728983091212199E-2</v>
      </c>
      <c r="AF111" s="174">
        <v>7.9829328621908102</v>
      </c>
      <c r="AG111" s="180">
        <v>0.13450643010240501</v>
      </c>
      <c r="AH111" s="181">
        <v>0.401572224041926</v>
      </c>
      <c r="AI111" s="181">
        <v>0.29692106125122802</v>
      </c>
      <c r="AJ111" s="174">
        <v>0.61336032388663997</v>
      </c>
      <c r="AK111" s="58">
        <v>0.236544415336985</v>
      </c>
      <c r="AL111" s="58">
        <v>3.3460347701833801E-2</v>
      </c>
      <c r="AM111" s="182">
        <v>0.23398428197189799</v>
      </c>
    </row>
    <row r="112" spans="1:40" s="166" customFormat="1" ht="16.05" customHeight="1" outlineLevel="1">
      <c r="A112" s="196">
        <v>43453</v>
      </c>
      <c r="B112" s="197" t="s">
        <v>41</v>
      </c>
      <c r="C112" s="198">
        <v>5804</v>
      </c>
      <c r="D112" s="198">
        <v>16482</v>
      </c>
      <c r="E112" s="200">
        <v>2.8397656788421801</v>
      </c>
      <c r="F112" s="166">
        <v>0.85767100109210004</v>
      </c>
      <c r="G112" s="201">
        <v>23.84</v>
      </c>
      <c r="H112" s="201">
        <v>32.61</v>
      </c>
      <c r="I112" s="203">
        <v>0.29099999999999998</v>
      </c>
      <c r="J112" s="203">
        <v>0.155</v>
      </c>
      <c r="K112" s="203">
        <v>8.8999999999999996E-2</v>
      </c>
      <c r="L112" s="166">
        <v>9.27338915180197</v>
      </c>
      <c r="M112" s="204">
        <v>7.1234073534765203</v>
      </c>
      <c r="N112" s="166">
        <v>13.7126839523476</v>
      </c>
      <c r="O112" s="205">
        <f t="shared" si="12"/>
        <v>0.51947579177284242</v>
      </c>
      <c r="P112" s="166">
        <v>1.98049521139921</v>
      </c>
      <c r="Q112" s="166">
        <v>2.3225881803316999</v>
      </c>
      <c r="R112" s="166">
        <v>1.0454333099743101</v>
      </c>
      <c r="S112" s="166">
        <v>4.4771081523008602</v>
      </c>
      <c r="T112" s="166">
        <v>1.0443821537024101</v>
      </c>
      <c r="U112" s="166">
        <v>0.53118430273300599</v>
      </c>
      <c r="V112" s="166">
        <v>1.58654519971969</v>
      </c>
      <c r="W112" s="166">
        <v>0.72494744218640506</v>
      </c>
      <c r="X112" s="166">
        <v>1.29231889333819E-2</v>
      </c>
      <c r="Y112" s="200">
        <v>7.1363305424099002</v>
      </c>
      <c r="Z112" s="206">
        <v>272</v>
      </c>
      <c r="AA112" s="206">
        <v>171</v>
      </c>
      <c r="AB112" s="166">
        <v>2119.2800000000002</v>
      </c>
      <c r="AC112" s="209"/>
      <c r="AD112" s="210">
        <v>1.6502851595680101E-2</v>
      </c>
      <c r="AE112" s="203">
        <v>1.0374954495813601E-2</v>
      </c>
      <c r="AF112" s="166">
        <v>7.7914705882352902</v>
      </c>
      <c r="AG112" s="211">
        <v>0.12858148282975401</v>
      </c>
      <c r="AH112" s="212">
        <v>0.42229496898690599</v>
      </c>
      <c r="AI112" s="212">
        <v>0.30392832529290098</v>
      </c>
      <c r="AJ112" s="166">
        <v>0.67431136997937102</v>
      </c>
      <c r="AK112" s="213">
        <v>0.268778060914937</v>
      </c>
      <c r="AL112" s="213">
        <v>3.7070743841766798E-2</v>
      </c>
      <c r="AM112" s="214">
        <v>0</v>
      </c>
    </row>
    <row r="113" spans="1:39" ht="16.05" customHeight="1" outlineLevel="1">
      <c r="A113" s="186">
        <v>43454</v>
      </c>
      <c r="B113" s="187" t="s">
        <v>41</v>
      </c>
      <c r="C113" s="188">
        <v>5226</v>
      </c>
      <c r="D113" s="188">
        <v>15961</v>
      </c>
      <c r="E113" s="189">
        <v>3.0541523153463501</v>
      </c>
      <c r="F113" s="167">
        <v>0.96106076154376296</v>
      </c>
      <c r="G113" s="192">
        <v>21.74</v>
      </c>
      <c r="H113" s="192">
        <v>29.22</v>
      </c>
      <c r="I113" s="176">
        <v>0.28000000000000003</v>
      </c>
      <c r="J113" s="176">
        <v>0.152</v>
      </c>
      <c r="K113" s="176">
        <v>9.1999999999999998E-2</v>
      </c>
      <c r="L113" s="174">
        <v>9.0409122235448898</v>
      </c>
      <c r="M113" s="177">
        <v>8.1581981078879799</v>
      </c>
      <c r="N113" s="167">
        <v>14.637252697841699</v>
      </c>
      <c r="O113" s="193">
        <f t="shared" si="12"/>
        <v>0.55735856149364205</v>
      </c>
      <c r="P113" s="167">
        <v>2.06823291366906</v>
      </c>
      <c r="Q113" s="167">
        <v>2.4576214028777001</v>
      </c>
      <c r="R113" s="167">
        <v>1.11083633093525</v>
      </c>
      <c r="S113" s="167">
        <v>4.8365557553956799</v>
      </c>
      <c r="T113" s="167">
        <v>1.09903327338129</v>
      </c>
      <c r="U113" s="167">
        <v>0.54462679856115104</v>
      </c>
      <c r="V113" s="167">
        <v>1.72684352517986</v>
      </c>
      <c r="W113" s="167">
        <v>0.793502697841727</v>
      </c>
      <c r="X113" s="167">
        <v>1.12774888791429E-2</v>
      </c>
      <c r="Y113" s="173">
        <v>8.1694755967671195</v>
      </c>
      <c r="Z113" s="178">
        <v>308</v>
      </c>
      <c r="AA113" s="178">
        <v>200</v>
      </c>
      <c r="AB113" s="174">
        <v>2110.92</v>
      </c>
      <c r="AC113" s="194"/>
      <c r="AD113" s="195">
        <v>1.92970365265334E-2</v>
      </c>
      <c r="AE113" s="176">
        <v>1.25305431990477E-2</v>
      </c>
      <c r="AF113" s="174">
        <v>6.85363636363636</v>
      </c>
      <c r="AG113" s="180">
        <v>0.132254871248669</v>
      </c>
      <c r="AH113" s="181">
        <v>0.41676234213547603</v>
      </c>
      <c r="AI113" s="181">
        <v>0.31400688863375398</v>
      </c>
      <c r="AJ113" s="174">
        <v>0.71962909592130797</v>
      </c>
      <c r="AK113" s="58">
        <v>0.27717561556293502</v>
      </c>
      <c r="AL113" s="58">
        <v>3.6839797005200202E-2</v>
      </c>
      <c r="AM113" s="182">
        <v>0</v>
      </c>
    </row>
    <row r="114" spans="1:39" ht="16.05" customHeight="1" outlineLevel="1">
      <c r="A114" s="186">
        <v>43455</v>
      </c>
      <c r="B114" s="187" t="s">
        <v>41</v>
      </c>
      <c r="C114" s="188">
        <v>5245</v>
      </c>
      <c r="D114" s="188">
        <v>15874</v>
      </c>
      <c r="E114" s="189">
        <v>3.02650142993327</v>
      </c>
      <c r="F114" s="167">
        <v>0.89189769188610302</v>
      </c>
      <c r="G114" s="192">
        <v>20.87</v>
      </c>
      <c r="H114" s="192">
        <v>27.9</v>
      </c>
      <c r="I114" s="176">
        <v>0.28100000000000003</v>
      </c>
      <c r="J114" s="176">
        <v>0.14000000000000001</v>
      </c>
      <c r="K114" s="176">
        <v>7.8E-2</v>
      </c>
      <c r="L114" s="174">
        <v>8.4312712611818093</v>
      </c>
      <c r="M114" s="177">
        <v>7.6015497039183604</v>
      </c>
      <c r="N114" s="167">
        <v>13.8157774215709</v>
      </c>
      <c r="O114" s="193">
        <f t="shared" si="12"/>
        <v>0.55020788711099822</v>
      </c>
      <c r="P114" s="167">
        <v>1.97595603389054</v>
      </c>
      <c r="Q114" s="167">
        <v>2.3881383100526699</v>
      </c>
      <c r="R114" s="167">
        <v>1.0059537439890101</v>
      </c>
      <c r="S114" s="167">
        <v>4.5488893977559002</v>
      </c>
      <c r="T114" s="167">
        <v>1.0245019464163001</v>
      </c>
      <c r="U114" s="167">
        <v>0.51648729104648505</v>
      </c>
      <c r="V114" s="167">
        <v>1.59663384474468</v>
      </c>
      <c r="W114" s="167">
        <v>0.75921685367529201</v>
      </c>
      <c r="X114" s="167">
        <v>9.3864180420813893E-3</v>
      </c>
      <c r="Y114" s="173">
        <v>7.6109361219604397</v>
      </c>
      <c r="Z114" s="178">
        <v>269</v>
      </c>
      <c r="AA114" s="178">
        <v>182</v>
      </c>
      <c r="AB114" s="174">
        <v>2076.31</v>
      </c>
      <c r="AC114" s="194"/>
      <c r="AD114" s="195">
        <v>1.6945949351140199E-2</v>
      </c>
      <c r="AE114" s="176">
        <f t="shared" ref="AE114:AE123" si="19">AA114/D114</f>
        <v>1.1465289152072572E-2</v>
      </c>
      <c r="AF114" s="174">
        <f t="shared" ref="AF114:AF123" si="20">AB114/Z114</f>
        <v>7.7186245353159846</v>
      </c>
      <c r="AG114" s="180">
        <f t="shared" ref="AG114:AG123" si="21">AD114*AF114</f>
        <v>0.13079942043593273</v>
      </c>
      <c r="AH114" s="181">
        <v>0.391039084842707</v>
      </c>
      <c r="AI114" s="181">
        <v>0.26939942802669198</v>
      </c>
      <c r="AJ114" s="174">
        <v>0.62945697366763298</v>
      </c>
      <c r="AK114" s="58">
        <v>0.27214312712611799</v>
      </c>
      <c r="AL114" s="58">
        <v>3.4710847927428498E-2</v>
      </c>
      <c r="AM114" s="182">
        <v>0</v>
      </c>
    </row>
    <row r="115" spans="1:39" ht="16.05" customHeight="1" outlineLevel="1">
      <c r="A115" s="186">
        <v>43456</v>
      </c>
      <c r="B115" s="185" t="s">
        <v>41</v>
      </c>
      <c r="C115" s="188">
        <v>8766</v>
      </c>
      <c r="D115" s="188">
        <v>19411</v>
      </c>
      <c r="E115" s="189">
        <v>2.2143509012092202</v>
      </c>
      <c r="F115" s="167">
        <v>0.941623608263356</v>
      </c>
      <c r="G115" s="192">
        <v>19.760000000000002</v>
      </c>
      <c r="H115" s="192">
        <v>26.75</v>
      </c>
      <c r="I115" s="176">
        <v>0.27600000000000002</v>
      </c>
      <c r="J115" s="176">
        <v>0.13300000000000001</v>
      </c>
      <c r="K115" s="176">
        <v>7.2999999999999995E-2</v>
      </c>
      <c r="L115" s="174">
        <v>8.8801710370408493</v>
      </c>
      <c r="M115" s="177">
        <v>7.6562258513214196</v>
      </c>
      <c r="N115" s="167">
        <v>14.7391649310721</v>
      </c>
      <c r="O115" s="193">
        <f t="shared" si="12"/>
        <v>0.51944773581989623</v>
      </c>
      <c r="P115" s="167">
        <v>2.21055241495587</v>
      </c>
      <c r="Q115" s="167">
        <v>2.4854705940692301</v>
      </c>
      <c r="R115" s="167">
        <v>1.0994743627888499</v>
      </c>
      <c r="S115" s="167">
        <v>5.0290588118615496</v>
      </c>
      <c r="T115" s="167">
        <v>0.94773380938212803</v>
      </c>
      <c r="U115" s="167">
        <v>0.45551919071704799</v>
      </c>
      <c r="V115" s="167">
        <v>1.7693146880888599</v>
      </c>
      <c r="W115" s="167">
        <v>0.742041059208569</v>
      </c>
      <c r="X115" s="167">
        <v>9.11854103343465E-3</v>
      </c>
      <c r="Y115" s="173">
        <v>7.6653443923548501</v>
      </c>
      <c r="Z115" s="178">
        <v>325</v>
      </c>
      <c r="AA115" s="178">
        <v>212</v>
      </c>
      <c r="AB115" s="174">
        <v>3224.75</v>
      </c>
      <c r="AC115" s="194"/>
      <c r="AD115" s="195">
        <f t="shared" ref="AD115:AD123" si="22">Z115/D115</f>
        <v>1.6743083818453453E-2</v>
      </c>
      <c r="AE115" s="176">
        <f t="shared" si="19"/>
        <v>1.0921642367729637E-2</v>
      </c>
      <c r="AF115" s="174">
        <f t="shared" si="20"/>
        <v>9.9223076923076921</v>
      </c>
      <c r="AG115" s="180">
        <f t="shared" si="21"/>
        <v>0.16613002936479315</v>
      </c>
      <c r="AH115" s="181">
        <v>0.39790098106319899</v>
      </c>
      <c r="AI115" s="181">
        <v>0.208418891170431</v>
      </c>
      <c r="AJ115" s="174">
        <v>0.40992220905672</v>
      </c>
      <c r="AK115" s="58">
        <v>0.18850136520529601</v>
      </c>
      <c r="AL115" s="58">
        <v>2.19978362783988E-2</v>
      </c>
      <c r="AM115" s="182">
        <v>0.259852660862398</v>
      </c>
    </row>
    <row r="116" spans="1:39" ht="16.05" customHeight="1" outlineLevel="1">
      <c r="A116" s="186">
        <v>43457</v>
      </c>
      <c r="B116" s="185" t="s">
        <v>41</v>
      </c>
      <c r="C116" s="188">
        <v>7364</v>
      </c>
      <c r="D116" s="188">
        <v>19333</v>
      </c>
      <c r="E116" s="189">
        <v>2.62533948940793</v>
      </c>
      <c r="F116" s="167">
        <v>0.92309980137588599</v>
      </c>
      <c r="G116" s="192">
        <v>19.48</v>
      </c>
      <c r="H116" s="192">
        <v>26.5</v>
      </c>
      <c r="I116" s="176">
        <v>0.28199999999999997</v>
      </c>
      <c r="J116" s="176">
        <v>0.13800000000000001</v>
      </c>
      <c r="K116" s="176">
        <v>8.6999999999999994E-2</v>
      </c>
      <c r="L116" s="174">
        <v>8.8511870894325799</v>
      </c>
      <c r="M116" s="177">
        <v>8.2946257694098193</v>
      </c>
      <c r="N116" s="167">
        <v>15.3307839388145</v>
      </c>
      <c r="O116" s="193">
        <f t="shared" si="12"/>
        <v>0.54104381110019262</v>
      </c>
      <c r="P116" s="167">
        <v>2.2061185468451199</v>
      </c>
      <c r="Q116" s="167">
        <v>2.6813575525812601</v>
      </c>
      <c r="R116" s="167">
        <v>1.1941682600382399</v>
      </c>
      <c r="S116" s="167">
        <v>5.1769598470363301</v>
      </c>
      <c r="T116" s="167">
        <v>0.94397705544933097</v>
      </c>
      <c r="U116" s="167">
        <v>0.47676864244741901</v>
      </c>
      <c r="V116" s="167">
        <v>1.85133843212237</v>
      </c>
      <c r="W116" s="167">
        <v>0.80009560229445498</v>
      </c>
      <c r="X116" s="167">
        <v>1.12760564837325E-2</v>
      </c>
      <c r="Y116" s="173">
        <v>8.3059018258935495</v>
      </c>
      <c r="Z116" s="178">
        <v>317</v>
      </c>
      <c r="AA116" s="178">
        <v>212</v>
      </c>
      <c r="AB116" s="174">
        <v>2898.83</v>
      </c>
      <c r="AC116" s="194"/>
      <c r="AD116" s="195">
        <f t="shared" si="22"/>
        <v>1.6396834428179796E-2</v>
      </c>
      <c r="AE116" s="176">
        <f t="shared" si="19"/>
        <v>1.0965706305281125E-2</v>
      </c>
      <c r="AF116" s="174">
        <f t="shared" si="20"/>
        <v>9.1445741324921137</v>
      </c>
      <c r="AG116" s="180">
        <f t="shared" si="21"/>
        <v>0.14994206796668907</v>
      </c>
      <c r="AH116" s="181">
        <v>0.43373166757197201</v>
      </c>
      <c r="AI116" s="181">
        <v>0.28489951113525303</v>
      </c>
      <c r="AJ116" s="174">
        <v>0.472766771840894</v>
      </c>
      <c r="AK116" s="58">
        <v>0.20136554078518601</v>
      </c>
      <c r="AL116" s="58">
        <v>2.3069363264883899E-2</v>
      </c>
      <c r="AM116" s="182">
        <v>0.27233228159106199</v>
      </c>
    </row>
    <row r="117" spans="1:39" ht="16.05" customHeight="1" outlineLevel="1">
      <c r="A117" s="186">
        <v>43458</v>
      </c>
      <c r="B117" s="185" t="s">
        <v>41</v>
      </c>
      <c r="C117" s="188">
        <v>7689</v>
      </c>
      <c r="D117" s="188">
        <v>20242</v>
      </c>
      <c r="E117" s="189">
        <v>2.63259201456626</v>
      </c>
      <c r="F117" s="167">
        <v>0.93186192313012495</v>
      </c>
      <c r="G117" s="192">
        <v>19.09</v>
      </c>
      <c r="H117" s="192">
        <v>25.83</v>
      </c>
      <c r="I117" s="176">
        <v>0.27500000000000002</v>
      </c>
      <c r="J117" s="176">
        <v>0.14499999999999999</v>
      </c>
      <c r="K117" s="176">
        <v>9.0999999999999998E-2</v>
      </c>
      <c r="L117" s="174">
        <v>8.6146625827487409</v>
      </c>
      <c r="M117" s="177">
        <v>8.1470210453512504</v>
      </c>
      <c r="N117" s="167">
        <v>14.8918186743724</v>
      </c>
      <c r="O117" s="193">
        <f t="shared" si="12"/>
        <v>0.54708032803082718</v>
      </c>
      <c r="P117" s="167">
        <v>2.1298537113960601</v>
      </c>
      <c r="Q117" s="167">
        <v>2.6484558425140001</v>
      </c>
      <c r="R117" s="167">
        <v>1.1270543615676401</v>
      </c>
      <c r="S117" s="167">
        <v>5.0456926133285203</v>
      </c>
      <c r="T117" s="167">
        <v>0.88134368791764495</v>
      </c>
      <c r="U117" s="167">
        <v>0.46532418277045301</v>
      </c>
      <c r="V117" s="167">
        <v>1.7914032869785099</v>
      </c>
      <c r="W117" s="167">
        <v>0.80269098789958404</v>
      </c>
      <c r="X117" s="167">
        <v>1.02756644600336E-2</v>
      </c>
      <c r="Y117" s="173">
        <v>8.1572967098112805</v>
      </c>
      <c r="Z117" s="178">
        <v>350</v>
      </c>
      <c r="AA117" s="178">
        <v>221</v>
      </c>
      <c r="AB117" s="174">
        <v>3305.5</v>
      </c>
      <c r="AC117" s="194"/>
      <c r="AD117" s="195">
        <f t="shared" si="22"/>
        <v>1.7290781543325758E-2</v>
      </c>
      <c r="AE117" s="176">
        <f t="shared" si="19"/>
        <v>1.0917893488785694E-2</v>
      </c>
      <c r="AF117" s="174">
        <f t="shared" si="20"/>
        <v>9.444285714285714</v>
      </c>
      <c r="AG117" s="180">
        <f t="shared" si="21"/>
        <v>0.16329908111846655</v>
      </c>
      <c r="AH117" s="181">
        <v>0.40343347639485</v>
      </c>
      <c r="AI117" s="181">
        <v>0.273117440499415</v>
      </c>
      <c r="AJ117" s="174">
        <v>0.47648453710107702</v>
      </c>
      <c r="AK117" s="58">
        <v>0.19592925600237099</v>
      </c>
      <c r="AL117" s="58">
        <v>2.34660606659421E-2</v>
      </c>
      <c r="AM117" s="182">
        <v>0.26089319237229502</v>
      </c>
    </row>
    <row r="118" spans="1:39" ht="16.05" customHeight="1" outlineLevel="1">
      <c r="A118" s="186">
        <v>43459</v>
      </c>
      <c r="B118" s="185" t="s">
        <v>41</v>
      </c>
      <c r="C118" s="188">
        <v>8527</v>
      </c>
      <c r="D118" s="188">
        <v>20821</v>
      </c>
      <c r="E118" s="189">
        <v>2.4417731910402298</v>
      </c>
      <c r="F118" s="167">
        <v>0.80282074136688897</v>
      </c>
      <c r="G118" s="192">
        <v>18.72</v>
      </c>
      <c r="H118" s="192">
        <v>25.37</v>
      </c>
      <c r="I118" s="176">
        <v>0.252</v>
      </c>
      <c r="J118" s="176">
        <v>0.13500000000000001</v>
      </c>
      <c r="K118" s="176">
        <v>7.6999999999999999E-2</v>
      </c>
      <c r="L118" s="174">
        <v>8.0774698621584005</v>
      </c>
      <c r="M118" s="177">
        <v>7.2795735075164503</v>
      </c>
      <c r="N118" s="167">
        <v>14.000369480879399</v>
      </c>
      <c r="O118" s="193">
        <f t="shared" si="12"/>
        <v>0.51995581384179312</v>
      </c>
      <c r="P118" s="167">
        <v>2.0755588398300402</v>
      </c>
      <c r="Q118" s="167">
        <v>2.5956955477553998</v>
      </c>
      <c r="R118" s="167">
        <v>1.00581932384999</v>
      </c>
      <c r="S118" s="167">
        <v>4.6261777203029704</v>
      </c>
      <c r="T118" s="167">
        <v>0.83308701274708996</v>
      </c>
      <c r="U118" s="167">
        <v>0.45944947348974702</v>
      </c>
      <c r="V118" s="167">
        <v>1.6510253094402401</v>
      </c>
      <c r="W118" s="167">
        <v>0.753556253463883</v>
      </c>
      <c r="X118" s="167">
        <v>8.7892032082993107E-3</v>
      </c>
      <c r="Y118" s="173">
        <v>7.2883627107247504</v>
      </c>
      <c r="Z118" s="178">
        <v>332</v>
      </c>
      <c r="AA118" s="178">
        <v>208</v>
      </c>
      <c r="AB118" s="174">
        <v>2853.68</v>
      </c>
      <c r="AC118" s="194"/>
      <c r="AD118" s="195">
        <f t="shared" si="22"/>
        <v>1.5945439700302579E-2</v>
      </c>
      <c r="AE118" s="176">
        <f t="shared" si="19"/>
        <v>9.9899140291052312E-3</v>
      </c>
      <c r="AF118" s="174">
        <f t="shared" si="20"/>
        <v>8.5954216867469881</v>
      </c>
      <c r="AG118" s="180">
        <f t="shared" si="21"/>
        <v>0.13705777820469717</v>
      </c>
      <c r="AH118" s="181">
        <v>0.36789023103084301</v>
      </c>
      <c r="AI118" s="181">
        <v>0.23748094288729901</v>
      </c>
      <c r="AJ118" s="174">
        <v>0.41400509101388</v>
      </c>
      <c r="AK118" s="58">
        <v>0.181739589837184</v>
      </c>
      <c r="AL118" s="58">
        <v>2.0940396714855199E-2</v>
      </c>
      <c r="AM118" s="182">
        <v>0.23298592766918</v>
      </c>
    </row>
    <row r="119" spans="1:39" s="166" customFormat="1" ht="16.05" customHeight="1" outlineLevel="1">
      <c r="A119" s="196">
        <v>43460</v>
      </c>
      <c r="B119" s="185" t="s">
        <v>41</v>
      </c>
      <c r="C119" s="198">
        <v>9959</v>
      </c>
      <c r="D119" s="198">
        <v>22582</v>
      </c>
      <c r="E119" s="200">
        <v>2.26749673662014</v>
      </c>
      <c r="F119" s="166">
        <v>0.84840405389248097</v>
      </c>
      <c r="G119" s="201">
        <v>19.61</v>
      </c>
      <c r="H119" s="201">
        <v>25.73</v>
      </c>
      <c r="I119" s="203">
        <v>0.26900000000000002</v>
      </c>
      <c r="J119" s="203">
        <v>0.13700000000000001</v>
      </c>
      <c r="K119" s="203">
        <v>8.2000000000000003E-2</v>
      </c>
      <c r="L119" s="166">
        <v>8.62031706669028</v>
      </c>
      <c r="M119" s="204">
        <v>7.9732087503321196</v>
      </c>
      <c r="N119" s="166">
        <v>15.024282376502001</v>
      </c>
      <c r="O119" s="205">
        <f t="shared" si="12"/>
        <v>0.53068815871047725</v>
      </c>
      <c r="P119" s="166">
        <v>2.1454439252336401</v>
      </c>
      <c r="Q119" s="166">
        <v>2.6759846461949301</v>
      </c>
      <c r="R119" s="166">
        <v>1.0355473965287001</v>
      </c>
      <c r="S119" s="166">
        <v>5.1782376502002698</v>
      </c>
      <c r="T119" s="166">
        <v>0.895193591455274</v>
      </c>
      <c r="U119" s="166">
        <v>0.51276702269692898</v>
      </c>
      <c r="V119" s="166">
        <v>1.7684412550066799</v>
      </c>
      <c r="W119" s="166">
        <v>0.81266688918558105</v>
      </c>
      <c r="X119" s="166">
        <v>9.6094234345939205E-3</v>
      </c>
      <c r="Y119" s="200">
        <v>7.9828181737667201</v>
      </c>
      <c r="Z119" s="206">
        <v>354</v>
      </c>
      <c r="AA119" s="206">
        <v>251</v>
      </c>
      <c r="AB119" s="166">
        <v>2996.46</v>
      </c>
      <c r="AC119" s="209"/>
      <c r="AD119" s="210">
        <f t="shared" si="22"/>
        <v>1.5676202285005755E-2</v>
      </c>
      <c r="AE119" s="203">
        <f t="shared" si="19"/>
        <v>1.1115047382871314E-2</v>
      </c>
      <c r="AF119" s="166">
        <f t="shared" si="20"/>
        <v>8.4645762711864414</v>
      </c>
      <c r="AG119" s="211">
        <f t="shared" si="21"/>
        <v>0.1326924098839784</v>
      </c>
      <c r="AH119" s="212">
        <v>0.36911336479566198</v>
      </c>
      <c r="AI119" s="212">
        <v>0.248217692539412</v>
      </c>
      <c r="AJ119" s="166">
        <v>0.490523425737313</v>
      </c>
      <c r="AK119" s="213">
        <v>0.18970861748295101</v>
      </c>
      <c r="AL119" s="213">
        <v>2.1477282791603901E-2</v>
      </c>
      <c r="AM119" s="214">
        <v>0.18359755557523699</v>
      </c>
    </row>
    <row r="120" spans="1:39" ht="16.05" customHeight="1" outlineLevel="1">
      <c r="A120" s="186">
        <v>43461</v>
      </c>
      <c r="B120" s="187" t="s">
        <v>41</v>
      </c>
      <c r="C120" s="188">
        <v>11176</v>
      </c>
      <c r="D120" s="188">
        <v>24703</v>
      </c>
      <c r="E120" s="189">
        <v>2.2103614889048</v>
      </c>
      <c r="F120" s="167">
        <v>0.814896194308383</v>
      </c>
      <c r="G120" s="192">
        <v>19.7</v>
      </c>
      <c r="H120" s="192">
        <v>26.06</v>
      </c>
      <c r="I120" s="176">
        <v>0.25600000000000001</v>
      </c>
      <c r="J120" s="176">
        <v>0.13700000000000001</v>
      </c>
      <c r="K120" s="176">
        <v>7.8E-2</v>
      </c>
      <c r="L120" s="174">
        <v>8.6175768125328904</v>
      </c>
      <c r="M120" s="177">
        <v>7.9766829939683399</v>
      </c>
      <c r="N120" s="167">
        <v>15.301133716415601</v>
      </c>
      <c r="O120" s="193">
        <f t="shared" si="12"/>
        <v>0.52131320082581012</v>
      </c>
      <c r="P120" s="167">
        <v>2.1189625718279199</v>
      </c>
      <c r="Q120" s="167">
        <v>2.6518869389656801</v>
      </c>
      <c r="R120" s="167">
        <v>1.04340736139152</v>
      </c>
      <c r="S120" s="167">
        <v>5.3853082776828698</v>
      </c>
      <c r="T120" s="167">
        <v>0.99961174095356398</v>
      </c>
      <c r="U120" s="167">
        <v>0.52795465134337605</v>
      </c>
      <c r="V120" s="167">
        <v>1.7636278925299</v>
      </c>
      <c r="W120" s="167">
        <v>0.81037428172076398</v>
      </c>
      <c r="X120" s="167">
        <v>1.6678136258754001E-2</v>
      </c>
      <c r="Y120" s="173">
        <v>7.9933611302271004</v>
      </c>
      <c r="Z120" s="178">
        <v>376</v>
      </c>
      <c r="AA120" s="178">
        <v>236</v>
      </c>
      <c r="AB120" s="174">
        <v>2887.24</v>
      </c>
      <c r="AC120" s="194"/>
      <c r="AD120" s="195">
        <f t="shared" si="22"/>
        <v>1.5220823381775493E-2</v>
      </c>
      <c r="AE120" s="176">
        <f t="shared" si="19"/>
        <v>9.5534955268590863E-3</v>
      </c>
      <c r="AF120" s="174">
        <f t="shared" si="20"/>
        <v>7.6788297872340419</v>
      </c>
      <c r="AG120" s="180">
        <f t="shared" si="21"/>
        <v>0.11687811197020603</v>
      </c>
      <c r="AH120" s="181">
        <v>0.35352541159627798</v>
      </c>
      <c r="AI120" s="181">
        <v>0.23416249105225501</v>
      </c>
      <c r="AJ120" s="174">
        <v>0.599522325223657</v>
      </c>
      <c r="AK120" s="58">
        <v>0.20803141318868201</v>
      </c>
      <c r="AL120" s="58">
        <v>2.2547868679917399E-2</v>
      </c>
      <c r="AM120" s="182">
        <v>0</v>
      </c>
    </row>
    <row r="121" spans="1:39" ht="16.05" customHeight="1" outlineLevel="1">
      <c r="A121" s="186">
        <v>43462</v>
      </c>
      <c r="B121" s="187" t="s">
        <v>41</v>
      </c>
      <c r="C121" s="188">
        <v>10468</v>
      </c>
      <c r="D121" s="188">
        <v>24770</v>
      </c>
      <c r="E121" s="189">
        <v>2.3662590752770298</v>
      </c>
      <c r="F121" s="167">
        <v>0.90017730666128404</v>
      </c>
      <c r="G121" s="192">
        <v>21.7</v>
      </c>
      <c r="H121" s="192">
        <v>29.47</v>
      </c>
      <c r="I121" s="176">
        <v>0.27300000000000002</v>
      </c>
      <c r="J121" s="176">
        <v>0.14299999999999999</v>
      </c>
      <c r="K121" s="176">
        <v>7.6999999999999999E-2</v>
      </c>
      <c r="L121" s="174">
        <v>8.6938231731933797</v>
      </c>
      <c r="M121" s="177">
        <v>8.2179652805813497</v>
      </c>
      <c r="N121" s="167">
        <v>15.195506121230199</v>
      </c>
      <c r="O121" s="193">
        <f t="shared" si="12"/>
        <v>0.54081550262414291</v>
      </c>
      <c r="P121" s="167">
        <v>2.0993580173185999</v>
      </c>
      <c r="Q121" s="167">
        <v>2.7001343684682002</v>
      </c>
      <c r="R121" s="167">
        <v>0.97327560465810703</v>
      </c>
      <c r="S121" s="167">
        <v>5.31718423409973</v>
      </c>
      <c r="T121" s="167">
        <v>1.0036578083009899</v>
      </c>
      <c r="U121" s="167">
        <v>0.532248432367871</v>
      </c>
      <c r="V121" s="167">
        <v>1.750821140639</v>
      </c>
      <c r="W121" s="167">
        <v>0.81882651537772499</v>
      </c>
      <c r="X121" s="167">
        <v>1.7440452159870799E-2</v>
      </c>
      <c r="Y121" s="173">
        <v>8.2354057327412207</v>
      </c>
      <c r="Z121" s="178">
        <v>413</v>
      </c>
      <c r="AA121" s="178">
        <v>279</v>
      </c>
      <c r="AB121" s="174">
        <v>3108.87</v>
      </c>
      <c r="AC121" s="194"/>
      <c r="AD121" s="195">
        <f t="shared" si="22"/>
        <v>1.667339523617279E-2</v>
      </c>
      <c r="AE121" s="176">
        <f t="shared" si="19"/>
        <v>1.1263625353249899E-2</v>
      </c>
      <c r="AF121" s="174">
        <f t="shared" si="20"/>
        <v>7.5275302663438257</v>
      </c>
      <c r="AG121" s="180">
        <f t="shared" si="21"/>
        <v>0.12550948728300365</v>
      </c>
      <c r="AH121" s="181">
        <v>0.36902942300343899</v>
      </c>
      <c r="AI121" s="181">
        <v>0.25019105846389</v>
      </c>
      <c r="AJ121" s="174">
        <v>0.59063383124747704</v>
      </c>
      <c r="AK121" s="58">
        <v>0.22289059345983001</v>
      </c>
      <c r="AL121" s="58">
        <v>2.33750504642713E-2</v>
      </c>
      <c r="AM121" s="182">
        <v>0</v>
      </c>
    </row>
    <row r="122" spans="1:39" ht="16.05" customHeight="1" outlineLevel="1">
      <c r="A122" s="186">
        <v>43463</v>
      </c>
      <c r="B122" s="199" t="s">
        <v>41</v>
      </c>
      <c r="C122" s="188">
        <v>13307</v>
      </c>
      <c r="D122" s="188">
        <v>28163</v>
      </c>
      <c r="E122" s="189">
        <v>2.1164048996768599</v>
      </c>
      <c r="F122" s="167">
        <v>0.79112126002201499</v>
      </c>
      <c r="G122" s="192">
        <v>19.53</v>
      </c>
      <c r="H122" s="192">
        <v>27.6</v>
      </c>
      <c r="I122" s="176">
        <v>0.29499999999999998</v>
      </c>
      <c r="J122" s="176">
        <v>0.15</v>
      </c>
      <c r="K122" s="176">
        <v>9.1999999999999998E-2</v>
      </c>
      <c r="L122" s="174">
        <v>8.9182615488406807</v>
      </c>
      <c r="M122" s="177">
        <v>8.2183361147605005</v>
      </c>
      <c r="N122" s="167">
        <v>15.2291748914331</v>
      </c>
      <c r="O122" s="193">
        <f t="shared" si="12"/>
        <v>0.53964421403969687</v>
      </c>
      <c r="P122" s="167">
        <v>2.1916041584418999</v>
      </c>
      <c r="Q122" s="167">
        <v>2.6728516910119802</v>
      </c>
      <c r="R122" s="167">
        <v>0.94762468745887596</v>
      </c>
      <c r="S122" s="167">
        <v>5.2048953809711804</v>
      </c>
      <c r="T122" s="167">
        <v>1.0559942097644399</v>
      </c>
      <c r="U122" s="167">
        <v>0.556915383603106</v>
      </c>
      <c r="V122" s="167">
        <v>1.76095538886696</v>
      </c>
      <c r="W122" s="167">
        <v>0.83833399131464703</v>
      </c>
      <c r="X122" s="167">
        <v>2.15886091680574E-2</v>
      </c>
      <c r="Y122" s="173">
        <v>8.23992472392856</v>
      </c>
      <c r="Z122" s="178">
        <v>478</v>
      </c>
      <c r="AA122" s="178">
        <v>313</v>
      </c>
      <c r="AB122" s="174">
        <v>3786.22</v>
      </c>
      <c r="AC122" s="194"/>
      <c r="AD122" s="195">
        <f t="shared" si="22"/>
        <v>1.6972623655150374E-2</v>
      </c>
      <c r="AE122" s="176">
        <f t="shared" si="19"/>
        <v>1.1113872811845329E-2</v>
      </c>
      <c r="AF122" s="174">
        <f t="shared" si="20"/>
        <v>7.9209623430962335</v>
      </c>
      <c r="AG122" s="180">
        <f t="shared" si="21"/>
        <v>0.13443951283599045</v>
      </c>
      <c r="AH122" s="181">
        <v>0.407379574659953</v>
      </c>
      <c r="AI122" s="181">
        <v>0.27060945367099998</v>
      </c>
      <c r="AJ122" s="174">
        <v>0.58175620494975699</v>
      </c>
      <c r="AK122" s="58">
        <v>0.21957888009089899</v>
      </c>
      <c r="AL122" s="58">
        <v>1.9848737705500101E-2</v>
      </c>
      <c r="AM122" s="182">
        <v>0</v>
      </c>
    </row>
    <row r="123" spans="1:39" ht="16.05" customHeight="1" outlineLevel="1">
      <c r="A123" s="186">
        <v>43464</v>
      </c>
      <c r="B123" s="185" t="s">
        <v>41</v>
      </c>
      <c r="C123" s="188">
        <v>16971</v>
      </c>
      <c r="D123" s="188">
        <v>33682</v>
      </c>
      <c r="E123" s="189">
        <v>1.9846797478050799</v>
      </c>
      <c r="F123" s="167">
        <v>0.77876115578053595</v>
      </c>
      <c r="G123" s="192">
        <v>18.399999999999999</v>
      </c>
      <c r="H123" s="192">
        <v>26.86</v>
      </c>
      <c r="I123" s="176">
        <v>0.29399999999999998</v>
      </c>
      <c r="J123" s="176">
        <v>0.155</v>
      </c>
      <c r="K123" s="176">
        <v>9.0999999999999998E-2</v>
      </c>
      <c r="L123" s="174">
        <v>9.6484769312986192</v>
      </c>
      <c r="M123" s="177">
        <v>9.2358232884032994</v>
      </c>
      <c r="N123" s="167">
        <v>17.0595557992871</v>
      </c>
      <c r="O123" s="193">
        <f t="shared" si="12"/>
        <v>0.5413870910278481</v>
      </c>
      <c r="P123" s="167">
        <v>2.4518234165067199</v>
      </c>
      <c r="Q123" s="167">
        <v>3.0935015080888402</v>
      </c>
      <c r="R123" s="167">
        <v>0.95903482314230903</v>
      </c>
      <c r="S123" s="167">
        <v>5.8706333973128597</v>
      </c>
      <c r="T123" s="167">
        <v>1.18585138469975</v>
      </c>
      <c r="U123" s="167">
        <v>0.52119550315327701</v>
      </c>
      <c r="V123" s="167">
        <v>2.0423910063065498</v>
      </c>
      <c r="W123" s="167">
        <v>0.93512476007677603</v>
      </c>
      <c r="X123" s="167">
        <v>1.46665874948043E-2</v>
      </c>
      <c r="Y123" s="173">
        <v>9.2504898758981096</v>
      </c>
      <c r="Z123" s="178">
        <v>487</v>
      </c>
      <c r="AA123" s="178">
        <v>349</v>
      </c>
      <c r="AB123" s="174">
        <v>3751.13</v>
      </c>
      <c r="AC123" s="194"/>
      <c r="AD123" s="195">
        <f t="shared" si="22"/>
        <v>1.4458761356214002E-2</v>
      </c>
      <c r="AE123" s="176">
        <f t="shared" si="19"/>
        <v>1.03616174811472E-2</v>
      </c>
      <c r="AF123" s="174">
        <f t="shared" si="20"/>
        <v>7.7025256673511295</v>
      </c>
      <c r="AG123" s="180">
        <f t="shared" si="21"/>
        <v>0.11136898046434297</v>
      </c>
      <c r="AH123" s="181">
        <v>0.41535560662306298</v>
      </c>
      <c r="AI123" s="181">
        <v>0.27641270402451201</v>
      </c>
      <c r="AJ123" s="174">
        <v>0.45317973992043198</v>
      </c>
      <c r="AK123" s="58">
        <v>0.17923519980998801</v>
      </c>
      <c r="AL123" s="58">
        <v>1.4607208598064201E-2</v>
      </c>
      <c r="AM123" s="182">
        <v>0.25779348019713799</v>
      </c>
    </row>
    <row r="124" spans="1:39" ht="16.05" customHeight="1" outlineLevel="1">
      <c r="A124" s="186">
        <v>43465</v>
      </c>
      <c r="B124" s="185" t="s">
        <v>41</v>
      </c>
      <c r="C124" s="188">
        <v>17200</v>
      </c>
      <c r="D124" s="188">
        <v>36543</v>
      </c>
      <c r="E124" s="189">
        <v>2.1245930232558101</v>
      </c>
      <c r="F124" s="167">
        <v>0.90958081783104805</v>
      </c>
      <c r="G124" s="192">
        <v>19.03</v>
      </c>
      <c r="H124" s="192">
        <v>27.46</v>
      </c>
      <c r="I124" s="176">
        <v>0.27900000000000003</v>
      </c>
      <c r="J124" s="176">
        <v>0.155</v>
      </c>
      <c r="K124" s="176">
        <v>9.2999999999999999E-2</v>
      </c>
      <c r="L124" s="174">
        <v>9.8943436499466397</v>
      </c>
      <c r="M124" s="177">
        <v>9.2104643844238296</v>
      </c>
      <c r="N124" s="167">
        <v>16.428055447091001</v>
      </c>
      <c r="O124" s="193">
        <f t="shared" si="12"/>
        <v>0.5606545713269292</v>
      </c>
      <c r="P124" s="167">
        <v>2.3390277235454899</v>
      </c>
      <c r="Q124" s="167">
        <v>3.1076727840687202</v>
      </c>
      <c r="R124" s="167">
        <v>0.95738969152674702</v>
      </c>
      <c r="S124" s="167">
        <v>5.5225009761811803</v>
      </c>
      <c r="T124" s="167">
        <v>1.1505759468957399</v>
      </c>
      <c r="U124" s="167">
        <v>0.52845568137446297</v>
      </c>
      <c r="V124" s="167">
        <v>1.9060425614994101</v>
      </c>
      <c r="W124" s="167">
        <v>0.91639008199921901</v>
      </c>
      <c r="X124" s="167">
        <v>1.9210245464247599E-2</v>
      </c>
      <c r="Y124" s="173">
        <v>9.2296746298880805</v>
      </c>
      <c r="Z124" s="178">
        <v>561</v>
      </c>
      <c r="AA124" s="178">
        <v>368</v>
      </c>
      <c r="AB124" s="174">
        <v>4777.3900000000003</v>
      </c>
      <c r="AC124" s="194"/>
      <c r="AD124" s="195">
        <v>1.53517773581808E-2</v>
      </c>
      <c r="AE124" s="176">
        <v>1.0070328106614099E-2</v>
      </c>
      <c r="AF124" s="174">
        <v>8.5158467023172904</v>
      </c>
      <c r="AG124" s="180">
        <v>0.13073338259037301</v>
      </c>
      <c r="AH124" s="181">
        <v>0.43453488372093002</v>
      </c>
      <c r="AI124" s="181">
        <v>0.31063953488372098</v>
      </c>
      <c r="AJ124" s="174">
        <v>0.49054538488903499</v>
      </c>
      <c r="AK124" s="58">
        <v>0.190788933585092</v>
      </c>
      <c r="AL124" s="58">
        <v>1.44213666092001E-2</v>
      </c>
      <c r="AM124" s="182">
        <v>0.25572613085953499</v>
      </c>
    </row>
    <row r="125" spans="1:39" ht="16.05" customHeight="1">
      <c r="A125" s="186">
        <v>43466</v>
      </c>
      <c r="B125" s="185" t="s">
        <v>41</v>
      </c>
      <c r="C125" s="188">
        <v>17062</v>
      </c>
      <c r="D125" s="188">
        <v>36904</v>
      </c>
      <c r="E125" s="189">
        <v>2.1629351775876202</v>
      </c>
      <c r="F125" s="167">
        <v>0.28261132397572097</v>
      </c>
      <c r="G125" s="192">
        <v>18.57</v>
      </c>
      <c r="H125" s="192">
        <v>26.48</v>
      </c>
      <c r="I125" s="176">
        <v>0.29699999999999999</v>
      </c>
      <c r="J125" s="176">
        <v>0.152</v>
      </c>
      <c r="K125" s="176">
        <v>0.09</v>
      </c>
      <c r="L125" s="174">
        <v>9.1027259917624104</v>
      </c>
      <c r="M125" s="177">
        <v>8.0389388684153502</v>
      </c>
      <c r="N125" s="167">
        <v>14.8758461615604</v>
      </c>
      <c r="O125" s="193">
        <f t="shared" si="12"/>
        <v>0.54040212443095792</v>
      </c>
      <c r="P125" s="167">
        <v>2.2523191094619701</v>
      </c>
      <c r="Q125" s="167">
        <v>2.89525146668004</v>
      </c>
      <c r="R125" s="167">
        <v>0.80499423356566202</v>
      </c>
      <c r="S125" s="167">
        <v>4.7466278894850298</v>
      </c>
      <c r="T125" s="167">
        <v>1.0763676477962201</v>
      </c>
      <c r="U125" s="167">
        <v>0.50162964448678704</v>
      </c>
      <c r="V125" s="167">
        <v>1.7438700295843199</v>
      </c>
      <c r="W125" s="167">
        <v>0.85478614050042601</v>
      </c>
      <c r="X125" s="167">
        <v>1.7288098851073099E-2</v>
      </c>
      <c r="Y125" s="173">
        <v>8.0562269672664204</v>
      </c>
      <c r="Z125" s="178">
        <v>507</v>
      </c>
      <c r="AA125" s="178">
        <v>327</v>
      </c>
      <c r="AB125" s="174">
        <v>4514.93</v>
      </c>
      <c r="AC125" s="194"/>
      <c r="AD125" s="195">
        <v>1.3738348146542401E-2</v>
      </c>
      <c r="AE125" s="176">
        <v>8.8608280945155007E-3</v>
      </c>
      <c r="AF125" s="174">
        <v>8.9051873767258396</v>
      </c>
      <c r="AG125" s="180">
        <v>0.122342564491654</v>
      </c>
      <c r="AH125" s="181">
        <v>0.41958738717618099</v>
      </c>
      <c r="AI125" s="181">
        <v>0.28103387645059202</v>
      </c>
      <c r="AJ125" s="174">
        <v>0.43412638196401498</v>
      </c>
      <c r="AK125" s="58">
        <v>0.1814437459354</v>
      </c>
      <c r="AL125" s="58">
        <v>1.3304790808584399E-2</v>
      </c>
      <c r="AM125" s="182">
        <v>0.22742792109256399</v>
      </c>
    </row>
    <row r="126" spans="1:39" s="166" customFormat="1" ht="16.05" customHeight="1" outlineLevel="1">
      <c r="A126" s="196">
        <v>43467</v>
      </c>
      <c r="B126" s="185" t="s">
        <v>41</v>
      </c>
      <c r="C126" s="198">
        <v>17319</v>
      </c>
      <c r="D126" s="198">
        <v>40318</v>
      </c>
      <c r="E126" s="200">
        <v>2.3279635082857002</v>
      </c>
      <c r="F126" s="166">
        <v>0.33537569819931501</v>
      </c>
      <c r="G126" s="201">
        <v>19.850000000000001</v>
      </c>
      <c r="H126" s="201">
        <v>29.62</v>
      </c>
      <c r="I126" s="203">
        <v>0.29799999999999999</v>
      </c>
      <c r="J126" s="203">
        <v>0.16600000000000001</v>
      </c>
      <c r="K126" s="203">
        <v>9.4E-2</v>
      </c>
      <c r="L126" s="166">
        <v>10.0469269308993</v>
      </c>
      <c r="M126" s="204">
        <v>9.5433057195297408</v>
      </c>
      <c r="N126" s="166">
        <v>16.4303954223247</v>
      </c>
      <c r="O126" s="205">
        <f t="shared" si="12"/>
        <v>0.5808323825586591</v>
      </c>
      <c r="P126" s="166">
        <v>2.2863609189512299</v>
      </c>
      <c r="Q126" s="166">
        <v>3.0713553676659</v>
      </c>
      <c r="R126" s="166">
        <v>0.94504227517294404</v>
      </c>
      <c r="S126" s="166">
        <v>5.5052096677769198</v>
      </c>
      <c r="T126" s="166">
        <v>1.1680758390981301</v>
      </c>
      <c r="U126" s="166">
        <v>0.56529165599111797</v>
      </c>
      <c r="V126" s="166">
        <v>1.9512340934324</v>
      </c>
      <c r="W126" s="166">
        <v>0.93782560423605799</v>
      </c>
      <c r="X126" s="166">
        <v>1.33687186864428E-2</v>
      </c>
      <c r="Y126" s="200">
        <v>9.5566744382161808</v>
      </c>
      <c r="Z126" s="206">
        <v>746</v>
      </c>
      <c r="AA126" s="206">
        <v>432</v>
      </c>
      <c r="AB126" s="166">
        <v>5853.54</v>
      </c>
      <c r="AC126" s="209"/>
      <c r="AD126" s="210">
        <v>1.8502901929659199E-2</v>
      </c>
      <c r="AE126" s="203">
        <v>1.0714817203234301E-2</v>
      </c>
      <c r="AF126" s="166">
        <v>7.8465683646112598</v>
      </c>
      <c r="AG126" s="211">
        <v>0.14518428493476901</v>
      </c>
      <c r="AH126" s="212">
        <v>0.46913794098966499</v>
      </c>
      <c r="AI126" s="212">
        <v>0.35221433108147099</v>
      </c>
      <c r="AJ126" s="166">
        <v>0.570266382261025</v>
      </c>
      <c r="AK126" s="213">
        <v>0.21965375266630299</v>
      </c>
      <c r="AL126" s="213">
        <v>1.60722258048514E-2</v>
      </c>
      <c r="AM126" s="214">
        <v>0.20586338608065899</v>
      </c>
    </row>
    <row r="127" spans="1:39" ht="16.05" customHeight="1" outlineLevel="1">
      <c r="A127" s="186">
        <v>43468</v>
      </c>
      <c r="B127" s="187" t="s">
        <v>41</v>
      </c>
      <c r="C127" s="188">
        <v>11352</v>
      </c>
      <c r="D127" s="188">
        <v>35293</v>
      </c>
      <c r="E127" s="189">
        <v>3.10896758280479</v>
      </c>
      <c r="F127" s="167">
        <v>0.28463731901510197</v>
      </c>
      <c r="G127" s="192">
        <v>18.61</v>
      </c>
      <c r="H127" s="192">
        <v>26.36</v>
      </c>
      <c r="I127" s="176">
        <v>0.30399999999999999</v>
      </c>
      <c r="J127" s="176">
        <v>0.16600000000000001</v>
      </c>
      <c r="K127" s="176">
        <v>9.2999999999999999E-2</v>
      </c>
      <c r="L127" s="174">
        <v>10.3208851613634</v>
      </c>
      <c r="M127" s="177">
        <v>10.09752642167</v>
      </c>
      <c r="N127" s="167">
        <v>16.520884520884501</v>
      </c>
      <c r="O127" s="193">
        <f t="shared" si="12"/>
        <v>0.61119768792678397</v>
      </c>
      <c r="P127" s="167">
        <v>2.18427518427518</v>
      </c>
      <c r="Q127" s="167">
        <v>3.0512261833016501</v>
      </c>
      <c r="R127" s="167">
        <v>0.99527142923369305</v>
      </c>
      <c r="S127" s="167">
        <v>5.6690000463585397</v>
      </c>
      <c r="T127" s="167">
        <v>1.1502016596356199</v>
      </c>
      <c r="U127" s="167">
        <v>0.56868017245375702</v>
      </c>
      <c r="V127" s="167">
        <v>1.95447591674007</v>
      </c>
      <c r="W127" s="167">
        <v>0.94775392888600396</v>
      </c>
      <c r="X127" s="167">
        <v>1.86155894936673E-2</v>
      </c>
      <c r="Y127" s="173">
        <v>10.116142011163699</v>
      </c>
      <c r="Z127" s="178">
        <v>621</v>
      </c>
      <c r="AA127" s="178">
        <v>418</v>
      </c>
      <c r="AB127" s="174">
        <v>4348.79</v>
      </c>
      <c r="AC127" s="194"/>
      <c r="AD127" s="195">
        <v>1.7595557192644402E-2</v>
      </c>
      <c r="AE127" s="176">
        <v>1.1843708384098799E-2</v>
      </c>
      <c r="AF127" s="174">
        <v>7.0028824476650504</v>
      </c>
      <c r="AG127" s="180">
        <v>0.12321961862125599</v>
      </c>
      <c r="AH127" s="181">
        <v>0.47894644115574297</v>
      </c>
      <c r="AI127" s="181">
        <v>0.39103241719520798</v>
      </c>
      <c r="AJ127" s="174">
        <v>0.69798543620548004</v>
      </c>
      <c r="AK127" s="58">
        <v>0.29039752925509299</v>
      </c>
      <c r="AL127" s="58">
        <v>2.1392344090896201E-2</v>
      </c>
      <c r="AM127" s="182">
        <v>0</v>
      </c>
    </row>
    <row r="128" spans="1:39" ht="16.05" customHeight="1" outlineLevel="1">
      <c r="A128" s="186">
        <v>43469</v>
      </c>
      <c r="B128" s="187" t="s">
        <v>41</v>
      </c>
      <c r="C128" s="188">
        <v>7154</v>
      </c>
      <c r="D128" s="188">
        <v>30537</v>
      </c>
      <c r="E128" s="189">
        <v>4.2685211070729698</v>
      </c>
      <c r="F128" s="167">
        <v>0.28613454170350699</v>
      </c>
      <c r="G128" s="192">
        <v>16.809999999999999</v>
      </c>
      <c r="H128" s="192">
        <v>23.07</v>
      </c>
      <c r="I128" s="176">
        <v>0.27700000000000002</v>
      </c>
      <c r="J128" s="176">
        <v>0.15</v>
      </c>
      <c r="K128" s="176">
        <v>8.5999999999999993E-2</v>
      </c>
      <c r="L128" s="174">
        <v>9.8835511019419098</v>
      </c>
      <c r="M128" s="177">
        <v>10.3144709696434</v>
      </c>
      <c r="N128" s="167">
        <v>16.3809548574995</v>
      </c>
      <c r="O128" s="193">
        <f t="shared" si="12"/>
        <v>0.62966237678881387</v>
      </c>
      <c r="P128" s="167">
        <v>2.1893592677345501</v>
      </c>
      <c r="Q128" s="167">
        <v>3.0426981485333902</v>
      </c>
      <c r="R128" s="167">
        <v>1.0008841273143301</v>
      </c>
      <c r="S128" s="167">
        <v>5.5726544622425598</v>
      </c>
      <c r="T128" s="167">
        <v>1.15264198044518</v>
      </c>
      <c r="U128" s="167">
        <v>0.540461826503016</v>
      </c>
      <c r="V128" s="167">
        <v>1.9252132307052201</v>
      </c>
      <c r="W128" s="167">
        <v>0.95704181402121902</v>
      </c>
      <c r="X128" s="167">
        <v>1.8174673347087101E-2</v>
      </c>
      <c r="Y128" s="173">
        <v>10.332645642990499</v>
      </c>
      <c r="Z128" s="178">
        <v>545</v>
      </c>
      <c r="AA128" s="178">
        <v>364</v>
      </c>
      <c r="AB128" s="174">
        <v>3782.55</v>
      </c>
      <c r="AC128" s="194"/>
      <c r="AD128" s="195">
        <v>1.7847201755247701E-2</v>
      </c>
      <c r="AE128" s="176">
        <v>1.19199659429544E-2</v>
      </c>
      <c r="AF128" s="174">
        <v>6.9404587155963302</v>
      </c>
      <c r="AG128" s="180">
        <v>0.123867766971215</v>
      </c>
      <c r="AH128" s="181">
        <v>0.47162426614481401</v>
      </c>
      <c r="AI128" s="181">
        <v>0.41641039977634903</v>
      </c>
      <c r="AJ128" s="174">
        <v>0.70527556734453301</v>
      </c>
      <c r="AK128" s="58">
        <v>0.32495006058224501</v>
      </c>
      <c r="AL128" s="58">
        <v>2.4855093820611102E-2</v>
      </c>
      <c r="AM128" s="182">
        <v>0</v>
      </c>
    </row>
    <row r="129" spans="1:39" ht="16.05" customHeight="1" outlineLevel="1">
      <c r="A129" s="186">
        <v>43470</v>
      </c>
      <c r="B129" s="185" t="s">
        <v>41</v>
      </c>
      <c r="C129" s="188">
        <v>4904</v>
      </c>
      <c r="D129" s="188">
        <v>26883</v>
      </c>
      <c r="E129" s="189">
        <v>5.4818515497552998</v>
      </c>
      <c r="F129" s="167">
        <v>0.39974437004798602</v>
      </c>
      <c r="G129" s="192">
        <v>15.38</v>
      </c>
      <c r="H129" s="192">
        <v>21.76</v>
      </c>
      <c r="I129" s="176">
        <v>0.28299999999999997</v>
      </c>
      <c r="J129" s="176">
        <v>0.14699999999999999</v>
      </c>
      <c r="K129" s="176">
        <v>8.8999999999999996E-2</v>
      </c>
      <c r="L129" s="174">
        <v>10.9910724249526</v>
      </c>
      <c r="M129" s="177">
        <v>12.7976044340289</v>
      </c>
      <c r="N129" s="167">
        <v>19.746197554956101</v>
      </c>
      <c r="O129" s="193">
        <f t="shared" si="12"/>
        <v>0.64810475021388747</v>
      </c>
      <c r="P129" s="167">
        <v>2.5392871491706401</v>
      </c>
      <c r="Q129" s="167">
        <v>3.5885323997015401</v>
      </c>
      <c r="R129" s="167">
        <v>1.1237444756930499</v>
      </c>
      <c r="S129" s="167">
        <v>7.19313551053206</v>
      </c>
      <c r="T129" s="167">
        <v>1.3685358434253601</v>
      </c>
      <c r="U129" s="167">
        <v>0.45066865637375902</v>
      </c>
      <c r="V129" s="167">
        <v>2.4159444412558102</v>
      </c>
      <c r="W129" s="167">
        <v>1.0663490788038801</v>
      </c>
      <c r="X129" s="167">
        <v>1.8189934159133999E-2</v>
      </c>
      <c r="Y129" s="173">
        <v>12.815794368188101</v>
      </c>
      <c r="Z129" s="178">
        <v>591</v>
      </c>
      <c r="AA129" s="178">
        <v>391</v>
      </c>
      <c r="AB129" s="174">
        <v>4652.09</v>
      </c>
      <c r="AC129" s="194"/>
      <c r="AD129" s="195">
        <v>2.19841535542908E-2</v>
      </c>
      <c r="AE129" s="176">
        <v>1.45445076814344E-2</v>
      </c>
      <c r="AF129" s="174">
        <v>7.8715566835871398</v>
      </c>
      <c r="AG129" s="180">
        <v>0.17304951084328399</v>
      </c>
      <c r="AH129" s="181">
        <v>0.48042414355628099</v>
      </c>
      <c r="AI129" s="181">
        <v>0.41782218597063597</v>
      </c>
      <c r="AJ129" s="174">
        <v>0.59468809284678004</v>
      </c>
      <c r="AK129" s="58">
        <v>0.30982405237510702</v>
      </c>
      <c r="AL129" s="58">
        <v>2.4178849086783499E-2</v>
      </c>
      <c r="AM129" s="182">
        <v>0.375032548450694</v>
      </c>
    </row>
    <row r="130" spans="1:39" ht="16.05" customHeight="1" outlineLevel="1">
      <c r="A130" s="186">
        <v>43471</v>
      </c>
      <c r="B130" s="185" t="s">
        <v>41</v>
      </c>
      <c r="C130" s="188">
        <v>7214</v>
      </c>
      <c r="D130" s="188">
        <v>28232</v>
      </c>
      <c r="E130" s="189">
        <v>3.91350152481286</v>
      </c>
      <c r="F130" s="167">
        <v>0.37650905355624797</v>
      </c>
      <c r="G130" s="192">
        <v>16.43</v>
      </c>
      <c r="H130" s="192">
        <v>22.5</v>
      </c>
      <c r="I130" s="176">
        <v>0.3</v>
      </c>
      <c r="J130" s="176">
        <v>0.15</v>
      </c>
      <c r="K130" s="176">
        <v>9.4E-2</v>
      </c>
      <c r="L130" s="174">
        <v>9.7961533012184798</v>
      </c>
      <c r="M130" s="177">
        <v>11.883075942193299</v>
      </c>
      <c r="N130" s="167">
        <v>19.076708745593098</v>
      </c>
      <c r="O130" s="193">
        <f t="shared" si="12"/>
        <v>0.62291017285350148</v>
      </c>
      <c r="P130" s="167">
        <v>2.5039804389855602</v>
      </c>
      <c r="Q130" s="167">
        <v>3.41487546912317</v>
      </c>
      <c r="R130" s="167">
        <v>1.18691004207893</v>
      </c>
      <c r="S130" s="167">
        <v>6.8211645627203401</v>
      </c>
      <c r="T130" s="167">
        <v>1.3691004207892601</v>
      </c>
      <c r="U130" s="167">
        <v>0.46537018082565701</v>
      </c>
      <c r="V130" s="167">
        <v>2.2631070169453</v>
      </c>
      <c r="W130" s="167">
        <v>1.0522006141248701</v>
      </c>
      <c r="X130" s="167">
        <v>1.9127231510342901E-2</v>
      </c>
      <c r="Y130" s="173">
        <v>11.902203173703599</v>
      </c>
      <c r="Z130" s="178">
        <v>544</v>
      </c>
      <c r="AA130" s="178">
        <v>351</v>
      </c>
      <c r="AB130" s="174">
        <v>4601.5600000000004</v>
      </c>
      <c r="AC130" s="194"/>
      <c r="AD130" s="195">
        <v>1.9268914706715799E-2</v>
      </c>
      <c r="AE130" s="176">
        <v>1.2432700481722901E-2</v>
      </c>
      <c r="AF130" s="174">
        <v>8.4587500000000002</v>
      </c>
      <c r="AG130" s="180">
        <v>0.16299093227543199</v>
      </c>
      <c r="AH130" s="181">
        <v>0.42777931799279201</v>
      </c>
      <c r="AI130" s="181">
        <v>0.29858608261713299</v>
      </c>
      <c r="AJ130" s="174">
        <v>0.56131340323037704</v>
      </c>
      <c r="AK130" s="58">
        <v>0.293213374893738</v>
      </c>
      <c r="AL130" s="58">
        <v>2.5042504958911901E-2</v>
      </c>
      <c r="AM130" s="182">
        <v>0.32601303485406602</v>
      </c>
    </row>
    <row r="131" spans="1:39" ht="16.05" customHeight="1" outlineLevel="1">
      <c r="A131" s="186">
        <v>43472</v>
      </c>
      <c r="B131" s="185" t="s">
        <v>41</v>
      </c>
      <c r="C131" s="188">
        <v>12465</v>
      </c>
      <c r="D131" s="188">
        <v>33494</v>
      </c>
      <c r="E131" s="189">
        <v>2.6870437224227799</v>
      </c>
      <c r="F131" s="167">
        <v>0.35905830596524702</v>
      </c>
      <c r="G131" s="192">
        <v>17.95</v>
      </c>
      <c r="H131" s="190">
        <v>24.65</v>
      </c>
      <c r="I131" s="176">
        <v>0.30599999999999999</v>
      </c>
      <c r="J131" s="176">
        <v>0.159</v>
      </c>
      <c r="K131" s="176">
        <v>9.5000000000000001E-2</v>
      </c>
      <c r="L131" s="174">
        <v>9.3775900161222907</v>
      </c>
      <c r="M131" s="177">
        <v>10.490864035349601</v>
      </c>
      <c r="N131" s="167">
        <v>17.537482531443398</v>
      </c>
      <c r="O131" s="193">
        <f t="shared" si="12"/>
        <v>0.59819669194482528</v>
      </c>
      <c r="P131" s="167">
        <v>2.4467458574565799</v>
      </c>
      <c r="Q131" s="167">
        <v>3.1691455380315401</v>
      </c>
      <c r="R131" s="167">
        <v>1.0551008185266499</v>
      </c>
      <c r="S131" s="167">
        <v>6.0285486124974996</v>
      </c>
      <c r="T131" s="167">
        <v>1.2876821720902401</v>
      </c>
      <c r="U131" s="167">
        <v>0.48547614294270303</v>
      </c>
      <c r="V131" s="167">
        <v>2.0819524855260498</v>
      </c>
      <c r="W131" s="167">
        <v>0.98283090437213005</v>
      </c>
      <c r="X131" s="167">
        <v>1.49877590016122E-2</v>
      </c>
      <c r="Y131" s="173">
        <v>10.5058517943512</v>
      </c>
      <c r="Z131" s="178">
        <v>581</v>
      </c>
      <c r="AA131" s="178">
        <v>376</v>
      </c>
      <c r="AB131" s="174">
        <v>5206.1899999999996</v>
      </c>
      <c r="AC131" s="194"/>
      <c r="AD131" s="195">
        <v>1.7346390398280301E-2</v>
      </c>
      <c r="AE131" s="176">
        <v>1.12258912043948E-2</v>
      </c>
      <c r="AF131" s="174">
        <v>8.9607401032702203</v>
      </c>
      <c r="AG131" s="180">
        <v>0.15543649608885199</v>
      </c>
      <c r="AH131" s="181">
        <v>0.42382671480144402</v>
      </c>
      <c r="AI131" s="181">
        <v>0.28327316486161302</v>
      </c>
      <c r="AJ131" s="174">
        <v>0.50525467247865297</v>
      </c>
      <c r="AK131" s="58">
        <v>0.24664118946676999</v>
      </c>
      <c r="AL131" s="58">
        <v>2.2511494596047101E-2</v>
      </c>
      <c r="AM131" s="182">
        <v>0.28270735057025098</v>
      </c>
    </row>
    <row r="132" spans="1:39" ht="16.05" customHeight="1" outlineLevel="1">
      <c r="A132" s="186">
        <v>43473</v>
      </c>
      <c r="B132" s="185" t="s">
        <v>41</v>
      </c>
      <c r="C132" s="188">
        <v>18781</v>
      </c>
      <c r="D132" s="188">
        <v>40517</v>
      </c>
      <c r="E132" s="189">
        <v>2.1573398647569402</v>
      </c>
      <c r="F132" s="167">
        <v>0.89281889725300501</v>
      </c>
      <c r="G132" s="192">
        <v>18.190000000000001</v>
      </c>
      <c r="H132" s="190">
        <v>25.14</v>
      </c>
      <c r="I132" s="176">
        <v>0.32400000000000001</v>
      </c>
      <c r="J132" s="176">
        <v>0.17399999999999999</v>
      </c>
      <c r="K132" s="176">
        <v>0.10299999999999999</v>
      </c>
      <c r="L132" s="174">
        <v>9.6173211244662706</v>
      </c>
      <c r="M132" s="177">
        <v>9.4730606905743304</v>
      </c>
      <c r="N132" s="167">
        <v>16.029903107250298</v>
      </c>
      <c r="O132" s="193">
        <f t="shared" ref="O132:O173" si="23">M132/N132</f>
        <v>0.59096181849593843</v>
      </c>
      <c r="P132" s="167">
        <v>2.3462245238890702</v>
      </c>
      <c r="Q132" s="167">
        <v>2.8574590711660499</v>
      </c>
      <c r="R132" s="167">
        <v>0.95076010691613799</v>
      </c>
      <c r="S132" s="167">
        <v>5.3017039759438704</v>
      </c>
      <c r="T132" s="167">
        <v>1.2061894420314101</v>
      </c>
      <c r="U132" s="167">
        <v>0.54903107250250605</v>
      </c>
      <c r="V132" s="167">
        <v>1.90603073838958</v>
      </c>
      <c r="W132" s="167">
        <v>0.91250417641162695</v>
      </c>
      <c r="X132" s="167">
        <v>1.37719969395562E-2</v>
      </c>
      <c r="Y132" s="173">
        <v>9.4868326875138802</v>
      </c>
      <c r="Z132" s="178">
        <v>606</v>
      </c>
      <c r="AA132" s="178">
        <v>398</v>
      </c>
      <c r="AB132" s="174">
        <v>5071.9399999999996</v>
      </c>
      <c r="AC132" s="194"/>
      <c r="AD132" s="195">
        <v>1.4956684848335299E-2</v>
      </c>
      <c r="AE132" s="176">
        <v>9.8230372436261294E-3</v>
      </c>
      <c r="AF132" s="174">
        <v>8.3695379537953798</v>
      </c>
      <c r="AG132" s="180">
        <v>0.125180541501098</v>
      </c>
      <c r="AH132" s="181">
        <v>0.45727064586550198</v>
      </c>
      <c r="AI132" s="181">
        <v>0.29684255364464102</v>
      </c>
      <c r="AJ132" s="174">
        <v>0.52192906681146201</v>
      </c>
      <c r="AK132" s="58">
        <v>0.230471160253721</v>
      </c>
      <c r="AL132" s="58">
        <v>2.2089493299109E-2</v>
      </c>
      <c r="AM132" s="182">
        <v>0.211269343732261</v>
      </c>
    </row>
    <row r="133" spans="1:39" s="166" customFormat="1" ht="16.05" customHeight="1" outlineLevel="1">
      <c r="A133" s="196">
        <v>43474</v>
      </c>
      <c r="B133" s="197" t="s">
        <v>41</v>
      </c>
      <c r="C133" s="198">
        <v>23218</v>
      </c>
      <c r="D133" s="198">
        <v>47930</v>
      </c>
      <c r="E133" s="200">
        <v>2.0643466276165001</v>
      </c>
      <c r="F133" s="166">
        <v>0.19340864176924699</v>
      </c>
      <c r="G133" s="201">
        <v>18.45</v>
      </c>
      <c r="H133" s="217">
        <v>25.64</v>
      </c>
      <c r="I133" s="203">
        <v>0.34</v>
      </c>
      <c r="J133" s="203">
        <v>0.18099999999999999</v>
      </c>
      <c r="K133" s="203">
        <v>0.104</v>
      </c>
      <c r="L133" s="166">
        <v>9.6750469434592095</v>
      </c>
      <c r="M133" s="204">
        <v>8.9889422073857705</v>
      </c>
      <c r="N133" s="166">
        <v>15.279639677979899</v>
      </c>
      <c r="O133" s="205">
        <f t="shared" si="23"/>
        <v>0.58829543083663782</v>
      </c>
      <c r="P133" s="166">
        <v>2.1935666914919998</v>
      </c>
      <c r="Q133" s="166">
        <v>2.6351739546760302</v>
      </c>
      <c r="R133" s="166">
        <v>0.93162393162393198</v>
      </c>
      <c r="S133" s="166">
        <v>5.1421782459126897</v>
      </c>
      <c r="T133" s="166">
        <v>1.1100826329042099</v>
      </c>
      <c r="U133" s="166">
        <v>0.585452353087208</v>
      </c>
      <c r="V133" s="166">
        <v>1.8027804376352099</v>
      </c>
      <c r="W133" s="166">
        <v>0.878781430648651</v>
      </c>
      <c r="X133" s="166">
        <v>1.3165032338827499E-2</v>
      </c>
      <c r="Y133" s="200">
        <v>9.0021072397245998</v>
      </c>
      <c r="Z133" s="206">
        <v>598</v>
      </c>
      <c r="AA133" s="206">
        <v>420</v>
      </c>
      <c r="AB133" s="166">
        <v>4013.02</v>
      </c>
      <c r="AC133" s="209"/>
      <c r="AD133" s="210">
        <v>1.24765282703943E-2</v>
      </c>
      <c r="AE133" s="203">
        <v>8.7627790527853092E-3</v>
      </c>
      <c r="AF133" s="166">
        <v>6.7107357859531804</v>
      </c>
      <c r="AG133" s="211">
        <v>8.3726684748591698E-2</v>
      </c>
      <c r="AH133" s="212">
        <v>0.47006632784908298</v>
      </c>
      <c r="AI133" s="212">
        <v>0.31553105349298</v>
      </c>
      <c r="AJ133" s="166">
        <v>0.60175255581055698</v>
      </c>
      <c r="AK133" s="213">
        <v>0.246067181306071</v>
      </c>
      <c r="AL133" s="213">
        <v>2.0655122052994E-2</v>
      </c>
      <c r="AM133" s="214">
        <v>0</v>
      </c>
    </row>
    <row r="134" spans="1:39" ht="16.05" customHeight="1" outlineLevel="1">
      <c r="A134" s="186">
        <v>43475</v>
      </c>
      <c r="B134" s="187" t="s">
        <v>41</v>
      </c>
      <c r="C134" s="188">
        <v>26529</v>
      </c>
      <c r="D134" s="188">
        <v>55280</v>
      </c>
      <c r="E134" s="189">
        <v>2.0837573975649302</v>
      </c>
      <c r="F134" s="167">
        <v>0.21715462554269199</v>
      </c>
      <c r="G134" s="192">
        <v>19.420000000000002</v>
      </c>
      <c r="H134" s="190">
        <v>27.39</v>
      </c>
      <c r="I134" s="176">
        <v>0.34399999999999997</v>
      </c>
      <c r="J134" s="176">
        <v>0.17899999999999999</v>
      </c>
      <c r="K134" s="176">
        <v>0.105</v>
      </c>
      <c r="L134" s="174">
        <v>9.8884044862518099</v>
      </c>
      <c r="M134" s="177">
        <v>9.1697539797395091</v>
      </c>
      <c r="N134" s="167">
        <v>15.207728309132399</v>
      </c>
      <c r="O134" s="193">
        <f t="shared" si="23"/>
        <v>0.60296671490593212</v>
      </c>
      <c r="P134" s="167">
        <v>2.24564982599304</v>
      </c>
      <c r="Q134" s="167">
        <v>2.6982779311172398</v>
      </c>
      <c r="R134" s="167">
        <v>0.88758550342013698</v>
      </c>
      <c r="S134" s="167">
        <v>4.9599483979359196</v>
      </c>
      <c r="T134" s="167">
        <v>1.1277751110044401</v>
      </c>
      <c r="U134" s="167">
        <v>0.59957398295931796</v>
      </c>
      <c r="V134" s="167">
        <v>1.7990219608784399</v>
      </c>
      <c r="W134" s="167">
        <v>0.88989559582383304</v>
      </c>
      <c r="X134" s="167">
        <v>1.36034732272069E-2</v>
      </c>
      <c r="Y134" s="173">
        <v>9.1833574529667104</v>
      </c>
      <c r="Z134" s="178">
        <v>733</v>
      </c>
      <c r="AA134" s="178">
        <v>518</v>
      </c>
      <c r="AB134" s="174">
        <v>5196.67</v>
      </c>
      <c r="AC134" s="194"/>
      <c r="AD134" s="195">
        <v>1.3259768451519501E-2</v>
      </c>
      <c r="AE134" s="176">
        <v>9.3704775687409592E-3</v>
      </c>
      <c r="AF134" s="174">
        <v>7.0895907230559301</v>
      </c>
      <c r="AG134" s="180">
        <v>9.4006331403762702E-2</v>
      </c>
      <c r="AH134" s="181">
        <v>0.497794865995703</v>
      </c>
      <c r="AI134" s="181">
        <v>0.34475479663764202</v>
      </c>
      <c r="AJ134" s="174">
        <v>0.59187771345875495</v>
      </c>
      <c r="AK134" s="58">
        <v>0.24808248914616499</v>
      </c>
      <c r="AL134" s="58">
        <v>1.8831403762662801E-2</v>
      </c>
      <c r="AM134" s="182">
        <v>0</v>
      </c>
    </row>
    <row r="135" spans="1:39" ht="16.05" customHeight="1" outlineLevel="1">
      <c r="A135" s="186">
        <v>43476</v>
      </c>
      <c r="B135" s="187" t="s">
        <v>41</v>
      </c>
      <c r="C135" s="188">
        <v>27207</v>
      </c>
      <c r="D135" s="188">
        <v>60488</v>
      </c>
      <c r="E135" s="189">
        <v>2.2232513691329401</v>
      </c>
      <c r="F135" s="167">
        <v>0.24315988460521101</v>
      </c>
      <c r="G135" s="192">
        <v>19.48</v>
      </c>
      <c r="H135" s="190">
        <v>28.38</v>
      </c>
      <c r="I135" s="176">
        <v>0.34899999999999998</v>
      </c>
      <c r="J135" s="176">
        <v>0.193</v>
      </c>
      <c r="K135" s="176">
        <v>0.106</v>
      </c>
      <c r="L135" s="174">
        <v>9.8791165189789698</v>
      </c>
      <c r="M135" s="177">
        <v>9.0404708371908509</v>
      </c>
      <c r="N135" s="167">
        <v>14.747572815533999</v>
      </c>
      <c r="O135" s="193">
        <f t="shared" si="23"/>
        <v>0.61301415156725247</v>
      </c>
      <c r="P135" s="167">
        <v>2.167071197411</v>
      </c>
      <c r="Q135" s="167">
        <v>2.6857605177993502</v>
      </c>
      <c r="R135" s="167">
        <v>0.85811758360302004</v>
      </c>
      <c r="S135" s="167">
        <v>4.7039644012944999</v>
      </c>
      <c r="T135" s="167">
        <v>1.09924487594391</v>
      </c>
      <c r="U135" s="167">
        <v>0.59358144552319303</v>
      </c>
      <c r="V135" s="167">
        <v>1.7618932038835</v>
      </c>
      <c r="W135" s="167">
        <v>0.87793959007551203</v>
      </c>
      <c r="X135" s="167">
        <v>1.6085835206983201E-2</v>
      </c>
      <c r="Y135" s="173">
        <v>9.0565566723978304</v>
      </c>
      <c r="Z135" s="178">
        <v>879</v>
      </c>
      <c r="AA135" s="178">
        <v>605</v>
      </c>
      <c r="AB135" s="174">
        <v>6367.21</v>
      </c>
      <c r="AC135" s="194"/>
      <c r="AD135" s="195">
        <v>1.4531807961909801E-2</v>
      </c>
      <c r="AE135" s="176">
        <v>1.0001983864568201E-2</v>
      </c>
      <c r="AF135" s="174">
        <v>7.2436973833902103</v>
      </c>
      <c r="AG135" s="180">
        <v>0.105264019309615</v>
      </c>
      <c r="AH135" s="181">
        <v>0.50556841989194001</v>
      </c>
      <c r="AI135" s="181">
        <v>0.364428272135847</v>
      </c>
      <c r="AJ135" s="174">
        <v>0.58357029493453205</v>
      </c>
      <c r="AK135" s="58">
        <v>0.25892739055680503</v>
      </c>
      <c r="AL135" s="58">
        <v>1.7573733633117299E-2</v>
      </c>
      <c r="AM135" s="182">
        <v>0</v>
      </c>
    </row>
    <row r="136" spans="1:39" ht="16.05" customHeight="1" outlineLevel="1">
      <c r="A136" s="186">
        <v>43477</v>
      </c>
      <c r="B136" s="185" t="s">
        <v>41</v>
      </c>
      <c r="C136" s="188">
        <v>30825</v>
      </c>
      <c r="D136" s="188">
        <v>67750</v>
      </c>
      <c r="E136" s="189">
        <v>2.19789132197891</v>
      </c>
      <c r="F136" s="167">
        <v>0.25682528856088599</v>
      </c>
      <c r="G136" s="192">
        <v>20.29</v>
      </c>
      <c r="H136" s="190">
        <v>29.43</v>
      </c>
      <c r="I136" s="176">
        <v>0.35599999999999998</v>
      </c>
      <c r="J136" s="176">
        <v>0.19400000000000001</v>
      </c>
      <c r="K136" s="176">
        <v>0.109</v>
      </c>
      <c r="L136" s="174">
        <v>9.7700664206642092</v>
      </c>
      <c r="M136" s="177">
        <v>9.0862287822878205</v>
      </c>
      <c r="N136" s="167">
        <v>14.732720658625301</v>
      </c>
      <c r="O136" s="193">
        <f t="shared" si="23"/>
        <v>0.61673800738007412</v>
      </c>
      <c r="P136" s="167">
        <v>2.1841853340991801</v>
      </c>
      <c r="Q136" s="167">
        <v>2.6735113919203499</v>
      </c>
      <c r="R136" s="167">
        <v>0.85192896802603901</v>
      </c>
      <c r="S136" s="167">
        <v>4.7081418724870803</v>
      </c>
      <c r="T136" s="167">
        <v>1.08244782691939</v>
      </c>
      <c r="U136" s="167">
        <v>0.58338119854489801</v>
      </c>
      <c r="V136" s="167">
        <v>1.7683802412406699</v>
      </c>
      <c r="W136" s="167">
        <v>0.88074382538770801</v>
      </c>
      <c r="X136" s="167">
        <v>1.49815498154982E-2</v>
      </c>
      <c r="Y136" s="173">
        <v>9.1012103321033209</v>
      </c>
      <c r="Z136" s="178">
        <v>1057</v>
      </c>
      <c r="AA136" s="178">
        <v>701</v>
      </c>
      <c r="AB136" s="174">
        <v>7532.43</v>
      </c>
      <c r="AC136" s="194"/>
      <c r="AD136" s="195">
        <v>1.5601476014760101E-2</v>
      </c>
      <c r="AE136" s="176">
        <v>1.03468634686347E-2</v>
      </c>
      <c r="AF136" s="174">
        <v>7.1262346263008496</v>
      </c>
      <c r="AG136" s="180">
        <v>0.11117977859778599</v>
      </c>
      <c r="AH136" s="181">
        <v>0.52311435523114402</v>
      </c>
      <c r="AI136" s="181">
        <v>0.36230332522303299</v>
      </c>
      <c r="AJ136" s="174">
        <v>0.58583025830258295</v>
      </c>
      <c r="AK136" s="58">
        <v>0.25800738007380097</v>
      </c>
      <c r="AL136" s="58">
        <v>1.64428044280443E-2</v>
      </c>
      <c r="AM136" s="182">
        <v>0</v>
      </c>
    </row>
    <row r="137" spans="1:39" ht="16.05" customHeight="1" outlineLevel="1">
      <c r="A137" s="186">
        <v>43478</v>
      </c>
      <c r="B137" s="185" t="s">
        <v>41</v>
      </c>
      <c r="C137" s="188">
        <v>32322</v>
      </c>
      <c r="D137" s="188">
        <v>74327</v>
      </c>
      <c r="E137" s="189">
        <v>2.2995792339582901</v>
      </c>
      <c r="F137" s="167">
        <v>0.951392629273346</v>
      </c>
      <c r="G137" s="192">
        <v>19.760000000000002</v>
      </c>
      <c r="H137" s="190">
        <v>29.03</v>
      </c>
      <c r="I137" s="176">
        <v>0.36599999999999999</v>
      </c>
      <c r="J137" s="176">
        <v>0.19400000000000001</v>
      </c>
      <c r="K137" s="176">
        <v>0.114</v>
      </c>
      <c r="L137" s="174">
        <v>9.9935420506679904</v>
      </c>
      <c r="M137" s="177">
        <v>9.8166749633376806</v>
      </c>
      <c r="N137" s="167">
        <v>15.6086937919822</v>
      </c>
      <c r="O137" s="193">
        <f t="shared" si="23"/>
        <v>0.6289235405707212</v>
      </c>
      <c r="P137" s="167">
        <v>2.2134728105078501</v>
      </c>
      <c r="Q137" s="167">
        <v>2.8043255037864201</v>
      </c>
      <c r="R137" s="167">
        <v>0.932208103367133</v>
      </c>
      <c r="S137" s="167">
        <v>5.1411457664826896</v>
      </c>
      <c r="T137" s="167">
        <v>1.1138065289008701</v>
      </c>
      <c r="U137" s="167">
        <v>0.59401873957130003</v>
      </c>
      <c r="V137" s="167">
        <v>1.8897017926667501</v>
      </c>
      <c r="W137" s="167">
        <v>0.92001454669918303</v>
      </c>
      <c r="X137" s="167">
        <v>1.4516931935904901E-2</v>
      </c>
      <c r="Y137" s="173">
        <v>9.8311918952735908</v>
      </c>
      <c r="Z137" s="178">
        <v>1240</v>
      </c>
      <c r="AA137" s="178">
        <v>809</v>
      </c>
      <c r="AB137" s="174">
        <v>8691.6</v>
      </c>
      <c r="AC137" s="194"/>
      <c r="AD137" s="195">
        <v>1.6683035774348501E-2</v>
      </c>
      <c r="AE137" s="176">
        <v>1.08843354366516E-2</v>
      </c>
      <c r="AF137" s="174">
        <v>7.0093548387096796</v>
      </c>
      <c r="AG137" s="180">
        <v>0.11693731752929599</v>
      </c>
      <c r="AH137" s="181">
        <v>0.54176721737516198</v>
      </c>
      <c r="AI137" s="181">
        <v>0.38988923952725701</v>
      </c>
      <c r="AJ137" s="174">
        <v>0.62973078423722195</v>
      </c>
      <c r="AK137" s="58">
        <v>0.27095133666097099</v>
      </c>
      <c r="AL137" s="58">
        <v>1.5996878657822899E-2</v>
      </c>
      <c r="AM137" s="182">
        <v>0</v>
      </c>
    </row>
    <row r="138" spans="1:39" ht="16.05" customHeight="1" outlineLevel="1">
      <c r="A138" s="186">
        <v>43479</v>
      </c>
      <c r="B138" s="185" t="s">
        <v>41</v>
      </c>
      <c r="C138" s="188">
        <v>28768</v>
      </c>
      <c r="D138" s="188">
        <v>76013</v>
      </c>
      <c r="E138" s="189">
        <v>2.64227614015573</v>
      </c>
      <c r="F138" s="167">
        <v>0.970896892899899</v>
      </c>
      <c r="G138" s="192">
        <v>20.62</v>
      </c>
      <c r="H138" s="190">
        <v>29.77</v>
      </c>
      <c r="I138" s="176">
        <v>0.35099999999999998</v>
      </c>
      <c r="J138" s="176">
        <v>0.19</v>
      </c>
      <c r="K138" s="176">
        <v>0.115</v>
      </c>
      <c r="L138" s="174">
        <v>10.3657269151329</v>
      </c>
      <c r="M138" s="177">
        <v>10.4399115940694</v>
      </c>
      <c r="N138" s="167">
        <v>16.2933785032338</v>
      </c>
      <c r="O138" s="193">
        <f t="shared" si="23"/>
        <v>0.64074566192624549</v>
      </c>
      <c r="P138" s="167">
        <v>2.25095986038394</v>
      </c>
      <c r="Q138" s="167">
        <v>3.0835437840057498</v>
      </c>
      <c r="R138" s="167">
        <v>0.93288163432912397</v>
      </c>
      <c r="S138" s="167">
        <v>5.3867364746945903</v>
      </c>
      <c r="T138" s="167">
        <v>1.1408274304486199</v>
      </c>
      <c r="U138" s="167">
        <v>0.54505697566984901</v>
      </c>
      <c r="V138" s="167">
        <v>1.99396365876193</v>
      </c>
      <c r="W138" s="167">
        <v>0.95940868493994402</v>
      </c>
      <c r="X138" s="167">
        <v>1.60235749148172E-2</v>
      </c>
      <c r="Y138" s="173">
        <v>10.455935168984301</v>
      </c>
      <c r="Z138" s="178">
        <v>1221</v>
      </c>
      <c r="AA138" s="178">
        <v>813</v>
      </c>
      <c r="AB138" s="174">
        <v>8594.7900000000009</v>
      </c>
      <c r="AC138" s="194"/>
      <c r="AD138" s="195">
        <v>1.6063041848104899E-2</v>
      </c>
      <c r="AE138" s="176">
        <v>1.0695538920973999E-2</v>
      </c>
      <c r="AF138" s="174">
        <v>7.03914004914005</v>
      </c>
      <c r="AG138" s="180">
        <v>0.11307000118400801</v>
      </c>
      <c r="AH138" s="181">
        <v>0.540670189098999</v>
      </c>
      <c r="AI138" s="181">
        <v>0.40743186874304799</v>
      </c>
      <c r="AJ138" s="174">
        <v>0.61527633431123596</v>
      </c>
      <c r="AK138" s="58">
        <v>0.286306289713602</v>
      </c>
      <c r="AL138" s="58">
        <v>1.6418244247694499E-2</v>
      </c>
      <c r="AM138" s="182">
        <v>0.176127767618697</v>
      </c>
    </row>
    <row r="139" spans="1:39" ht="16.05" customHeight="1" outlineLevel="1">
      <c r="A139" s="186">
        <v>43480</v>
      </c>
      <c r="B139" s="185" t="s">
        <v>41</v>
      </c>
      <c r="C139" s="188">
        <v>23881</v>
      </c>
      <c r="D139" s="188">
        <v>72699</v>
      </c>
      <c r="E139" s="189">
        <v>3.0442192538000898</v>
      </c>
      <c r="F139" s="167">
        <v>1.0605628506581899</v>
      </c>
      <c r="G139" s="192">
        <v>20.3</v>
      </c>
      <c r="H139" s="190">
        <v>30.59</v>
      </c>
      <c r="I139" s="176">
        <v>0.35199999999999998</v>
      </c>
      <c r="J139" s="176">
        <v>0.191</v>
      </c>
      <c r="K139" s="176">
        <v>0.108</v>
      </c>
      <c r="L139" s="174">
        <v>10.7534078873162</v>
      </c>
      <c r="M139" s="177">
        <v>11.4393870617202</v>
      </c>
      <c r="N139" s="167">
        <v>17.484851670416099</v>
      </c>
      <c r="O139" s="193">
        <f t="shared" si="23"/>
        <v>0.65424558797232102</v>
      </c>
      <c r="P139" s="167">
        <v>2.4146079936084801</v>
      </c>
      <c r="Q139" s="167">
        <v>3.4905073271240301</v>
      </c>
      <c r="R139" s="167">
        <v>0.94939343607425997</v>
      </c>
      <c r="S139" s="167">
        <v>5.7185837731009403</v>
      </c>
      <c r="T139" s="167">
        <v>1.22561655068015</v>
      </c>
      <c r="U139" s="167">
        <v>0.50766351996299697</v>
      </c>
      <c r="V139" s="167">
        <v>2.1471521981372099</v>
      </c>
      <c r="W139" s="167">
        <v>1.03132687172802</v>
      </c>
      <c r="X139" s="167">
        <v>1.9202464958252501E-2</v>
      </c>
      <c r="Y139" s="173">
        <v>11.4585895266785</v>
      </c>
      <c r="Z139" s="178">
        <v>1190</v>
      </c>
      <c r="AA139" s="178">
        <v>754</v>
      </c>
      <c r="AB139" s="174">
        <v>9260.1</v>
      </c>
      <c r="AC139" s="194"/>
      <c r="AD139" s="195">
        <v>1.6368863395645101E-2</v>
      </c>
      <c r="AE139" s="176">
        <v>1.0371531933039E-2</v>
      </c>
      <c r="AF139" s="174">
        <v>7.7815966386554596</v>
      </c>
      <c r="AG139" s="180">
        <v>0.12737589237816199</v>
      </c>
      <c r="AH139" s="181">
        <v>0.53913152715547896</v>
      </c>
      <c r="AI139" s="181">
        <v>0.42226037435618302</v>
      </c>
      <c r="AJ139" s="174">
        <v>0.51731110469194896</v>
      </c>
      <c r="AK139" s="58">
        <v>0.27026506554423002</v>
      </c>
      <c r="AL139" s="58">
        <v>1.5378478383471599E-2</v>
      </c>
      <c r="AM139" s="182">
        <v>0.38845101033026602</v>
      </c>
    </row>
    <row r="140" spans="1:39" s="166" customFormat="1" ht="16.05" customHeight="1" outlineLevel="1">
      <c r="A140" s="196">
        <v>43481</v>
      </c>
      <c r="B140" s="197" t="s">
        <v>41</v>
      </c>
      <c r="C140" s="198">
        <v>22414</v>
      </c>
      <c r="D140" s="198">
        <v>71605</v>
      </c>
      <c r="E140" s="200">
        <v>3.1946551262603702</v>
      </c>
      <c r="F140" s="166">
        <v>1.0517021598212399</v>
      </c>
      <c r="G140" s="201">
        <v>21.36</v>
      </c>
      <c r="H140" s="217">
        <v>32.67</v>
      </c>
      <c r="I140" s="203">
        <v>0.35899999999999999</v>
      </c>
      <c r="J140" s="203">
        <v>0.191</v>
      </c>
      <c r="K140" s="203">
        <v>0.107</v>
      </c>
      <c r="L140" s="166">
        <v>10.084100272327399</v>
      </c>
      <c r="M140" s="204">
        <v>10.3483415962572</v>
      </c>
      <c r="N140" s="166">
        <v>15.8423235627392</v>
      </c>
      <c r="O140" s="205">
        <f t="shared" si="23"/>
        <v>0.65320857482019079</v>
      </c>
      <c r="P140" s="166">
        <v>2.2333397472901</v>
      </c>
      <c r="Q140" s="166">
        <v>3.0705962841810401</v>
      </c>
      <c r="R140" s="166">
        <v>0.97077373698501301</v>
      </c>
      <c r="S140" s="166">
        <v>5.0006841553887904</v>
      </c>
      <c r="T140" s="166">
        <v>1.1589378487588999</v>
      </c>
      <c r="U140" s="166">
        <v>0.531118380262117</v>
      </c>
      <c r="V140" s="166">
        <v>1.9339576251256101</v>
      </c>
      <c r="W140" s="166">
        <v>0.94291578474761095</v>
      </c>
      <c r="X140" s="166">
        <v>1.8252915299210901E-2</v>
      </c>
      <c r="Y140" s="200">
        <v>10.366594511556499</v>
      </c>
      <c r="Z140" s="206">
        <v>1095</v>
      </c>
      <c r="AA140" s="206">
        <v>729</v>
      </c>
      <c r="AB140" s="166">
        <v>9672.0499999999993</v>
      </c>
      <c r="AC140" s="209"/>
      <c r="AD140" s="210">
        <v>1.5292228196355E-2</v>
      </c>
      <c r="AE140" s="203">
        <v>1.0180853292367901E-2</v>
      </c>
      <c r="AF140" s="166">
        <v>8.83292237442922</v>
      </c>
      <c r="AG140" s="211">
        <v>0.13507506459046201</v>
      </c>
      <c r="AH140" s="212">
        <v>0.57441777460515797</v>
      </c>
      <c r="AI140" s="212">
        <v>0.44989738556259501</v>
      </c>
      <c r="AJ140" s="166">
        <v>0.55783813979470698</v>
      </c>
      <c r="AK140" s="213">
        <v>0.28958871587179702</v>
      </c>
      <c r="AL140" s="213">
        <v>1.83367083304239E-2</v>
      </c>
      <c r="AM140" s="214">
        <v>0.29541233154109298</v>
      </c>
    </row>
    <row r="141" spans="1:39" s="167" customFormat="1" ht="16.05" customHeight="1" outlineLevel="1">
      <c r="A141" s="186">
        <v>43482</v>
      </c>
      <c r="B141" s="187" t="s">
        <v>41</v>
      </c>
      <c r="C141" s="188">
        <v>28810</v>
      </c>
      <c r="D141" s="188">
        <v>78223</v>
      </c>
      <c r="E141" s="189">
        <v>2.7151336341548098</v>
      </c>
      <c r="F141" s="167">
        <v>0.857014475205502</v>
      </c>
      <c r="G141" s="218">
        <v>21.03</v>
      </c>
      <c r="H141" s="190">
        <v>30.64</v>
      </c>
      <c r="I141" s="219">
        <v>0.36899999999999999</v>
      </c>
      <c r="J141" s="219">
        <v>0.19400000000000001</v>
      </c>
      <c r="K141" s="219">
        <v>0.109</v>
      </c>
      <c r="L141" s="167">
        <v>9.6739833552791392</v>
      </c>
      <c r="M141" s="220">
        <v>9.2103217723687401</v>
      </c>
      <c r="N141" s="167">
        <v>14.564731330610901</v>
      </c>
      <c r="O141" s="193">
        <f t="shared" si="23"/>
        <v>0.63237155312376259</v>
      </c>
      <c r="P141" s="167">
        <v>2.10671976711276</v>
      </c>
      <c r="Q141" s="167">
        <v>2.63188856992682</v>
      </c>
      <c r="R141" s="167">
        <v>0.90943274168115495</v>
      </c>
      <c r="S141" s="167">
        <v>4.6361945578781398</v>
      </c>
      <c r="T141" s="167">
        <v>1.0767597946064</v>
      </c>
      <c r="U141" s="167">
        <v>0.568309545950754</v>
      </c>
      <c r="V141" s="167">
        <v>1.75971374277281</v>
      </c>
      <c r="W141" s="167">
        <v>0.87571261068208495</v>
      </c>
      <c r="X141" s="167">
        <v>1.7859197422752899E-2</v>
      </c>
      <c r="Y141" s="189">
        <v>9.2281809697914898</v>
      </c>
      <c r="Z141" s="207">
        <v>1047</v>
      </c>
      <c r="AA141" s="207">
        <v>725</v>
      </c>
      <c r="AB141" s="167">
        <v>7386.53</v>
      </c>
      <c r="AC141" s="221"/>
      <c r="AD141" s="195">
        <v>1.3384810094217801E-2</v>
      </c>
      <c r="AE141" s="219">
        <v>9.2683737519655297E-3</v>
      </c>
      <c r="AF141" s="167">
        <v>7.0549474689589298</v>
      </c>
      <c r="AG141" s="222">
        <v>9.4429132096697899E-2</v>
      </c>
      <c r="AH141" s="223">
        <v>0.52356820548420702</v>
      </c>
      <c r="AI141" s="223">
        <v>0.36862200624783098</v>
      </c>
      <c r="AJ141" s="167">
        <v>0.51064264986001595</v>
      </c>
      <c r="AK141" s="224">
        <v>0.29791749229766201</v>
      </c>
      <c r="AL141" s="224">
        <v>1.9124809838538499E-2</v>
      </c>
      <c r="AM141" s="82">
        <v>0</v>
      </c>
    </row>
    <row r="142" spans="1:39" ht="16.05" customHeight="1" outlineLevel="1">
      <c r="A142" s="186">
        <v>43483</v>
      </c>
      <c r="B142" s="187" t="s">
        <v>41</v>
      </c>
      <c r="C142" s="188">
        <v>32690</v>
      </c>
      <c r="D142" s="188">
        <v>85057</v>
      </c>
      <c r="E142" s="189">
        <v>2.60192719486081</v>
      </c>
      <c r="F142" s="167">
        <v>0.89751802512432799</v>
      </c>
      <c r="G142" s="218">
        <v>19.5</v>
      </c>
      <c r="H142" s="190">
        <v>28.76</v>
      </c>
      <c r="I142" s="219">
        <v>0.35799999999999998</v>
      </c>
      <c r="J142" s="219">
        <v>0.2</v>
      </c>
      <c r="K142" s="219">
        <v>0.109</v>
      </c>
      <c r="L142" s="167">
        <v>9.9011251278554404</v>
      </c>
      <c r="M142" s="220">
        <v>9.3458386728899505</v>
      </c>
      <c r="N142" s="167">
        <v>14.762461001337099</v>
      </c>
      <c r="O142" s="193">
        <f t="shared" si="23"/>
        <v>0.63308134545069805</v>
      </c>
      <c r="P142" s="167">
        <v>2.1327068786212999</v>
      </c>
      <c r="Q142" s="167">
        <v>2.7270836428465302</v>
      </c>
      <c r="R142" s="167">
        <v>0.89509359679096701</v>
      </c>
      <c r="S142" s="167">
        <v>4.68286658743129</v>
      </c>
      <c r="T142" s="167">
        <v>1.0827328777299099</v>
      </c>
      <c r="U142" s="167">
        <v>0.57055043827068797</v>
      </c>
      <c r="V142" s="167">
        <v>1.78534021690685</v>
      </c>
      <c r="W142" s="167">
        <v>0.88608676273956299</v>
      </c>
      <c r="X142" s="167">
        <v>2.0527411030250301E-2</v>
      </c>
      <c r="Y142" s="189">
        <v>9.3663660839201999</v>
      </c>
      <c r="Z142" s="207">
        <v>1218</v>
      </c>
      <c r="AA142" s="207">
        <v>839</v>
      </c>
      <c r="AB142" s="167">
        <v>8529.82</v>
      </c>
      <c r="AC142" s="221"/>
      <c r="AD142" s="195">
        <v>1.4319809069212401E-2</v>
      </c>
      <c r="AE142" s="219">
        <v>9.8639735706643802E-3</v>
      </c>
      <c r="AF142" s="167">
        <v>7.0031362889983599</v>
      </c>
      <c r="AG142" s="222">
        <v>0.10028357454412901</v>
      </c>
      <c r="AH142" s="223">
        <v>0.530804527378403</v>
      </c>
      <c r="AI142" s="223">
        <v>0.377821963903334</v>
      </c>
      <c r="AJ142" s="167">
        <v>0.60972054034353396</v>
      </c>
      <c r="AK142" s="224">
        <v>0.29462595671138198</v>
      </c>
      <c r="AL142" s="224">
        <v>1.85052376641546E-2</v>
      </c>
      <c r="AM142" s="82">
        <v>0</v>
      </c>
    </row>
    <row r="143" spans="1:39" ht="16.05" customHeight="1" outlineLevel="1">
      <c r="A143" s="186">
        <v>43484</v>
      </c>
      <c r="B143" s="185" t="s">
        <v>41</v>
      </c>
      <c r="C143" s="188">
        <v>36352</v>
      </c>
      <c r="D143" s="188">
        <v>91891</v>
      </c>
      <c r="E143" s="189">
        <v>2.5278113996478901</v>
      </c>
      <c r="F143" s="167">
        <v>1.07029636234234</v>
      </c>
      <c r="G143" s="218">
        <v>18.75</v>
      </c>
      <c r="H143" s="190">
        <v>27.78</v>
      </c>
      <c r="I143" s="219">
        <v>0.36499999999999999</v>
      </c>
      <c r="J143" s="219">
        <v>0.19800000000000001</v>
      </c>
      <c r="K143" s="219">
        <v>0.115</v>
      </c>
      <c r="L143" s="167">
        <v>10.665494988627801</v>
      </c>
      <c r="M143" s="220">
        <v>11.0147457313556</v>
      </c>
      <c r="N143" s="167">
        <v>17.286741473245499</v>
      </c>
      <c r="O143" s="193">
        <f t="shared" si="23"/>
        <v>0.63717883144159937</v>
      </c>
      <c r="P143" s="167">
        <v>2.4051339857560099</v>
      </c>
      <c r="Q143" s="167">
        <v>3.3101740363102201</v>
      </c>
      <c r="R143" s="167">
        <v>0.86994244333999404</v>
      </c>
      <c r="S143" s="167">
        <v>5.8184147153763401</v>
      </c>
      <c r="T143" s="167">
        <v>1.2140014688049701</v>
      </c>
      <c r="U143" s="167">
        <v>0.52007651449164005</v>
      </c>
      <c r="V143" s="167">
        <v>2.1505354306502</v>
      </c>
      <c r="W143" s="167">
        <v>0.998462878516165</v>
      </c>
      <c r="X143" s="167">
        <v>2.3429933290529E-2</v>
      </c>
      <c r="Y143" s="189">
        <v>11.0381756646462</v>
      </c>
      <c r="Z143" s="207">
        <v>1589</v>
      </c>
      <c r="AA143" s="207">
        <v>1021</v>
      </c>
      <c r="AB143" s="167">
        <v>14250.11</v>
      </c>
      <c r="AC143" s="221"/>
      <c r="AD143" s="195">
        <v>1.7292226659847001E-2</v>
      </c>
      <c r="AE143" s="219">
        <v>1.11109901949048E-2</v>
      </c>
      <c r="AF143" s="167">
        <v>8.9679735682819395</v>
      </c>
      <c r="AG143" s="222">
        <v>0.15507623162224801</v>
      </c>
      <c r="AH143" s="223">
        <v>0.518981073943662</v>
      </c>
      <c r="AI143" s="223">
        <v>0.376127860915493</v>
      </c>
      <c r="AJ143" s="167">
        <v>0.50247575932354605</v>
      </c>
      <c r="AK143" s="224">
        <v>0.251515382355182</v>
      </c>
      <c r="AL143" s="224">
        <v>1.5551033289440699E-2</v>
      </c>
      <c r="AM143" s="82">
        <v>0.34402716261657801</v>
      </c>
    </row>
    <row r="144" spans="1:39" ht="16.05" customHeight="1" outlineLevel="1">
      <c r="A144" s="186">
        <v>43485</v>
      </c>
      <c r="B144" s="185" t="s">
        <v>41</v>
      </c>
      <c r="C144" s="188">
        <v>39917</v>
      </c>
      <c r="D144" s="188">
        <v>101057</v>
      </c>
      <c r="E144" s="189">
        <v>2.5316782323320899</v>
      </c>
      <c r="F144" s="167">
        <v>0.99527255208446697</v>
      </c>
      <c r="G144" s="218">
        <v>19.440000000000001</v>
      </c>
      <c r="H144" s="190">
        <v>29.32</v>
      </c>
      <c r="I144" s="219">
        <v>0.36299999999999999</v>
      </c>
      <c r="J144" s="219">
        <v>0.191</v>
      </c>
      <c r="K144" s="219">
        <v>0.12</v>
      </c>
      <c r="L144" s="167">
        <v>10.2668494018227</v>
      </c>
      <c r="M144" s="220">
        <v>11.348902104752799</v>
      </c>
      <c r="N144" s="167">
        <v>17.653362476334099</v>
      </c>
      <c r="O144" s="193">
        <f t="shared" si="23"/>
        <v>0.64287481322422346</v>
      </c>
      <c r="P144" s="167">
        <v>2.3932765865747201</v>
      </c>
      <c r="Q144" s="167">
        <v>3.4552926870565099</v>
      </c>
      <c r="R144" s="167">
        <v>0.95579294103160095</v>
      </c>
      <c r="S144" s="167">
        <v>5.9326889035972101</v>
      </c>
      <c r="T144" s="167">
        <v>1.2173565040712999</v>
      </c>
      <c r="U144" s="167">
        <v>0.54012036880262304</v>
      </c>
      <c r="V144" s="167">
        <v>2.1385164775963199</v>
      </c>
      <c r="W144" s="167">
        <v>1.02031800760386</v>
      </c>
      <c r="X144" s="167">
        <v>1.9642380042946099E-2</v>
      </c>
      <c r="Y144" s="189">
        <v>11.3685444847957</v>
      </c>
      <c r="Z144" s="207">
        <v>1509</v>
      </c>
      <c r="AA144" s="207">
        <v>990</v>
      </c>
      <c r="AB144" s="167">
        <v>11722.91</v>
      </c>
      <c r="AC144" s="221"/>
      <c r="AD144" s="195">
        <v>1.4932166994864301E-2</v>
      </c>
      <c r="AE144" s="219">
        <v>9.7964515075650398E-3</v>
      </c>
      <c r="AF144" s="167">
        <v>7.7686613651424796</v>
      </c>
      <c r="AG144" s="222">
        <v>0.116002948830858</v>
      </c>
      <c r="AH144" s="223">
        <v>0.53623769321341797</v>
      </c>
      <c r="AI144" s="223">
        <v>0.38750407094721501</v>
      </c>
      <c r="AJ144" s="167">
        <v>0.52833549383021505</v>
      </c>
      <c r="AK144" s="224">
        <v>0.247395034485488</v>
      </c>
      <c r="AL144" s="224">
        <v>1.53477740285186E-2</v>
      </c>
      <c r="AM144" s="82">
        <v>0.324826583017505</v>
      </c>
    </row>
    <row r="145" spans="1:39" ht="16.05" customHeight="1" outlineLevel="1">
      <c r="A145" s="186">
        <v>43486</v>
      </c>
      <c r="B145" s="185" t="s">
        <v>41</v>
      </c>
      <c r="C145" s="188">
        <v>41042</v>
      </c>
      <c r="D145" s="188">
        <v>108297</v>
      </c>
      <c r="E145" s="189">
        <v>2.6386871984796101</v>
      </c>
      <c r="F145" s="167">
        <v>1.03833017823208</v>
      </c>
      <c r="G145" s="218">
        <v>19.55</v>
      </c>
      <c r="H145" s="190">
        <v>28.8</v>
      </c>
      <c r="I145" s="219">
        <v>0.35899999999999999</v>
      </c>
      <c r="J145" s="219">
        <v>0.19400000000000001</v>
      </c>
      <c r="K145" s="219">
        <v>0.12</v>
      </c>
      <c r="L145" s="167">
        <v>10.304671412873899</v>
      </c>
      <c r="M145" s="220">
        <v>11.179654099374901</v>
      </c>
      <c r="N145" s="167">
        <v>17.333433549514002</v>
      </c>
      <c r="O145" s="193">
        <f t="shared" si="23"/>
        <v>0.64497631513338327</v>
      </c>
      <c r="P145" s="167">
        <v>2.33041274749817</v>
      </c>
      <c r="Q145" s="167">
        <v>3.4400349324972401</v>
      </c>
      <c r="R145" s="167">
        <v>0.954373004624261</v>
      </c>
      <c r="S145" s="167">
        <v>5.79126401236954</v>
      </c>
      <c r="T145" s="167">
        <v>1.1994301994301999</v>
      </c>
      <c r="U145" s="167">
        <v>0.52871193574711195</v>
      </c>
      <c r="V145" s="167">
        <v>2.0823920170653798</v>
      </c>
      <c r="W145" s="167">
        <v>1.00681470028204</v>
      </c>
      <c r="X145" s="167">
        <v>1.9030998088589698E-2</v>
      </c>
      <c r="Y145" s="189">
        <v>11.1986850974635</v>
      </c>
      <c r="Z145" s="207">
        <v>1641</v>
      </c>
      <c r="AA145" s="207">
        <v>1085</v>
      </c>
      <c r="AB145" s="167">
        <v>12910.59</v>
      </c>
      <c r="AC145" s="221"/>
      <c r="AD145" s="195">
        <v>1.5152774315077999E-2</v>
      </c>
      <c r="AE145" s="219">
        <v>1.0018744748238601E-2</v>
      </c>
      <c r="AF145" s="167">
        <v>7.8675137111517399</v>
      </c>
      <c r="AG145" s="222">
        <v>0.11921465968586401</v>
      </c>
      <c r="AH145" s="223">
        <v>0.52153891135909602</v>
      </c>
      <c r="AI145" s="223">
        <v>0.38475220505823299</v>
      </c>
      <c r="AJ145" s="167">
        <v>0.54043971670498703</v>
      </c>
      <c r="AK145" s="224">
        <v>0.25286942389909201</v>
      </c>
      <c r="AL145" s="224">
        <v>1.50881372521861E-2</v>
      </c>
      <c r="AM145" s="82">
        <v>0.31064572425829001</v>
      </c>
    </row>
    <row r="146" spans="1:39" ht="16.05" customHeight="1" outlineLevel="1">
      <c r="A146" s="186">
        <v>43487</v>
      </c>
      <c r="B146" s="185" t="s">
        <v>41</v>
      </c>
      <c r="C146" s="188">
        <v>43411</v>
      </c>
      <c r="D146" s="188">
        <v>113639</v>
      </c>
      <c r="E146" s="189">
        <v>2.6177466540738501</v>
      </c>
      <c r="F146" s="167">
        <v>0.96042321269986497</v>
      </c>
      <c r="G146" s="218">
        <v>19.920000000000002</v>
      </c>
      <c r="H146" s="190">
        <v>30.25</v>
      </c>
      <c r="I146" s="219">
        <v>0.37</v>
      </c>
      <c r="J146" s="219">
        <v>0.20499999999999999</v>
      </c>
      <c r="K146" s="219">
        <v>0.11799999999999999</v>
      </c>
      <c r="L146" s="167">
        <v>10.2413256012461</v>
      </c>
      <c r="M146" s="220">
        <v>10.5200591346281</v>
      </c>
      <c r="N146" s="167">
        <v>16.328916995615501</v>
      </c>
      <c r="O146" s="193">
        <f t="shared" si="23"/>
        <v>0.64425945318068889</v>
      </c>
      <c r="P146" s="167">
        <v>2.2720555092674801</v>
      </c>
      <c r="Q146" s="167">
        <v>3.1629218854575001</v>
      </c>
      <c r="R146" s="167">
        <v>0.92590113777607796</v>
      </c>
      <c r="S146" s="167">
        <v>5.3579828718943396</v>
      </c>
      <c r="T146" s="167">
        <v>1.1462172018630601</v>
      </c>
      <c r="U146" s="167">
        <v>0.55913567262644603</v>
      </c>
      <c r="V146" s="167">
        <v>1.9578626746615999</v>
      </c>
      <c r="W146" s="167">
        <v>0.94684004206903105</v>
      </c>
      <c r="X146" s="167">
        <v>1.8277175969517501E-2</v>
      </c>
      <c r="Y146" s="189">
        <v>10.5383363105976</v>
      </c>
      <c r="Z146" s="207">
        <v>1643</v>
      </c>
      <c r="AA146" s="207">
        <v>1082</v>
      </c>
      <c r="AB146" s="167">
        <v>11997.57</v>
      </c>
      <c r="AC146" s="221"/>
      <c r="AD146" s="195">
        <v>1.4458064572901899E-2</v>
      </c>
      <c r="AE146" s="219">
        <v>9.5213791040047908E-3</v>
      </c>
      <c r="AF146" s="167">
        <v>7.3022337188070603</v>
      </c>
      <c r="AG146" s="222">
        <v>0.105576166632934</v>
      </c>
      <c r="AH146" s="223">
        <v>0.52168805141553998</v>
      </c>
      <c r="AI146" s="223">
        <v>0.38193084702034003</v>
      </c>
      <c r="AJ146" s="167">
        <v>0.55956141817509797</v>
      </c>
      <c r="AK146" s="224">
        <v>0.262999498411637</v>
      </c>
      <c r="AL146" s="224">
        <v>1.7256399651528101E-2</v>
      </c>
      <c r="AM146" s="82">
        <v>0.247943047721293</v>
      </c>
    </row>
    <row r="147" spans="1:39" s="166" customFormat="1" ht="16.05" customHeight="1" outlineLevel="1">
      <c r="A147" s="196">
        <v>43488</v>
      </c>
      <c r="B147" s="197" t="s">
        <v>41</v>
      </c>
      <c r="C147" s="198">
        <v>48386</v>
      </c>
      <c r="D147" s="198">
        <v>122349</v>
      </c>
      <c r="E147" s="200">
        <v>2.5286033150084699</v>
      </c>
      <c r="F147" s="166">
        <v>0.68725074155898302</v>
      </c>
      <c r="G147" s="201">
        <v>20.03</v>
      </c>
      <c r="H147" s="217">
        <v>30.27</v>
      </c>
      <c r="I147" s="203">
        <v>0.371</v>
      </c>
      <c r="J147" s="203">
        <v>0.19900000000000001</v>
      </c>
      <c r="K147" s="203">
        <v>0.115</v>
      </c>
      <c r="L147" s="166">
        <v>10.171926211084701</v>
      </c>
      <c r="M147" s="204">
        <v>9.8354951818159506</v>
      </c>
      <c r="N147" s="166">
        <v>15.2649051146742</v>
      </c>
      <c r="O147" s="205">
        <f t="shared" si="23"/>
        <v>0.64432075456276894</v>
      </c>
      <c r="P147" s="166">
        <v>2.1288816724172901</v>
      </c>
      <c r="Q147" s="166">
        <v>2.8309950274000402</v>
      </c>
      <c r="R147" s="166">
        <v>0.89404049117109796</v>
      </c>
      <c r="S147" s="166">
        <v>4.9923761924091696</v>
      </c>
      <c r="T147" s="166">
        <v>1.1005048711183301</v>
      </c>
      <c r="U147" s="166">
        <v>0.59035670793586403</v>
      </c>
      <c r="V147" s="166">
        <v>1.83242845544956</v>
      </c>
      <c r="W147" s="166">
        <v>0.89532169677288398</v>
      </c>
      <c r="X147" s="166">
        <v>1.55293463779843E-2</v>
      </c>
      <c r="Y147" s="200">
        <v>9.8510245281939408</v>
      </c>
      <c r="Z147" s="206">
        <v>1726</v>
      </c>
      <c r="AA147" s="206">
        <v>1157</v>
      </c>
      <c r="AB147" s="166">
        <v>12315.74</v>
      </c>
      <c r="AC147" s="209"/>
      <c r="AD147" s="210">
        <v>1.4107185183368899E-2</v>
      </c>
      <c r="AE147" s="203">
        <v>9.4565546101725399E-3</v>
      </c>
      <c r="AF147" s="166">
        <v>7.1354229432213199</v>
      </c>
      <c r="AG147" s="211">
        <v>0.100660732821682</v>
      </c>
      <c r="AH147" s="212">
        <v>0.52513123630802305</v>
      </c>
      <c r="AI147" s="212">
        <v>0.378725251105692</v>
      </c>
      <c r="AJ147" s="166">
        <v>0.61814971924576401</v>
      </c>
      <c r="AK147" s="213">
        <v>0.28515966620078598</v>
      </c>
      <c r="AL147" s="213">
        <v>1.7482774685530701E-2</v>
      </c>
      <c r="AM147" s="214">
        <v>0</v>
      </c>
    </row>
    <row r="148" spans="1:39" s="167" customFormat="1" ht="16.05" customHeight="1" outlineLevel="1">
      <c r="A148" s="186">
        <v>43489</v>
      </c>
      <c r="B148" s="187" t="s">
        <v>41</v>
      </c>
      <c r="C148" s="188">
        <v>51682</v>
      </c>
      <c r="D148" s="188">
        <v>131736</v>
      </c>
      <c r="E148" s="189">
        <v>2.54897256298131</v>
      </c>
      <c r="F148" s="167">
        <v>0.85236369288577096</v>
      </c>
      <c r="G148" s="218">
        <v>21.09</v>
      </c>
      <c r="H148" s="190">
        <v>31.81</v>
      </c>
      <c r="I148" s="219">
        <v>0.373</v>
      </c>
      <c r="J148" s="219">
        <v>0.20499999999999999</v>
      </c>
      <c r="K148" s="219">
        <v>0.11600000000000001</v>
      </c>
      <c r="L148" s="167">
        <v>10.277099653853201</v>
      </c>
      <c r="M148" s="220">
        <v>9.8189864577640105</v>
      </c>
      <c r="N148" s="167">
        <v>15.0906948527696</v>
      </c>
      <c r="O148" s="193">
        <f t="shared" si="23"/>
        <v>0.65066496629622916</v>
      </c>
      <c r="P148" s="167">
        <v>2.1548952354286199</v>
      </c>
      <c r="Q148" s="167">
        <v>2.8525829483410301</v>
      </c>
      <c r="R148" s="167">
        <v>0.88158570161930105</v>
      </c>
      <c r="S148" s="167">
        <v>4.7908675159830096</v>
      </c>
      <c r="T148" s="167">
        <v>1.10080965047366</v>
      </c>
      <c r="U148" s="167">
        <v>0.58549162350086303</v>
      </c>
      <c r="V148" s="167">
        <v>1.8280367725978801</v>
      </c>
      <c r="W148" s="167">
        <v>0.89642540482523703</v>
      </c>
      <c r="X148" s="167">
        <v>1.8590210724479299E-2</v>
      </c>
      <c r="Y148" s="189">
        <v>9.8375766684884898</v>
      </c>
      <c r="Z148" s="207">
        <v>1832</v>
      </c>
      <c r="AA148" s="207">
        <v>1281</v>
      </c>
      <c r="AB148" s="167">
        <v>11965.68</v>
      </c>
      <c r="AC148" s="221"/>
      <c r="AD148" s="195">
        <v>1.39066010809498E-2</v>
      </c>
      <c r="AE148" s="219">
        <v>9.7239934414283108E-3</v>
      </c>
      <c r="AF148" s="167">
        <v>6.5314847161572098</v>
      </c>
      <c r="AG148" s="222">
        <v>9.0830752413918803E-2</v>
      </c>
      <c r="AH148" s="223">
        <v>0.53502186447892897</v>
      </c>
      <c r="AI148" s="223">
        <v>0.38613056770248799</v>
      </c>
      <c r="AJ148" s="167">
        <v>0.61515455152729703</v>
      </c>
      <c r="AK148" s="224">
        <v>0.29173498512175899</v>
      </c>
      <c r="AL148" s="224">
        <v>1.7125159409728499E-2</v>
      </c>
      <c r="AM148" s="82">
        <v>0</v>
      </c>
    </row>
    <row r="149" spans="1:39" ht="16.05" customHeight="1" outlineLevel="1">
      <c r="A149" s="186">
        <v>43490</v>
      </c>
      <c r="B149" s="187" t="s">
        <v>41</v>
      </c>
      <c r="C149" s="188">
        <v>50561</v>
      </c>
      <c r="D149" s="188">
        <v>137744</v>
      </c>
      <c r="E149" s="189">
        <v>2.7243132058305801</v>
      </c>
      <c r="F149" s="167">
        <v>0.84949110581949105</v>
      </c>
      <c r="G149" s="218">
        <v>19.77</v>
      </c>
      <c r="H149" s="190">
        <v>29.56</v>
      </c>
      <c r="I149" s="219">
        <v>0.371</v>
      </c>
      <c r="J149" s="219">
        <v>0.21099999999999999</v>
      </c>
      <c r="K149" s="219">
        <v>0.11700000000000001</v>
      </c>
      <c r="L149" s="167">
        <v>10.106719711929401</v>
      </c>
      <c r="M149" s="220">
        <v>9.7362135555813705</v>
      </c>
      <c r="N149" s="167">
        <v>14.8602185089974</v>
      </c>
      <c r="O149" s="193">
        <f t="shared" si="23"/>
        <v>0.65518643280288213</v>
      </c>
      <c r="P149" s="167">
        <v>2.1263961528233302</v>
      </c>
      <c r="Q149" s="167">
        <v>2.8617365481783499</v>
      </c>
      <c r="R149" s="167">
        <v>0.87832417338888402</v>
      </c>
      <c r="S149" s="167">
        <v>4.6669843099015997</v>
      </c>
      <c r="T149" s="167">
        <v>1.07019546139527</v>
      </c>
      <c r="U149" s="167">
        <v>0.580312029075436</v>
      </c>
      <c r="V149" s="167">
        <v>1.78797314067902</v>
      </c>
      <c r="W149" s="167">
        <v>0.88829669355553598</v>
      </c>
      <c r="X149" s="167">
        <v>1.69444767104193E-2</v>
      </c>
      <c r="Y149" s="189">
        <v>9.7531580322917897</v>
      </c>
      <c r="Z149" s="207">
        <v>1934</v>
      </c>
      <c r="AA149" s="207">
        <v>1360</v>
      </c>
      <c r="AB149" s="167">
        <v>12490.66</v>
      </c>
      <c r="AC149" s="221"/>
      <c r="AD149" s="195">
        <v>1.40405389708445E-2</v>
      </c>
      <c r="AE149" s="219">
        <v>9.8733883145545407E-3</v>
      </c>
      <c r="AF149" s="167">
        <v>6.45845915201655</v>
      </c>
      <c r="AG149" s="222">
        <v>9.0680247415495394E-2</v>
      </c>
      <c r="AH149" s="223">
        <v>0.53141749569826502</v>
      </c>
      <c r="AI149" s="223">
        <v>0.395304681473863</v>
      </c>
      <c r="AJ149" s="167">
        <v>0.60690120803809999</v>
      </c>
      <c r="AK149" s="224">
        <v>0.29955569752584499</v>
      </c>
      <c r="AL149" s="224">
        <v>1.72276106400279E-2</v>
      </c>
      <c r="AM149" s="82">
        <v>0</v>
      </c>
    </row>
    <row r="150" spans="1:39" ht="16.05" customHeight="1" outlineLevel="1">
      <c r="A150" s="186">
        <v>43491</v>
      </c>
      <c r="B150" s="185" t="s">
        <v>41</v>
      </c>
      <c r="C150" s="188">
        <v>57886</v>
      </c>
      <c r="D150" s="188">
        <v>148761</v>
      </c>
      <c r="E150" s="189">
        <v>2.56989600248765</v>
      </c>
      <c r="F150" s="167">
        <v>0.29026641256780999</v>
      </c>
      <c r="G150" s="218">
        <v>18.43</v>
      </c>
      <c r="H150" s="190">
        <v>28.26</v>
      </c>
      <c r="I150" s="219">
        <v>0.35499999999999998</v>
      </c>
      <c r="J150" s="219">
        <v>0.19400000000000001</v>
      </c>
      <c r="K150" s="219">
        <v>0.111</v>
      </c>
      <c r="L150" s="167">
        <v>10.570014990488099</v>
      </c>
      <c r="M150" s="220">
        <v>10.786483016382</v>
      </c>
      <c r="N150" s="167">
        <v>16.721459759694</v>
      </c>
      <c r="O150" s="193">
        <f t="shared" si="23"/>
        <v>0.64506826385948202</v>
      </c>
      <c r="P150" s="167">
        <v>2.3566344660851799</v>
      </c>
      <c r="Q150" s="167">
        <v>3.22258000646096</v>
      </c>
      <c r="R150" s="167">
        <v>0.82852408791071397</v>
      </c>
      <c r="S150" s="167">
        <v>5.5732016131553399</v>
      </c>
      <c r="T150" s="167">
        <v>1.2062400350142199</v>
      </c>
      <c r="U150" s="167">
        <v>0.51967986994716597</v>
      </c>
      <c r="V150" s="167">
        <v>2.05767968237096</v>
      </c>
      <c r="W150" s="167">
        <v>0.95691999874949196</v>
      </c>
      <c r="X150" s="167">
        <v>1.7134867337541399E-2</v>
      </c>
      <c r="Y150" s="189">
        <v>10.8036178837195</v>
      </c>
      <c r="Z150" s="207">
        <v>2422</v>
      </c>
      <c r="AA150" s="207">
        <v>1464</v>
      </c>
      <c r="AB150" s="167">
        <v>18692.78</v>
      </c>
      <c r="AC150" s="221"/>
      <c r="AD150" s="195">
        <v>1.6281148957051898E-2</v>
      </c>
      <c r="AE150" s="219">
        <v>9.8412890475326198E-3</v>
      </c>
      <c r="AF150" s="167">
        <v>7.7179108175061897</v>
      </c>
      <c r="AG150" s="222">
        <v>0.12565645565706099</v>
      </c>
      <c r="AH150" s="223">
        <v>0.52040216978198495</v>
      </c>
      <c r="AI150" s="223">
        <v>0.36912206751200599</v>
      </c>
      <c r="AJ150" s="167">
        <v>0.47639502288906399</v>
      </c>
      <c r="AK150" s="224">
        <v>0.24763883006970899</v>
      </c>
      <c r="AL150" s="224">
        <v>1.4210713829565499E-2</v>
      </c>
      <c r="AM150" s="82">
        <v>0.34345023225173299</v>
      </c>
    </row>
    <row r="151" spans="1:39" ht="16.05" customHeight="1" outlineLevel="1">
      <c r="A151" s="186">
        <v>43492</v>
      </c>
      <c r="B151" s="185" t="s">
        <v>41</v>
      </c>
      <c r="C151" s="188">
        <v>57795</v>
      </c>
      <c r="D151" s="188">
        <v>156232</v>
      </c>
      <c r="E151" s="189">
        <v>2.7032096202093601</v>
      </c>
      <c r="F151" s="167">
        <v>0.26594334835373001</v>
      </c>
      <c r="G151" s="218">
        <v>18.02</v>
      </c>
      <c r="H151" s="190">
        <v>27.06</v>
      </c>
      <c r="I151" s="219">
        <v>0.35599999999999998</v>
      </c>
      <c r="J151" s="219">
        <v>0.185</v>
      </c>
      <c r="K151" s="219">
        <v>0.11600000000000001</v>
      </c>
      <c r="L151" s="167">
        <v>10.3151595063751</v>
      </c>
      <c r="M151" s="220">
        <v>10.984196579445999</v>
      </c>
      <c r="N151" s="167">
        <v>16.8289628525478</v>
      </c>
      <c r="O151" s="193">
        <f t="shared" si="23"/>
        <v>0.65269599057811578</v>
      </c>
      <c r="P151" s="167">
        <v>2.30369120935159</v>
      </c>
      <c r="Q151" s="167">
        <v>3.3154787588749901</v>
      </c>
      <c r="R151" s="167">
        <v>0.91271133252265302</v>
      </c>
      <c r="S151" s="167">
        <v>5.5402953752010404</v>
      </c>
      <c r="T151" s="167">
        <v>1.19011101086573</v>
      </c>
      <c r="U151" s="167">
        <v>0.53278350919860396</v>
      </c>
      <c r="V151" s="167">
        <v>2.04111913074177</v>
      </c>
      <c r="W151" s="167">
        <v>0.99277252579139397</v>
      </c>
      <c r="X151" s="167">
        <v>1.9112601771724101E-2</v>
      </c>
      <c r="Y151" s="189">
        <v>11.0033091812177</v>
      </c>
      <c r="Z151" s="207">
        <v>2348</v>
      </c>
      <c r="AA151" s="207">
        <v>1569</v>
      </c>
      <c r="AB151" s="167">
        <v>17986.52</v>
      </c>
      <c r="AC151" s="221"/>
      <c r="AD151" s="195">
        <v>1.50289313328895E-2</v>
      </c>
      <c r="AE151" s="219">
        <v>1.00427569255978E-2</v>
      </c>
      <c r="AF151" s="167">
        <v>7.6603577512776804</v>
      </c>
      <c r="AG151" s="222">
        <v>0.11512699062932</v>
      </c>
      <c r="AH151" s="223">
        <v>0.52895579202353105</v>
      </c>
      <c r="AI151" s="223">
        <v>0.39063932866164902</v>
      </c>
      <c r="AJ151" s="167">
        <v>0.51097726458088</v>
      </c>
      <c r="AK151" s="224">
        <v>0.25001280147472998</v>
      </c>
      <c r="AL151" s="224">
        <v>1.44656664447744E-2</v>
      </c>
      <c r="AM151" s="82">
        <v>0.32271877720313402</v>
      </c>
    </row>
    <row r="152" spans="1:39" ht="16.05" customHeight="1" outlineLevel="1">
      <c r="A152" s="186">
        <v>43493</v>
      </c>
      <c r="B152" s="185" t="s">
        <v>41</v>
      </c>
      <c r="C152" s="188">
        <v>58067</v>
      </c>
      <c r="D152" s="188">
        <v>164311</v>
      </c>
      <c r="E152" s="189">
        <v>2.8296795081543702</v>
      </c>
      <c r="F152" s="167">
        <v>0.25077652196140199</v>
      </c>
      <c r="G152" s="218">
        <v>18.489999999999998</v>
      </c>
      <c r="H152" s="190">
        <v>27.5</v>
      </c>
      <c r="I152" s="219">
        <v>0.35899999999999999</v>
      </c>
      <c r="J152" s="219">
        <v>0.2</v>
      </c>
      <c r="K152" s="219">
        <v>0.121</v>
      </c>
      <c r="L152" s="167">
        <v>10.3255229412517</v>
      </c>
      <c r="M152" s="220">
        <v>10.8841160969138</v>
      </c>
      <c r="N152" s="167">
        <v>16.623258321481998</v>
      </c>
      <c r="O152" s="193">
        <f t="shared" si="23"/>
        <v>0.65475226856388391</v>
      </c>
      <c r="P152" s="167">
        <v>2.25533773923389</v>
      </c>
      <c r="Q152" s="167">
        <v>3.3171318888672001</v>
      </c>
      <c r="R152" s="167">
        <v>0.92053577238039497</v>
      </c>
      <c r="S152" s="167">
        <v>5.4382662688343002</v>
      </c>
      <c r="T152" s="167">
        <v>1.1817852262904001</v>
      </c>
      <c r="U152" s="167">
        <v>0.53137577498303601</v>
      </c>
      <c r="V152" s="167">
        <v>2.00570722140115</v>
      </c>
      <c r="W152" s="167">
        <v>0.97311842949164895</v>
      </c>
      <c r="X152" s="167">
        <v>1.9639585907212501E-2</v>
      </c>
      <c r="Y152" s="189">
        <v>10.903755682821</v>
      </c>
      <c r="Z152" s="207">
        <v>2419</v>
      </c>
      <c r="AA152" s="207">
        <v>1574</v>
      </c>
      <c r="AB152" s="167">
        <v>17837.810000000001</v>
      </c>
      <c r="AC152" s="221"/>
      <c r="AD152" s="195">
        <v>1.4722081905654501E-2</v>
      </c>
      <c r="AE152" s="219">
        <v>9.5793951713518902E-3</v>
      </c>
      <c r="AF152" s="167">
        <v>7.3740429929723001</v>
      </c>
      <c r="AG152" s="222">
        <v>0.10856126491835601</v>
      </c>
      <c r="AH152" s="223">
        <v>0.52938846504899495</v>
      </c>
      <c r="AI152" s="223">
        <v>0.39771298672223498</v>
      </c>
      <c r="AJ152" s="167">
        <v>0.52591122931514001</v>
      </c>
      <c r="AK152" s="224">
        <v>0.25758470218062102</v>
      </c>
      <c r="AL152" s="224">
        <v>1.4947264638399099E-2</v>
      </c>
      <c r="AM152" s="82">
        <v>0.31066696691030998</v>
      </c>
    </row>
    <row r="153" spans="1:39" ht="16.05" customHeight="1" outlineLevel="1">
      <c r="A153" s="186">
        <v>43494</v>
      </c>
      <c r="B153" s="185" t="s">
        <v>41</v>
      </c>
      <c r="C153" s="188">
        <v>58262</v>
      </c>
      <c r="D153" s="188">
        <v>167305</v>
      </c>
      <c r="E153" s="189">
        <v>2.8715972675157002</v>
      </c>
      <c r="F153" s="167">
        <v>2.1189323610173001</v>
      </c>
      <c r="G153" s="218">
        <v>20.43</v>
      </c>
      <c r="H153" s="190">
        <v>29.87</v>
      </c>
      <c r="I153" s="219">
        <v>0.373</v>
      </c>
      <c r="J153" s="219">
        <v>0.20699999999999999</v>
      </c>
      <c r="K153" s="219">
        <v>0.113</v>
      </c>
      <c r="L153" s="167">
        <v>10.2540689160515</v>
      </c>
      <c r="M153" s="220">
        <v>10.3247840769851</v>
      </c>
      <c r="N153" s="167">
        <v>15.7049549959087</v>
      </c>
      <c r="O153" s="193">
        <f t="shared" si="23"/>
        <v>0.65742207345865122</v>
      </c>
      <c r="P153" s="167">
        <v>2.17648877170652</v>
      </c>
      <c r="Q153" s="167">
        <v>3.0692062914810401</v>
      </c>
      <c r="R153" s="167">
        <v>0.91321938358032595</v>
      </c>
      <c r="S153" s="167">
        <v>5.0617874352213796</v>
      </c>
      <c r="T153" s="167">
        <v>1.1244113101191</v>
      </c>
      <c r="U153" s="167">
        <v>0.55316846986089696</v>
      </c>
      <c r="V153" s="167">
        <v>1.8850440949177201</v>
      </c>
      <c r="W153" s="167">
        <v>0.921629239021729</v>
      </c>
      <c r="X153" s="167">
        <v>1.8535010908221499E-2</v>
      </c>
      <c r="Y153" s="189">
        <v>10.3433190878934</v>
      </c>
      <c r="Z153" s="207">
        <v>2096</v>
      </c>
      <c r="AA153" s="207">
        <v>1455</v>
      </c>
      <c r="AB153" s="167">
        <v>15494.04</v>
      </c>
      <c r="AC153" s="221"/>
      <c r="AD153" s="195">
        <v>1.2528017692238699E-2</v>
      </c>
      <c r="AE153" s="219">
        <v>8.6966916709004492E-3</v>
      </c>
      <c r="AF153" s="167">
        <v>7.3921946564885497</v>
      </c>
      <c r="AG153" s="222">
        <v>9.2609545440961102E-2</v>
      </c>
      <c r="AH153" s="223">
        <v>0.53899625828155595</v>
      </c>
      <c r="AI153" s="223">
        <v>0.39293192818646799</v>
      </c>
      <c r="AJ153" s="167">
        <v>0.54996563163085399</v>
      </c>
      <c r="AK153" s="224">
        <v>0.26920892979887001</v>
      </c>
      <c r="AL153" s="224">
        <v>1.7052688204178001E-2</v>
      </c>
      <c r="AM153" s="82">
        <v>0.25182152356474702</v>
      </c>
    </row>
    <row r="154" spans="1:39" s="166" customFormat="1" ht="16.05" customHeight="1" outlineLevel="1">
      <c r="A154" s="196">
        <v>43495</v>
      </c>
      <c r="B154" s="197" t="s">
        <v>41</v>
      </c>
      <c r="C154" s="198">
        <v>55196</v>
      </c>
      <c r="D154" s="198">
        <v>167471</v>
      </c>
      <c r="E154" s="200">
        <v>3.0341147909268802</v>
      </c>
      <c r="F154" s="166">
        <v>0.82149198695296499</v>
      </c>
      <c r="G154" s="201">
        <v>20.190000000000001</v>
      </c>
      <c r="H154" s="217">
        <v>29.05</v>
      </c>
      <c r="I154" s="203">
        <v>0.374</v>
      </c>
      <c r="J154" s="203">
        <v>0.20499999999999999</v>
      </c>
      <c r="K154" s="203">
        <v>0.11899999999999999</v>
      </c>
      <c r="L154" s="166">
        <v>10.1472434033355</v>
      </c>
      <c r="M154" s="204">
        <v>9.8653916200416791</v>
      </c>
      <c r="N154" s="166">
        <v>14.876212171689399</v>
      </c>
      <c r="O154" s="205">
        <f t="shared" si="23"/>
        <v>0.66316556299299723</v>
      </c>
      <c r="P154" s="166">
        <v>2.05493377513258</v>
      </c>
      <c r="Q154" s="166">
        <v>2.81899136510566</v>
      </c>
      <c r="R154" s="166">
        <v>0.89939762833037695</v>
      </c>
      <c r="S154" s="166">
        <v>4.7903674557225298</v>
      </c>
      <c r="T154" s="166">
        <v>1.06807069988565</v>
      </c>
      <c r="U154" s="166">
        <v>0.57575566580527804</v>
      </c>
      <c r="V154" s="166">
        <v>1.78795436741971</v>
      </c>
      <c r="W154" s="166">
        <v>0.88074121428764396</v>
      </c>
      <c r="X154" s="166">
        <v>1.0551080485576601E-2</v>
      </c>
      <c r="Y154" s="200">
        <v>9.8759427005272595</v>
      </c>
      <c r="Z154" s="206">
        <v>2117</v>
      </c>
      <c r="AA154" s="206">
        <v>1485</v>
      </c>
      <c r="AB154" s="166">
        <v>12894.83</v>
      </c>
      <c r="AC154" s="209"/>
      <c r="AD154" s="210">
        <v>1.26409945602522E-2</v>
      </c>
      <c r="AE154" s="203">
        <v>8.8672068596951092E-3</v>
      </c>
      <c r="AF154" s="166">
        <v>6.0910864430798304</v>
      </c>
      <c r="AG154" s="211">
        <v>7.6997390592998205E-2</v>
      </c>
      <c r="AH154" s="212">
        <v>0.55196028697731703</v>
      </c>
      <c r="AI154" s="212">
        <v>0.42240379737662098</v>
      </c>
      <c r="AJ154" s="166">
        <v>0.62002973649169102</v>
      </c>
      <c r="AK154" s="213">
        <v>0.29886965504475399</v>
      </c>
      <c r="AL154" s="213">
        <v>1.8946563882702099E-2</v>
      </c>
      <c r="AM154" s="214">
        <v>0</v>
      </c>
    </row>
    <row r="155" spans="1:39" s="167" customFormat="1" ht="16.05" customHeight="1" outlineLevel="1">
      <c r="A155" s="186">
        <v>43496</v>
      </c>
      <c r="B155" s="187" t="s">
        <v>41</v>
      </c>
      <c r="C155" s="188">
        <v>44960</v>
      </c>
      <c r="D155" s="188">
        <v>161232</v>
      </c>
      <c r="E155" s="189">
        <v>3.5861209964412799</v>
      </c>
      <c r="F155" s="167">
        <v>0.91906129473057496</v>
      </c>
      <c r="G155" s="218">
        <v>21.92</v>
      </c>
      <c r="H155" s="190">
        <v>30.6</v>
      </c>
      <c r="I155" s="219">
        <v>0.371</v>
      </c>
      <c r="J155" s="219">
        <v>0.20200000000000001</v>
      </c>
      <c r="K155" s="219">
        <v>0.11700000000000001</v>
      </c>
      <c r="L155" s="167">
        <v>9.9437022427309696</v>
      </c>
      <c r="M155" s="220">
        <v>9.9051925176143705</v>
      </c>
      <c r="N155" s="167">
        <v>14.7998220723017</v>
      </c>
      <c r="O155" s="193">
        <f t="shared" si="23"/>
        <v>0.66927781085640403</v>
      </c>
      <c r="P155" s="167">
        <v>2.0223150988332801</v>
      </c>
      <c r="Q155" s="167">
        <v>2.8635609634043502</v>
      </c>
      <c r="R155" s="167">
        <v>0.90024928411902605</v>
      </c>
      <c r="S155" s="167">
        <v>4.7336088741439601</v>
      </c>
      <c r="T155" s="167">
        <v>1.0614684595353501</v>
      </c>
      <c r="U155" s="167">
        <v>0.56199204885598097</v>
      </c>
      <c r="V155" s="167">
        <v>1.7713907088380001</v>
      </c>
      <c r="W155" s="167">
        <v>0.88523663457172297</v>
      </c>
      <c r="X155" s="167">
        <v>1.1064801032053199E-2</v>
      </c>
      <c r="Y155" s="189">
        <v>9.9162573186464193</v>
      </c>
      <c r="Z155" s="207">
        <v>2059</v>
      </c>
      <c r="AA155" s="207">
        <v>1402</v>
      </c>
      <c r="AB155" s="167">
        <v>13362.41</v>
      </c>
      <c r="AC155" s="221"/>
      <c r="AD155" s="195">
        <v>1.2770417783070399E-2</v>
      </c>
      <c r="AE155" s="219">
        <v>8.6955443088220698E-3</v>
      </c>
      <c r="AF155" s="167">
        <v>6.4897571636716798</v>
      </c>
      <c r="AG155" s="222">
        <v>8.2876910290761094E-2</v>
      </c>
      <c r="AH155" s="223">
        <v>0.550578291814947</v>
      </c>
      <c r="AI155" s="223">
        <v>0.43209519572953697</v>
      </c>
      <c r="AJ155" s="167">
        <v>0.61841942046243903</v>
      </c>
      <c r="AK155" s="224">
        <v>0.31988687109258701</v>
      </c>
      <c r="AL155" s="224">
        <v>2.0349558400317599E-2</v>
      </c>
      <c r="AM155" s="82">
        <v>0</v>
      </c>
    </row>
    <row r="156" spans="1:39" ht="16.05" customHeight="1">
      <c r="A156" s="186">
        <v>43497</v>
      </c>
      <c r="B156" s="187" t="s">
        <v>41</v>
      </c>
      <c r="C156" s="188">
        <v>48398</v>
      </c>
      <c r="D156" s="188">
        <v>164759</v>
      </c>
      <c r="E156" s="189">
        <v>3.40425224182817</v>
      </c>
      <c r="F156" s="167">
        <v>0.88132591116722003</v>
      </c>
      <c r="G156" s="218">
        <v>22.11</v>
      </c>
      <c r="H156" s="190">
        <v>31.45</v>
      </c>
      <c r="I156" s="219">
        <v>0.36699999999999999</v>
      </c>
      <c r="J156" s="219">
        <v>0.20100000000000001</v>
      </c>
      <c r="K156" s="219">
        <v>0.108</v>
      </c>
      <c r="L156" s="167">
        <v>9.5894913176214995</v>
      </c>
      <c r="M156" s="220">
        <v>9.1776594905285904</v>
      </c>
      <c r="N156" s="167">
        <v>13.848609737333801</v>
      </c>
      <c r="O156" s="193">
        <f t="shared" si="23"/>
        <v>0.66271341777990755</v>
      </c>
      <c r="P156" s="167">
        <v>1.9450489064732399</v>
      </c>
      <c r="Q156" s="167">
        <v>2.67000036634062</v>
      </c>
      <c r="R156" s="167">
        <v>0.82988057295673501</v>
      </c>
      <c r="S156" s="167">
        <v>4.3244312561819997</v>
      </c>
      <c r="T156" s="167">
        <v>1.02791515551159</v>
      </c>
      <c r="U156" s="167">
        <v>0.55114115104223904</v>
      </c>
      <c r="V156" s="167">
        <v>1.6596054511484799</v>
      </c>
      <c r="W156" s="167">
        <v>0.84058687767886597</v>
      </c>
      <c r="X156" s="167">
        <v>9.4562360781505102E-3</v>
      </c>
      <c r="Y156" s="189">
        <v>9.1871157266067396</v>
      </c>
      <c r="Z156" s="207">
        <v>2118</v>
      </c>
      <c r="AA156" s="207">
        <v>1444</v>
      </c>
      <c r="AB156" s="167">
        <v>14191.82</v>
      </c>
      <c r="AC156" s="221"/>
      <c r="AD156" s="195">
        <v>1.2855139931657799E-2</v>
      </c>
      <c r="AE156" s="219">
        <v>8.7643163651151094E-3</v>
      </c>
      <c r="AF156" s="167">
        <v>6.7005760151085898</v>
      </c>
      <c r="AG156" s="222">
        <v>8.6136842296930693E-2</v>
      </c>
      <c r="AH156" s="223">
        <v>0.54493987354849405</v>
      </c>
      <c r="AI156" s="223">
        <v>0.38520186784577898</v>
      </c>
      <c r="AJ156" s="167">
        <v>0.57187771229492801</v>
      </c>
      <c r="AK156" s="224">
        <v>0.308116703791599</v>
      </c>
      <c r="AL156" s="224">
        <v>2.0891119756735601E-2</v>
      </c>
      <c r="AM156" s="82">
        <v>0</v>
      </c>
    </row>
    <row r="157" spans="1:39" ht="16.05" customHeight="1" outlineLevel="1">
      <c r="A157" s="186">
        <v>43498</v>
      </c>
      <c r="B157" s="185" t="s">
        <v>41</v>
      </c>
      <c r="C157" s="188">
        <v>51833</v>
      </c>
      <c r="D157" s="188">
        <v>167753</v>
      </c>
      <c r="E157" s="189">
        <v>3.2364130959041502</v>
      </c>
      <c r="F157" s="167">
        <v>0.96823279767276904</v>
      </c>
      <c r="G157" s="218">
        <v>20.47</v>
      </c>
      <c r="H157" s="190">
        <v>30.39</v>
      </c>
      <c r="I157" s="219">
        <v>0.36299999999999999</v>
      </c>
      <c r="J157" s="219">
        <v>0.184</v>
      </c>
      <c r="K157" s="219">
        <v>0.111</v>
      </c>
      <c r="L157" s="167">
        <v>10.0505266671833</v>
      </c>
      <c r="M157" s="220">
        <v>10.1655827317544</v>
      </c>
      <c r="N157" s="167">
        <v>15.5323022834294</v>
      </c>
      <c r="O157" s="193">
        <f t="shared" si="23"/>
        <v>0.65448009871656487</v>
      </c>
      <c r="P157" s="167">
        <v>2.18140831215673</v>
      </c>
      <c r="Q157" s="167">
        <v>3.0510151105281902</v>
      </c>
      <c r="R157" s="167">
        <v>0.84660855625688802</v>
      </c>
      <c r="S157" s="167">
        <v>5.0005282764525303</v>
      </c>
      <c r="T157" s="167">
        <v>1.1587106411272301</v>
      </c>
      <c r="U157" s="167">
        <v>0.49501325245238698</v>
      </c>
      <c r="V157" s="167">
        <v>1.9045550181708899</v>
      </c>
      <c r="W157" s="167">
        <v>0.89446311628457698</v>
      </c>
      <c r="X157" s="167">
        <v>8.0833129660870407E-3</v>
      </c>
      <c r="Y157" s="189">
        <v>10.1736660447205</v>
      </c>
      <c r="Z157" s="207">
        <v>2524</v>
      </c>
      <c r="AA157" s="207">
        <v>1619</v>
      </c>
      <c r="AB157" s="167">
        <v>19933.759999999998</v>
      </c>
      <c r="AC157" s="221"/>
      <c r="AD157" s="195">
        <v>1.50459306241915E-2</v>
      </c>
      <c r="AE157" s="219">
        <v>9.6510941682115998E-3</v>
      </c>
      <c r="AF157" s="167">
        <v>7.8976862123613296</v>
      </c>
      <c r="AG157" s="222">
        <v>0.118828038842822</v>
      </c>
      <c r="AH157" s="223">
        <v>0.54064013273397304</v>
      </c>
      <c r="AI157" s="223">
        <v>0.385931742326317</v>
      </c>
      <c r="AJ157" s="167">
        <v>0.45837630325538098</v>
      </c>
      <c r="AK157" s="224">
        <v>0.25616233390759002</v>
      </c>
      <c r="AL157" s="224">
        <v>1.7799979732106098E-2</v>
      </c>
      <c r="AM157" s="82">
        <v>0.344655535221427</v>
      </c>
    </row>
    <row r="158" spans="1:39" ht="16.05" customHeight="1" outlineLevel="1">
      <c r="A158" s="186">
        <v>43499</v>
      </c>
      <c r="B158" s="185" t="s">
        <v>41</v>
      </c>
      <c r="C158" s="188">
        <v>57002</v>
      </c>
      <c r="D158" s="188">
        <v>177699</v>
      </c>
      <c r="E158" s="189">
        <v>3.1174169327392001</v>
      </c>
      <c r="F158" s="167">
        <v>0.24301960731349101</v>
      </c>
      <c r="G158" s="218">
        <v>19.43</v>
      </c>
      <c r="H158" s="190">
        <v>30.03</v>
      </c>
      <c r="I158" s="219">
        <v>0.36599999999999999</v>
      </c>
      <c r="J158" s="219">
        <v>0.188</v>
      </c>
      <c r="K158" s="219">
        <v>0.115</v>
      </c>
      <c r="L158" s="167">
        <v>9.6864641894439494</v>
      </c>
      <c r="M158" s="220">
        <v>10.165622766588401</v>
      </c>
      <c r="N158" s="167">
        <v>15.536165198844101</v>
      </c>
      <c r="O158" s="193">
        <f t="shared" si="23"/>
        <v>0.65431994552585782</v>
      </c>
      <c r="P158" s="167">
        <v>2.12444956653365</v>
      </c>
      <c r="Q158" s="167">
        <v>3.0742397137745998</v>
      </c>
      <c r="R158" s="167">
        <v>0.88548403742947601</v>
      </c>
      <c r="S158" s="167">
        <v>5.0073190449979403</v>
      </c>
      <c r="T158" s="167">
        <v>1.1489352552635199</v>
      </c>
      <c r="U158" s="167">
        <v>0.516495802944819</v>
      </c>
      <c r="V158" s="167">
        <v>1.8649115866244701</v>
      </c>
      <c r="W158" s="167">
        <v>0.91433019127562898</v>
      </c>
      <c r="X158" s="167">
        <v>6.59542259663814E-3</v>
      </c>
      <c r="Y158" s="189">
        <v>10.1722181891851</v>
      </c>
      <c r="Z158" s="207">
        <v>2448</v>
      </c>
      <c r="AA158" s="207">
        <v>1566</v>
      </c>
      <c r="AB158" s="167">
        <v>18694.52</v>
      </c>
      <c r="AC158" s="221"/>
      <c r="AD158" s="195">
        <v>1.3776104536322701E-2</v>
      </c>
      <c r="AE158" s="219">
        <v>8.8126551077946404E-3</v>
      </c>
      <c r="AF158" s="167">
        <v>7.6366503267973904</v>
      </c>
      <c r="AG158" s="222">
        <v>0.10520329320930299</v>
      </c>
      <c r="AH158" s="223">
        <v>0.54805094558085699</v>
      </c>
      <c r="AI158" s="223">
        <v>0.39193361636433799</v>
      </c>
      <c r="AJ158" s="167">
        <v>0.46980005514943801</v>
      </c>
      <c r="AK158" s="224">
        <v>0.24647859582777601</v>
      </c>
      <c r="AL158" s="224">
        <v>1.73101705693335E-2</v>
      </c>
      <c r="AM158" s="82">
        <v>0.31938277649283298</v>
      </c>
    </row>
    <row r="159" spans="1:39" ht="16.05" customHeight="1" outlineLevel="1">
      <c r="A159" s="186">
        <v>43500</v>
      </c>
      <c r="B159" s="185" t="s">
        <v>41</v>
      </c>
      <c r="C159" s="188">
        <v>60968</v>
      </c>
      <c r="D159" s="188">
        <v>188986</v>
      </c>
      <c r="E159" s="189">
        <v>3.0997572497047599</v>
      </c>
      <c r="F159" s="167">
        <v>0.798950891420528</v>
      </c>
      <c r="G159" s="218">
        <v>19.78</v>
      </c>
      <c r="H159" s="190">
        <v>30.74</v>
      </c>
      <c r="I159" s="219">
        <v>0.35399999999999998</v>
      </c>
      <c r="J159" s="219">
        <v>0.19800000000000001</v>
      </c>
      <c r="K159" s="219">
        <v>0.11799999999999999</v>
      </c>
      <c r="L159" s="167">
        <v>9.7980167843120594</v>
      </c>
      <c r="M159" s="220">
        <v>9.9871630702803404</v>
      </c>
      <c r="N159" s="167">
        <v>15.230331003986199</v>
      </c>
      <c r="O159" s="193">
        <f t="shared" si="23"/>
        <v>0.65574169515202418</v>
      </c>
      <c r="P159" s="167">
        <v>2.08481674547714</v>
      </c>
      <c r="Q159" s="167">
        <v>3.07469780352791</v>
      </c>
      <c r="R159" s="167">
        <v>0.85062053160757201</v>
      </c>
      <c r="S159" s="167">
        <v>4.86023110565983</v>
      </c>
      <c r="T159" s="167">
        <v>1.1332165970014401</v>
      </c>
      <c r="U159" s="167">
        <v>0.51559801817213502</v>
      </c>
      <c r="V159" s="167">
        <v>1.81830285815729</v>
      </c>
      <c r="W159" s="167">
        <v>0.892847344382938</v>
      </c>
      <c r="X159" s="167">
        <v>6.6089551606997301E-3</v>
      </c>
      <c r="Y159" s="189">
        <v>9.9937720254410394</v>
      </c>
      <c r="Z159" s="207">
        <v>2304</v>
      </c>
      <c r="AA159" s="207">
        <v>1563</v>
      </c>
      <c r="AB159" s="167">
        <v>16748.96</v>
      </c>
      <c r="AC159" s="221"/>
      <c r="AD159" s="195">
        <v>1.21913792556062E-2</v>
      </c>
      <c r="AE159" s="219">
        <v>8.2704538960557909E-3</v>
      </c>
      <c r="AF159" s="167">
        <v>7.2695138888888904</v>
      </c>
      <c r="AG159" s="222">
        <v>8.8625400823341402E-2</v>
      </c>
      <c r="AH159" s="223">
        <v>0.55012465555701395</v>
      </c>
      <c r="AI159" s="223">
        <v>0.39715916546384999</v>
      </c>
      <c r="AJ159" s="167">
        <v>0.47070682484416798</v>
      </c>
      <c r="AK159" s="224">
        <v>0.24139354237880101</v>
      </c>
      <c r="AL159" s="224">
        <v>1.6874265818632099E-2</v>
      </c>
      <c r="AM159" s="82">
        <v>0.30032383351147701</v>
      </c>
    </row>
    <row r="160" spans="1:39" ht="16.05" customHeight="1" outlineLevel="1">
      <c r="A160" s="186">
        <v>43501</v>
      </c>
      <c r="B160" s="185" t="s">
        <v>41</v>
      </c>
      <c r="C160" s="188">
        <v>59877</v>
      </c>
      <c r="D160" s="188">
        <v>184469</v>
      </c>
      <c r="E160" s="189">
        <v>3.0807989712243402</v>
      </c>
      <c r="F160" s="167">
        <v>0.20813579734264301</v>
      </c>
      <c r="G160" s="218">
        <v>20.87</v>
      </c>
      <c r="H160" s="190">
        <v>32.26</v>
      </c>
      <c r="I160" s="219">
        <v>0.38300000000000001</v>
      </c>
      <c r="J160" s="219">
        <v>0.20899999999999999</v>
      </c>
      <c r="K160" s="219">
        <v>0.11700000000000001</v>
      </c>
      <c r="L160" s="167">
        <v>9.9741311548281804</v>
      </c>
      <c r="M160" s="220">
        <v>9.8419029755677094</v>
      </c>
      <c r="N160" s="167">
        <v>15.007944052706801</v>
      </c>
      <c r="O160" s="193">
        <f t="shared" si="23"/>
        <v>0.65577956187760744</v>
      </c>
      <c r="P160" s="167">
        <v>2.0576501806217999</v>
      </c>
      <c r="Q160" s="167">
        <v>2.9699101437534599</v>
      </c>
      <c r="R160" s="167">
        <v>0.85449405229352504</v>
      </c>
      <c r="S160" s="167">
        <v>4.7609675046085398</v>
      </c>
      <c r="T160" s="167">
        <v>1.1247902389829001</v>
      </c>
      <c r="U160" s="167">
        <v>0.55653834390060397</v>
      </c>
      <c r="V160" s="167">
        <v>1.79375222160683</v>
      </c>
      <c r="W160" s="167">
        <v>0.88984136693918403</v>
      </c>
      <c r="X160" s="167">
        <v>7.4213011400289502E-3</v>
      </c>
      <c r="Y160" s="189">
        <v>9.8493242767077405</v>
      </c>
      <c r="Z160" s="207">
        <v>2296</v>
      </c>
      <c r="AA160" s="207">
        <v>1567</v>
      </c>
      <c r="AB160" s="167">
        <v>16621.04</v>
      </c>
      <c r="AC160" s="221"/>
      <c r="AD160" s="195">
        <v>1.2446535732291099E-2</v>
      </c>
      <c r="AE160" s="219">
        <v>8.4946522179878501E-3</v>
      </c>
      <c r="AF160" s="167">
        <v>7.2391289198606303</v>
      </c>
      <c r="AG160" s="222">
        <v>9.0102076771706896E-2</v>
      </c>
      <c r="AH160" s="223">
        <v>0.55533844380981001</v>
      </c>
      <c r="AI160" s="223">
        <v>0.40367753895485697</v>
      </c>
      <c r="AJ160" s="167">
        <v>0.518661672150876</v>
      </c>
      <c r="AK160" s="224">
        <v>0.25349516720966703</v>
      </c>
      <c r="AL160" s="224">
        <v>1.9932888452802399E-2</v>
      </c>
      <c r="AM160" s="82">
        <v>0.247472475050008</v>
      </c>
    </row>
    <row r="161" spans="1:39" s="166" customFormat="1" ht="16.05" customHeight="1" outlineLevel="1">
      <c r="A161" s="196">
        <v>43502</v>
      </c>
      <c r="B161" s="197" t="s">
        <v>41</v>
      </c>
      <c r="C161" s="198">
        <v>57880</v>
      </c>
      <c r="D161" s="198">
        <v>191982</v>
      </c>
      <c r="E161" s="200">
        <v>3.3168970283344801</v>
      </c>
      <c r="F161" s="166">
        <v>0.79417435522080204</v>
      </c>
      <c r="G161" s="201">
        <v>20.45</v>
      </c>
      <c r="H161" s="217">
        <v>32.299999999999997</v>
      </c>
      <c r="I161" s="203">
        <v>0.38400000000000001</v>
      </c>
      <c r="J161" s="203">
        <v>0.20499999999999999</v>
      </c>
      <c r="K161" s="203">
        <v>0.11</v>
      </c>
      <c r="L161" s="166">
        <v>9.7106187038368201</v>
      </c>
      <c r="M161" s="204">
        <v>9.1528684980883597</v>
      </c>
      <c r="N161" s="166">
        <v>13.8488686427654</v>
      </c>
      <c r="O161" s="205">
        <f t="shared" si="23"/>
        <v>0.66091091873196339</v>
      </c>
      <c r="P161" s="166">
        <v>1.9381319798554599</v>
      </c>
      <c r="Q161" s="166">
        <v>2.60174333835108</v>
      </c>
      <c r="R161" s="166">
        <v>0.78752078686664095</v>
      </c>
      <c r="S161" s="166">
        <v>4.4141768400810202</v>
      </c>
      <c r="T161" s="166">
        <v>1.0503377126959501</v>
      </c>
      <c r="U161" s="166">
        <v>0.57646020349455795</v>
      </c>
      <c r="V161" s="166">
        <v>1.6462567877493399</v>
      </c>
      <c r="W161" s="166">
        <v>0.83424099367133497</v>
      </c>
      <c r="X161" s="166">
        <v>7.8288589555270804E-3</v>
      </c>
      <c r="Y161" s="200">
        <v>9.1606973570438903</v>
      </c>
      <c r="Z161" s="206">
        <v>2108</v>
      </c>
      <c r="AA161" s="206">
        <v>1457</v>
      </c>
      <c r="AB161" s="166">
        <v>15094.92</v>
      </c>
      <c r="AC161" s="209"/>
      <c r="AD161" s="210">
        <v>1.09801960600473E-2</v>
      </c>
      <c r="AE161" s="203">
        <v>7.5892531591503403E-3</v>
      </c>
      <c r="AF161" s="166">
        <v>7.1607779886148002</v>
      </c>
      <c r="AG161" s="211">
        <v>7.8626746257461605E-2</v>
      </c>
      <c r="AH161" s="212">
        <v>0.56568762957843799</v>
      </c>
      <c r="AI161" s="212">
        <v>0.421423635107118</v>
      </c>
      <c r="AJ161" s="166">
        <v>0.55905241116354698</v>
      </c>
      <c r="AK161" s="213">
        <v>0.281302413767957</v>
      </c>
      <c r="AL161" s="213">
        <v>2.1236365909304E-2</v>
      </c>
      <c r="AM161" s="214">
        <v>0</v>
      </c>
    </row>
    <row r="162" spans="1:39" s="167" customFormat="1" ht="16.05" customHeight="1" outlineLevel="1">
      <c r="A162" s="186">
        <v>43503</v>
      </c>
      <c r="B162" s="187" t="s">
        <v>41</v>
      </c>
      <c r="C162" s="188">
        <v>55232</v>
      </c>
      <c r="D162" s="188">
        <v>196826</v>
      </c>
      <c r="E162" s="189">
        <v>3.56362253765933</v>
      </c>
      <c r="F162" s="167">
        <v>0.16949698058183399</v>
      </c>
      <c r="G162" s="218">
        <v>21.87</v>
      </c>
      <c r="H162" s="190">
        <v>34.340000000000003</v>
      </c>
      <c r="I162" s="219">
        <v>0.377</v>
      </c>
      <c r="J162" s="219">
        <v>0.2</v>
      </c>
      <c r="K162" s="219">
        <v>0.109</v>
      </c>
      <c r="L162" s="167">
        <v>9.3817432656254809</v>
      </c>
      <c r="M162" s="220">
        <v>8.8442634611281008</v>
      </c>
      <c r="N162" s="167">
        <v>13.3997967839521</v>
      </c>
      <c r="O162" s="193">
        <f t="shared" si="23"/>
        <v>0.66002967087681441</v>
      </c>
      <c r="P162" s="167">
        <v>1.8888392822778699</v>
      </c>
      <c r="Q162" s="167">
        <v>2.5406778486810202</v>
      </c>
      <c r="R162" s="167">
        <v>0.75039834963936902</v>
      </c>
      <c r="S162" s="167">
        <v>4.2100284040612399</v>
      </c>
      <c r="T162" s="167">
        <v>1.02709547305463</v>
      </c>
      <c r="U162" s="167">
        <v>0.56464040766370804</v>
      </c>
      <c r="V162" s="167">
        <v>1.5960311290036999</v>
      </c>
      <c r="W162" s="167">
        <v>0.82208588957055195</v>
      </c>
      <c r="X162" s="167">
        <v>5.9951429181104099E-3</v>
      </c>
      <c r="Y162" s="189">
        <v>8.8502586040462106</v>
      </c>
      <c r="Z162" s="207">
        <v>2183</v>
      </c>
      <c r="AA162" s="207">
        <v>1492</v>
      </c>
      <c r="AB162" s="167">
        <v>14442.17</v>
      </c>
      <c r="AC162" s="221"/>
      <c r="AD162" s="195">
        <v>1.10910143985043E-2</v>
      </c>
      <c r="AE162" s="219">
        <v>7.5802993506955399E-3</v>
      </c>
      <c r="AF162" s="167">
        <v>6.6157443884562497</v>
      </c>
      <c r="AG162" s="222">
        <v>7.3375316269192095E-2</v>
      </c>
      <c r="AH162" s="223">
        <v>0.56838426998841296</v>
      </c>
      <c r="AI162" s="223">
        <v>0.43230373696407898</v>
      </c>
      <c r="AJ162" s="167">
        <v>0.532282320425147</v>
      </c>
      <c r="AK162" s="224">
        <v>0.28798532714173902</v>
      </c>
      <c r="AL162" s="224">
        <v>2.0159938219544201E-2</v>
      </c>
      <c r="AM162" s="82">
        <v>0</v>
      </c>
    </row>
    <row r="163" spans="1:39" ht="16.05" customHeight="1" outlineLevel="1">
      <c r="A163" s="186">
        <v>43504</v>
      </c>
      <c r="B163" s="187" t="s">
        <v>41</v>
      </c>
      <c r="C163" s="188">
        <v>52182</v>
      </c>
      <c r="D163" s="188">
        <v>194712</v>
      </c>
      <c r="E163" s="189">
        <v>3.7314016327469202</v>
      </c>
      <c r="F163" s="167">
        <v>0.75080784965487501</v>
      </c>
      <c r="G163" s="218">
        <v>20.059999999999999</v>
      </c>
      <c r="H163" s="190">
        <v>31.48</v>
      </c>
      <c r="I163" s="219">
        <v>0.36599999999999999</v>
      </c>
      <c r="J163" s="219">
        <v>0.20200000000000001</v>
      </c>
      <c r="K163" s="219">
        <v>0.104</v>
      </c>
      <c r="L163" s="167">
        <v>9.1359905912321793</v>
      </c>
      <c r="M163" s="220">
        <v>8.7295441472533799</v>
      </c>
      <c r="N163" s="167">
        <v>13.319439873368101</v>
      </c>
      <c r="O163" s="193">
        <f t="shared" si="23"/>
        <v>0.65539874275853693</v>
      </c>
      <c r="P163" s="167">
        <v>1.89110128982713</v>
      </c>
      <c r="Q163" s="167">
        <v>2.53671227294811</v>
      </c>
      <c r="R163" s="167">
        <v>0.74132932123434703</v>
      </c>
      <c r="S163" s="167">
        <v>4.1623176140548797</v>
      </c>
      <c r="T163" s="167">
        <v>1.02694845393139</v>
      </c>
      <c r="U163" s="167">
        <v>0.54954001912015904</v>
      </c>
      <c r="V163" s="167">
        <v>1.5834469572304</v>
      </c>
      <c r="W163" s="167">
        <v>0.82804394502170597</v>
      </c>
      <c r="X163" s="167">
        <v>6.7741073996466601E-3</v>
      </c>
      <c r="Y163" s="189">
        <v>8.73631825465303</v>
      </c>
      <c r="Z163" s="207">
        <v>2213</v>
      </c>
      <c r="AA163" s="207">
        <v>1539</v>
      </c>
      <c r="AB163" s="167">
        <v>14187.87</v>
      </c>
      <c r="AC163" s="221"/>
      <c r="AD163" s="195">
        <v>1.1365503923743799E-2</v>
      </c>
      <c r="AE163" s="219">
        <v>7.9039812646370007E-3</v>
      </c>
      <c r="AF163" s="167">
        <v>6.4111477632173504</v>
      </c>
      <c r="AG163" s="222">
        <v>7.2865925058547998E-2</v>
      </c>
      <c r="AH163" s="223">
        <v>0.55049633973400802</v>
      </c>
      <c r="AI163" s="223">
        <v>0.420049059062512</v>
      </c>
      <c r="AJ163" s="167">
        <v>0.51592094991577298</v>
      </c>
      <c r="AK163" s="224">
        <v>0.29419861128230401</v>
      </c>
      <c r="AL163" s="224">
        <v>1.95057315419697E-2</v>
      </c>
      <c r="AM163" s="82">
        <v>0</v>
      </c>
    </row>
    <row r="164" spans="1:39" ht="16.05" customHeight="1" outlineLevel="1">
      <c r="A164" s="186">
        <v>43505</v>
      </c>
      <c r="B164" s="185" t="s">
        <v>41</v>
      </c>
      <c r="C164" s="188">
        <v>65735</v>
      </c>
      <c r="D164" s="188">
        <v>205685</v>
      </c>
      <c r="E164" s="189">
        <v>3.1290028143302702</v>
      </c>
      <c r="F164" s="167">
        <v>0.22544571261881</v>
      </c>
      <c r="G164" s="218">
        <v>17.96</v>
      </c>
      <c r="H164" s="190">
        <v>30.12</v>
      </c>
      <c r="I164" s="219">
        <v>0.35399999999999998</v>
      </c>
      <c r="J164" s="219">
        <v>0.184</v>
      </c>
      <c r="K164" s="219">
        <v>0.104</v>
      </c>
      <c r="L164" s="167">
        <v>9.8213287308262593</v>
      </c>
      <c r="M164" s="220">
        <v>9.9714125969322005</v>
      </c>
      <c r="N164" s="167">
        <v>15.372052585031</v>
      </c>
      <c r="O164" s="193">
        <f t="shared" si="23"/>
        <v>0.64867151226389663</v>
      </c>
      <c r="P164" s="167">
        <v>2.1403291810945699</v>
      </c>
      <c r="Q164" s="167">
        <v>2.9278529777697799</v>
      </c>
      <c r="R164" s="167">
        <v>0.74277855226274503</v>
      </c>
      <c r="S164" s="167">
        <v>5.1175443330185404</v>
      </c>
      <c r="T164" s="167">
        <v>1.15536418281843</v>
      </c>
      <c r="U164" s="167">
        <v>0.50296053124672102</v>
      </c>
      <c r="V164" s="167">
        <v>1.8720975551258401</v>
      </c>
      <c r="W164" s="167">
        <v>0.913125271694323</v>
      </c>
      <c r="X164" s="167">
        <v>6.76276831076646E-3</v>
      </c>
      <c r="Y164" s="189">
        <v>9.9781753652429703</v>
      </c>
      <c r="Z164" s="207">
        <v>2506</v>
      </c>
      <c r="AA164" s="207">
        <v>1623</v>
      </c>
      <c r="AB164" s="167">
        <v>20073.939999999999</v>
      </c>
      <c r="AC164" s="221"/>
      <c r="AD164" s="195">
        <v>1.21836789265138E-2</v>
      </c>
      <c r="AE164" s="219">
        <v>7.8907066631013403E-3</v>
      </c>
      <c r="AF164" s="167">
        <v>8.0103511572226704</v>
      </c>
      <c r="AG164" s="222">
        <v>9.7595546588229595E-2</v>
      </c>
      <c r="AH164" s="223">
        <v>0.54651251236023402</v>
      </c>
      <c r="AI164" s="223">
        <v>0.38265764052635598</v>
      </c>
      <c r="AJ164" s="167">
        <v>0.41262610302161101</v>
      </c>
      <c r="AK164" s="224">
        <v>0.238899287745825</v>
      </c>
      <c r="AL164" s="224">
        <v>1.57230716872888E-2</v>
      </c>
      <c r="AM164" s="82">
        <v>0.34229525731093702</v>
      </c>
    </row>
    <row r="165" spans="1:39" ht="16.05" customHeight="1" outlineLevel="1">
      <c r="A165" s="186">
        <v>43506</v>
      </c>
      <c r="B165" s="185" t="s">
        <v>41</v>
      </c>
      <c r="C165" s="188">
        <v>49632</v>
      </c>
      <c r="D165" s="188">
        <v>194976</v>
      </c>
      <c r="E165" s="189">
        <v>3.9284332688588002</v>
      </c>
      <c r="F165" s="167">
        <v>0.85009623969103898</v>
      </c>
      <c r="G165" s="218">
        <v>17.670000000000002</v>
      </c>
      <c r="H165" s="190">
        <v>28.8</v>
      </c>
      <c r="I165" s="219">
        <v>0.36299999999999999</v>
      </c>
      <c r="J165" s="219">
        <v>0.192</v>
      </c>
      <c r="K165" s="219">
        <v>0.11700000000000001</v>
      </c>
      <c r="L165" s="167">
        <v>9.5207512719514202</v>
      </c>
      <c r="M165" s="220">
        <v>10.4531532086</v>
      </c>
      <c r="N165" s="167">
        <v>15.752929355387201</v>
      </c>
      <c r="O165" s="193">
        <f t="shared" si="23"/>
        <v>0.66356884949942474</v>
      </c>
      <c r="P165" s="167">
        <v>2.0985391868913301</v>
      </c>
      <c r="Q165" s="167">
        <v>3.0963054567939401</v>
      </c>
      <c r="R165" s="167">
        <v>0.83361415983923304</v>
      </c>
      <c r="S165" s="167">
        <v>5.2142216725923598</v>
      </c>
      <c r="T165" s="167">
        <v>1.17675838614933</v>
      </c>
      <c r="U165" s="167">
        <v>0.50697944040809995</v>
      </c>
      <c r="V165" s="167">
        <v>1.8816895965373299</v>
      </c>
      <c r="W165" s="167">
        <v>0.94482145617560698</v>
      </c>
      <c r="X165" s="167">
        <v>6.5392663712456897E-3</v>
      </c>
      <c r="Y165" s="189">
        <v>10.4596924749713</v>
      </c>
      <c r="Z165" s="207">
        <v>2505</v>
      </c>
      <c r="AA165" s="207">
        <v>1653</v>
      </c>
      <c r="AB165" s="167">
        <v>20362.95</v>
      </c>
      <c r="AC165" s="221"/>
      <c r="AD165" s="195">
        <v>1.2847735105859201E-2</v>
      </c>
      <c r="AE165" s="219">
        <v>8.4779665189561801E-3</v>
      </c>
      <c r="AF165" s="167">
        <v>8.1289221556886204</v>
      </c>
      <c r="AG165" s="222">
        <v>0.104438238552437</v>
      </c>
      <c r="AH165" s="223">
        <v>0.58367585428755597</v>
      </c>
      <c r="AI165" s="223">
        <v>0.47038201160541598</v>
      </c>
      <c r="AJ165" s="167">
        <v>0.45233772361726599</v>
      </c>
      <c r="AK165" s="224">
        <v>0.25622127851632998</v>
      </c>
      <c r="AL165" s="224">
        <v>1.7089282783522099E-2</v>
      </c>
      <c r="AM165" s="82">
        <v>0.34697603807648097</v>
      </c>
    </row>
    <row r="166" spans="1:39" ht="16.05" customHeight="1" outlineLevel="1">
      <c r="A166" s="186">
        <v>43507</v>
      </c>
      <c r="B166" s="185" t="s">
        <v>41</v>
      </c>
      <c r="C166" s="188">
        <v>37068</v>
      </c>
      <c r="D166" s="188">
        <v>185054</v>
      </c>
      <c r="E166" s="189">
        <v>4.9922844501996302</v>
      </c>
      <c r="F166" s="167">
        <v>0.81461686226722996</v>
      </c>
      <c r="G166" s="218">
        <v>17.37</v>
      </c>
      <c r="H166" s="190">
        <v>28.05</v>
      </c>
      <c r="I166" s="219">
        <v>0.36199999999999999</v>
      </c>
      <c r="J166" s="219">
        <v>0.19500000000000001</v>
      </c>
      <c r="K166" s="219">
        <v>0.123</v>
      </c>
      <c r="L166" s="167">
        <v>9.4770877689755402</v>
      </c>
      <c r="M166" s="220">
        <v>10.4504955310342</v>
      </c>
      <c r="N166" s="167">
        <v>15.5975255669904</v>
      </c>
      <c r="O166" s="193">
        <f t="shared" si="23"/>
        <v>0.67000983496708966</v>
      </c>
      <c r="P166" s="167">
        <v>2.0648772461851101</v>
      </c>
      <c r="Q166" s="167">
        <v>3.07730586830984</v>
      </c>
      <c r="R166" s="167">
        <v>0.84575120172920004</v>
      </c>
      <c r="S166" s="167">
        <v>5.14652224408814</v>
      </c>
      <c r="T166" s="167">
        <v>1.1759283156434499</v>
      </c>
      <c r="U166" s="167">
        <v>0.49105558602445398</v>
      </c>
      <c r="V166" s="167">
        <v>1.8557521695648</v>
      </c>
      <c r="W166" s="167">
        <v>0.940332935445366</v>
      </c>
      <c r="X166" s="167">
        <v>6.5494396230289503E-3</v>
      </c>
      <c r="Y166" s="189">
        <v>10.457044970657201</v>
      </c>
      <c r="Z166" s="207">
        <v>2232</v>
      </c>
      <c r="AA166" s="207">
        <v>1559</v>
      </c>
      <c r="AB166" s="167">
        <v>17325.68</v>
      </c>
      <c r="AC166" s="221"/>
      <c r="AD166" s="195">
        <v>1.20613442562711E-2</v>
      </c>
      <c r="AE166" s="219">
        <v>8.4245679639456603E-3</v>
      </c>
      <c r="AF166" s="167">
        <v>7.7624014336917604</v>
      </c>
      <c r="AG166" s="222">
        <v>9.3624995947129003E-2</v>
      </c>
      <c r="AH166" s="223">
        <v>0.59210100356102302</v>
      </c>
      <c r="AI166" s="223">
        <v>0.52225639365490495</v>
      </c>
      <c r="AJ166" s="167">
        <v>0.472948436672539</v>
      </c>
      <c r="AK166" s="224">
        <v>0.281166578404141</v>
      </c>
      <c r="AL166" s="224">
        <v>1.84973034897922E-2</v>
      </c>
      <c r="AM166" s="82">
        <v>0.34554778605163899</v>
      </c>
    </row>
    <row r="167" spans="1:39" ht="16.05" customHeight="1" outlineLevel="1">
      <c r="A167" s="186">
        <v>43508</v>
      </c>
      <c r="B167" s="185" t="s">
        <v>41</v>
      </c>
      <c r="C167" s="188">
        <v>33513</v>
      </c>
      <c r="D167" s="188">
        <v>171920</v>
      </c>
      <c r="E167" s="189">
        <v>5.12994957180796</v>
      </c>
      <c r="F167" s="167">
        <v>0.82049496925895804</v>
      </c>
      <c r="G167" s="218">
        <v>18.7</v>
      </c>
      <c r="H167" s="190">
        <v>29.36</v>
      </c>
      <c r="I167" s="219">
        <v>0.36399999999999999</v>
      </c>
      <c r="J167" s="219">
        <v>0.19400000000000001</v>
      </c>
      <c r="K167" s="219">
        <v>0.111</v>
      </c>
      <c r="L167" s="167">
        <v>9.3390414146114509</v>
      </c>
      <c r="M167" s="220">
        <v>10.055962075383899</v>
      </c>
      <c r="N167" s="167">
        <v>15.0855664435738</v>
      </c>
      <c r="O167" s="193">
        <f t="shared" si="23"/>
        <v>0.66659492787342911</v>
      </c>
      <c r="P167" s="167">
        <v>2.01581138035445</v>
      </c>
      <c r="Q167" s="167">
        <v>2.8842942033664598</v>
      </c>
      <c r="R167" s="167">
        <v>0.85203444996116995</v>
      </c>
      <c r="S167" s="167">
        <v>4.9694330765002004</v>
      </c>
      <c r="T167" s="167">
        <v>1.1434367937452601</v>
      </c>
      <c r="U167" s="167">
        <v>0.51300599471208796</v>
      </c>
      <c r="V167" s="167">
        <v>1.7946614776485399</v>
      </c>
      <c r="W167" s="167">
        <v>0.91288906728562602</v>
      </c>
      <c r="X167" s="167">
        <v>6.6542577943229401E-3</v>
      </c>
      <c r="Y167" s="189">
        <v>10.0626163331782</v>
      </c>
      <c r="Z167" s="207">
        <v>2004</v>
      </c>
      <c r="AA167" s="207">
        <v>1422</v>
      </c>
      <c r="AB167" s="167">
        <v>15250.96</v>
      </c>
      <c r="AC167" s="221"/>
      <c r="AD167" s="195">
        <v>1.1656584457887399E-2</v>
      </c>
      <c r="AE167" s="219">
        <v>8.2712889716147105E-3</v>
      </c>
      <c r="AF167" s="167">
        <v>7.6102594810379296</v>
      </c>
      <c r="AG167" s="222">
        <v>8.8709632387156803E-2</v>
      </c>
      <c r="AH167" s="223">
        <v>0.56584012174380105</v>
      </c>
      <c r="AI167" s="223">
        <v>0.46023931011846098</v>
      </c>
      <c r="AJ167" s="167">
        <v>0.50517682643089801</v>
      </c>
      <c r="AK167" s="224">
        <v>0.30030246626337798</v>
      </c>
      <c r="AL167" s="224">
        <v>2.25046533271289E-2</v>
      </c>
      <c r="AM167" s="82">
        <v>0.28313750581665897</v>
      </c>
    </row>
    <row r="168" spans="1:39" s="166" customFormat="1" ht="16.05" customHeight="1" outlineLevel="1">
      <c r="A168" s="196">
        <v>43509</v>
      </c>
      <c r="B168" s="197" t="s">
        <v>41</v>
      </c>
      <c r="C168" s="198">
        <v>29999</v>
      </c>
      <c r="D168" s="198">
        <v>161227</v>
      </c>
      <c r="E168" s="200">
        <v>5.3744124804160096</v>
      </c>
      <c r="F168" s="166">
        <v>0.73722931500306998</v>
      </c>
      <c r="G168" s="201">
        <v>18.350000000000001</v>
      </c>
      <c r="H168" s="217">
        <v>28.99</v>
      </c>
      <c r="I168" s="203">
        <v>0.36799999999999999</v>
      </c>
      <c r="J168" s="203">
        <v>0.19800000000000001</v>
      </c>
      <c r="K168" s="203">
        <v>0.111</v>
      </c>
      <c r="L168" s="166">
        <v>9.0460158658289203</v>
      </c>
      <c r="M168" s="204">
        <v>9.3565593852146396</v>
      </c>
      <c r="N168" s="166">
        <v>14.060303849380199</v>
      </c>
      <c r="O168" s="205">
        <f t="shared" si="23"/>
        <v>0.66545925930520289</v>
      </c>
      <c r="P168" s="166">
        <v>1.9143722620933901</v>
      </c>
      <c r="Q168" s="166">
        <v>2.56054618324168</v>
      </c>
      <c r="R168" s="166">
        <v>0.835846770435269</v>
      </c>
      <c r="S168" s="166">
        <v>4.5928138689533</v>
      </c>
      <c r="T168" s="166">
        <v>1.09250629135987</v>
      </c>
      <c r="U168" s="166">
        <v>0.53553919284183005</v>
      </c>
      <c r="V168" s="166">
        <v>1.66526237300774</v>
      </c>
      <c r="W168" s="166">
        <v>0.86341690744710597</v>
      </c>
      <c r="X168" s="166">
        <v>6.2706618618469604E-3</v>
      </c>
      <c r="Y168" s="200">
        <v>9.3628300470764803</v>
      </c>
      <c r="Z168" s="206">
        <v>1784</v>
      </c>
      <c r="AA168" s="206">
        <v>1248</v>
      </c>
      <c r="AB168" s="166">
        <v>11953.16</v>
      </c>
      <c r="AC168" s="209"/>
      <c r="AD168" s="210">
        <v>1.10651441756033E-2</v>
      </c>
      <c r="AE168" s="203">
        <v>7.7406389748615302E-3</v>
      </c>
      <c r="AF168" s="166">
        <v>6.7002017937219698</v>
      </c>
      <c r="AG168" s="211">
        <v>7.4138698853169802E-2</v>
      </c>
      <c r="AH168" s="212">
        <v>0.57251908396946605</v>
      </c>
      <c r="AI168" s="212">
        <v>0.46191539717990598</v>
      </c>
      <c r="AJ168" s="166">
        <v>0.57905313626129595</v>
      </c>
      <c r="AK168" s="213">
        <v>0.33251874686001698</v>
      </c>
      <c r="AL168" s="213">
        <v>2.56780812146849E-2</v>
      </c>
      <c r="AM168" s="214">
        <v>0</v>
      </c>
    </row>
    <row r="169" spans="1:39" s="167" customFormat="1" ht="16.05" customHeight="1" outlineLevel="1">
      <c r="A169" s="186">
        <v>43510</v>
      </c>
      <c r="B169" s="187" t="s">
        <v>41</v>
      </c>
      <c r="C169" s="188">
        <v>29328</v>
      </c>
      <c r="D169" s="188">
        <v>154288</v>
      </c>
      <c r="E169" s="189">
        <v>5.2607746863065996</v>
      </c>
      <c r="F169" s="167">
        <v>0.72658399656486605</v>
      </c>
      <c r="G169" s="218">
        <v>18.489999999999998</v>
      </c>
      <c r="H169" s="190">
        <v>29.65</v>
      </c>
      <c r="I169" s="219">
        <v>0.35299999999999998</v>
      </c>
      <c r="J169" s="219">
        <v>0.191</v>
      </c>
      <c r="K169" s="219">
        <v>0.106</v>
      </c>
      <c r="L169" s="167">
        <v>8.7582767292336392</v>
      </c>
      <c r="M169" s="220">
        <v>9.0393225655916201</v>
      </c>
      <c r="N169" s="167">
        <v>13.739670561346101</v>
      </c>
      <c r="O169" s="193">
        <f t="shared" si="23"/>
        <v>0.65789951259981461</v>
      </c>
      <c r="P169" s="167">
        <v>1.90512876086143</v>
      </c>
      <c r="Q169" s="167">
        <v>2.5357023230153901</v>
      </c>
      <c r="R169" s="167">
        <v>0.79629775579768702</v>
      </c>
      <c r="S169" s="167">
        <v>4.4067050223632096</v>
      </c>
      <c r="T169" s="167">
        <v>1.08550233483735</v>
      </c>
      <c r="U169" s="167">
        <v>0.52574232065099602</v>
      </c>
      <c r="V169" s="167">
        <v>1.63163753866766</v>
      </c>
      <c r="W169" s="167">
        <v>0.85295450515240501</v>
      </c>
      <c r="X169" s="167">
        <v>6.3258322098931896E-3</v>
      </c>
      <c r="Y169" s="189">
        <v>9.0456483978015108</v>
      </c>
      <c r="Z169" s="207">
        <v>1663</v>
      </c>
      <c r="AA169" s="207">
        <v>1159</v>
      </c>
      <c r="AB169" s="167">
        <v>11750.37</v>
      </c>
      <c r="AC169" s="221"/>
      <c r="AD169" s="195">
        <v>1.0778544021570099E-2</v>
      </c>
      <c r="AE169" s="219">
        <v>7.5119257492481601E-3</v>
      </c>
      <c r="AF169" s="167">
        <v>7.0657666867107602</v>
      </c>
      <c r="AG169" s="222">
        <v>7.61586772788551E-2</v>
      </c>
      <c r="AH169" s="223">
        <v>0.55482815057283097</v>
      </c>
      <c r="AI169" s="223">
        <v>0.42975995635570102</v>
      </c>
      <c r="AJ169" s="167">
        <v>0.53943923052991805</v>
      </c>
      <c r="AK169" s="224">
        <v>0.33529503266618299</v>
      </c>
      <c r="AL169" s="224">
        <v>2.63403505133257E-2</v>
      </c>
      <c r="AM169" s="82">
        <v>0</v>
      </c>
    </row>
    <row r="170" spans="1:39" ht="16.05" customHeight="1" outlineLevel="1">
      <c r="A170" s="186">
        <v>43511</v>
      </c>
      <c r="B170" s="187" t="s">
        <v>41</v>
      </c>
      <c r="C170" s="188">
        <v>36585</v>
      </c>
      <c r="D170" s="188">
        <v>156648</v>
      </c>
      <c r="E170" s="189">
        <v>4.2817548175481797</v>
      </c>
      <c r="F170" s="167">
        <v>0.67497360211429402</v>
      </c>
      <c r="G170" s="218">
        <v>17.71</v>
      </c>
      <c r="H170" s="190">
        <v>28.13</v>
      </c>
      <c r="I170" s="219">
        <v>0.35199999999999998</v>
      </c>
      <c r="J170" s="219">
        <v>0.184</v>
      </c>
      <c r="K170" s="219">
        <v>9.5000000000000001E-2</v>
      </c>
      <c r="L170" s="167">
        <v>8.4411419232929905</v>
      </c>
      <c r="M170" s="220">
        <v>8.4629998467902592</v>
      </c>
      <c r="N170" s="167">
        <v>13.2107502665644</v>
      </c>
      <c r="O170" s="193">
        <f t="shared" si="23"/>
        <v>0.64061462642357214</v>
      </c>
      <c r="P170" s="167">
        <v>1.91031479506931</v>
      </c>
      <c r="Q170" s="167">
        <v>2.4088050941196402</v>
      </c>
      <c r="R170" s="167">
        <v>0.75053561997389195</v>
      </c>
      <c r="S170" s="167">
        <v>4.1670237466492601</v>
      </c>
      <c r="T170" s="167">
        <v>1.0663072615120901</v>
      </c>
      <c r="U170" s="167">
        <v>0.516487130173092</v>
      </c>
      <c r="V170" s="167">
        <v>1.56576416777112</v>
      </c>
      <c r="W170" s="167">
        <v>0.82551245129595097</v>
      </c>
      <c r="X170" s="167">
        <v>5.2857361728205904E-3</v>
      </c>
      <c r="Y170" s="189">
        <v>8.4682855829630803</v>
      </c>
      <c r="Z170" s="207">
        <v>1666</v>
      </c>
      <c r="AA170" s="207">
        <v>1164</v>
      </c>
      <c r="AB170" s="167">
        <v>12269.34</v>
      </c>
      <c r="AC170" s="221"/>
      <c r="AD170" s="195">
        <v>1.06353097390327E-2</v>
      </c>
      <c r="AE170" s="219">
        <v>7.4306725907767697E-3</v>
      </c>
      <c r="AF170" s="167">
        <v>7.3645498199279702</v>
      </c>
      <c r="AG170" s="222">
        <v>7.8324268423471705E-2</v>
      </c>
      <c r="AH170" s="223">
        <v>0.49927565942326102</v>
      </c>
      <c r="AI170" s="223">
        <v>0.35703157031570298</v>
      </c>
      <c r="AJ170" s="167">
        <v>0.50652418160461699</v>
      </c>
      <c r="AK170" s="224">
        <v>0.31866350033195401</v>
      </c>
      <c r="AL170" s="224">
        <v>2.4998723252132201E-2</v>
      </c>
      <c r="AM170" s="82">
        <v>0</v>
      </c>
    </row>
    <row r="171" spans="1:39" ht="16.05" customHeight="1" outlineLevel="1">
      <c r="A171" s="186">
        <v>43512</v>
      </c>
      <c r="B171" s="185" t="s">
        <v>41</v>
      </c>
      <c r="C171" s="188">
        <v>55016</v>
      </c>
      <c r="D171" s="188">
        <v>176584</v>
      </c>
      <c r="E171" s="189">
        <v>3.2096844554311499</v>
      </c>
      <c r="F171" s="167">
        <v>0.81803993812576403</v>
      </c>
      <c r="G171" s="218">
        <v>16.34</v>
      </c>
      <c r="H171" s="190">
        <v>26.22</v>
      </c>
      <c r="I171" s="219">
        <v>0.33700000000000002</v>
      </c>
      <c r="J171" s="219">
        <v>0.17199999999999999</v>
      </c>
      <c r="K171" s="219">
        <v>9.0999999999999998E-2</v>
      </c>
      <c r="L171" s="167">
        <v>9.7319179540615206</v>
      </c>
      <c r="M171" s="220">
        <v>10.2818262130204</v>
      </c>
      <c r="N171" s="167">
        <v>16.239041187782298</v>
      </c>
      <c r="O171" s="193">
        <f t="shared" si="23"/>
        <v>0.63315475920808029</v>
      </c>
      <c r="P171" s="167">
        <v>2.21986494342829</v>
      </c>
      <c r="Q171" s="167">
        <v>2.8915164795849901</v>
      </c>
      <c r="R171" s="167">
        <v>0.79125262734224799</v>
      </c>
      <c r="S171" s="167">
        <v>5.7145565940700296</v>
      </c>
      <c r="T171" s="167">
        <v>1.2400697643218099</v>
      </c>
      <c r="U171" s="167">
        <v>0.47797504583873701</v>
      </c>
      <c r="V171" s="167">
        <v>1.9694468047046201</v>
      </c>
      <c r="W171" s="167">
        <v>0.93435892849156998</v>
      </c>
      <c r="X171" s="167">
        <v>6.8749150545915801E-3</v>
      </c>
      <c r="Y171" s="189">
        <v>10.288701128074999</v>
      </c>
      <c r="Z171" s="207">
        <v>2383</v>
      </c>
      <c r="AA171" s="207">
        <v>1528</v>
      </c>
      <c r="AB171" s="167">
        <v>20178.169999999998</v>
      </c>
      <c r="AD171" s="195">
        <v>1.3494993883930601E-2</v>
      </c>
      <c r="AE171" s="219">
        <v>8.6531056041317406E-3</v>
      </c>
      <c r="AF171" s="167">
        <v>8.4675493075954709</v>
      </c>
      <c r="AG171" s="222">
        <v>0.11426952611788201</v>
      </c>
      <c r="AH171" s="223">
        <v>0.50381707139741205</v>
      </c>
      <c r="AI171" s="223">
        <v>0.321997237167369</v>
      </c>
      <c r="AJ171" s="167">
        <v>0.40534816291396703</v>
      </c>
      <c r="AK171" s="224">
        <v>0.25028881438862</v>
      </c>
      <c r="AL171" s="224">
        <v>1.9543106963258301E-2</v>
      </c>
      <c r="AM171" s="82">
        <v>0.33353531463779301</v>
      </c>
    </row>
    <row r="172" spans="1:39" ht="16.05" customHeight="1" outlineLevel="1">
      <c r="A172" s="186">
        <v>43513</v>
      </c>
      <c r="B172" s="185" t="s">
        <v>41</v>
      </c>
      <c r="C172" s="188">
        <v>61932</v>
      </c>
      <c r="D172" s="188">
        <v>189924</v>
      </c>
      <c r="E172" s="189">
        <v>3.0666537492733998</v>
      </c>
      <c r="F172" s="167">
        <v>0.77527855263157897</v>
      </c>
      <c r="G172" s="218">
        <v>16.36</v>
      </c>
      <c r="H172" s="190">
        <v>26.02</v>
      </c>
      <c r="I172" s="219">
        <v>0.34200000000000003</v>
      </c>
      <c r="J172" s="219">
        <v>0.16900000000000001</v>
      </c>
      <c r="K172" s="219">
        <v>9.6000000000000002E-2</v>
      </c>
      <c r="L172" s="167">
        <v>9.4089688506981695</v>
      </c>
      <c r="M172" s="220">
        <v>10.1806038204756</v>
      </c>
      <c r="N172" s="167">
        <v>16.100632020717601</v>
      </c>
      <c r="O172" s="193">
        <f t="shared" si="23"/>
        <v>0.63231081906447129</v>
      </c>
      <c r="P172" s="167">
        <v>2.1818704149353398</v>
      </c>
      <c r="Q172" s="167">
        <v>2.9891998567752802</v>
      </c>
      <c r="R172" s="167">
        <v>0.84639981347478199</v>
      </c>
      <c r="S172" s="167">
        <v>5.4870223413911097</v>
      </c>
      <c r="T172" s="167">
        <v>1.23404751396857</v>
      </c>
      <c r="U172" s="167">
        <v>0.498172219400288</v>
      </c>
      <c r="V172" s="167">
        <v>1.91217493400838</v>
      </c>
      <c r="W172" s="167">
        <v>0.95174492676387101</v>
      </c>
      <c r="X172" s="167">
        <v>5.7654640803689898E-3</v>
      </c>
      <c r="Y172" s="189">
        <v>10.1863692845559</v>
      </c>
      <c r="Z172" s="207">
        <v>2345</v>
      </c>
      <c r="AA172" s="207">
        <v>1534</v>
      </c>
      <c r="AB172" s="167">
        <v>19270.55</v>
      </c>
      <c r="AD172" s="195">
        <v>1.2347044080790201E-2</v>
      </c>
      <c r="AE172" s="219">
        <v>8.0769149765169204E-3</v>
      </c>
      <c r="AF172" s="167">
        <v>8.2177185501066106</v>
      </c>
      <c r="AG172" s="222">
        <v>0.101464533181694</v>
      </c>
      <c r="AH172" s="223">
        <v>0.51251372473034895</v>
      </c>
      <c r="AI172" s="223">
        <v>0.34726797132338699</v>
      </c>
      <c r="AJ172" s="167">
        <v>0.419609949242855</v>
      </c>
      <c r="AK172" s="224">
        <v>0.24050672900739201</v>
      </c>
      <c r="AL172" s="224">
        <v>1.8344179777174001E-2</v>
      </c>
      <c r="AM172" s="82">
        <v>0.31511551989216702</v>
      </c>
    </row>
    <row r="173" spans="1:39" ht="16.05" customHeight="1" outlineLevel="1">
      <c r="A173" s="186">
        <v>43514</v>
      </c>
      <c r="B173" s="185" t="s">
        <v>41</v>
      </c>
      <c r="C173" s="188">
        <v>77929</v>
      </c>
      <c r="D173" s="188">
        <v>216764</v>
      </c>
      <c r="E173" s="189">
        <v>2.7815575716357199</v>
      </c>
      <c r="F173" s="167">
        <v>0.73385066641601004</v>
      </c>
      <c r="G173" s="218">
        <v>16.68</v>
      </c>
      <c r="H173" s="190">
        <v>25.93</v>
      </c>
      <c r="I173" s="219">
        <v>0.34499999999999997</v>
      </c>
      <c r="J173" s="219">
        <v>0.17799999999999999</v>
      </c>
      <c r="K173" s="219">
        <v>0.10100000000000001</v>
      </c>
      <c r="L173" s="167">
        <v>9.4842455389271301</v>
      </c>
      <c r="M173" s="220">
        <v>9.6743970400989099</v>
      </c>
      <c r="N173" s="167">
        <v>15.4785211319585</v>
      </c>
      <c r="O173" s="193">
        <f t="shared" si="23"/>
        <v>0.62502075990478079</v>
      </c>
      <c r="P173" s="167">
        <v>2.1461817806055401</v>
      </c>
      <c r="Q173" s="167">
        <v>2.9260713600330699</v>
      </c>
      <c r="R173" s="167">
        <v>0.81118524970106698</v>
      </c>
      <c r="S173" s="167">
        <v>5.1302682275136204</v>
      </c>
      <c r="T173" s="167">
        <v>1.19043858224709</v>
      </c>
      <c r="U173" s="167">
        <v>0.50766153437356998</v>
      </c>
      <c r="V173" s="167">
        <v>1.8444664235839401</v>
      </c>
      <c r="W173" s="167">
        <v>0.92224797390059199</v>
      </c>
      <c r="X173" s="167">
        <v>5.3883486187743298E-3</v>
      </c>
      <c r="Y173" s="189">
        <v>9.6797853887176792</v>
      </c>
      <c r="Z173" s="207">
        <v>2484</v>
      </c>
      <c r="AA173" s="207">
        <v>1658</v>
      </c>
      <c r="AB173" s="167">
        <v>19881.16</v>
      </c>
      <c r="AD173" s="195">
        <v>1.14594674392427E-2</v>
      </c>
      <c r="AE173" s="219">
        <v>7.6488715838423397E-3</v>
      </c>
      <c r="AF173" s="167">
        <v>8.0036876006441204</v>
      </c>
      <c r="AG173" s="222">
        <v>9.1717997453451702E-2</v>
      </c>
      <c r="AH173" s="223">
        <v>0.51209434228592698</v>
      </c>
      <c r="AI173" s="223">
        <v>0.33549769662128298</v>
      </c>
      <c r="AJ173" s="167">
        <v>0.42287464708161898</v>
      </c>
      <c r="AK173" s="224">
        <v>0.22901404292225599</v>
      </c>
      <c r="AL173" s="224">
        <v>1.7572106069273501E-2</v>
      </c>
      <c r="AM173" s="82">
        <v>0.29099389197468201</v>
      </c>
    </row>
    <row r="174" spans="1:39" ht="16.05" customHeight="1" outlineLevel="1">
      <c r="A174" s="186">
        <v>43515</v>
      </c>
      <c r="B174" s="185" t="s">
        <v>41</v>
      </c>
      <c r="C174" s="188">
        <v>69957</v>
      </c>
      <c r="D174" s="188">
        <v>215419</v>
      </c>
      <c r="E174" s="189">
        <v>3.07930585931358</v>
      </c>
      <c r="F174" s="167">
        <v>0.71972192199388196</v>
      </c>
      <c r="G174" s="218">
        <v>17.68</v>
      </c>
      <c r="H174" s="190">
        <v>26.87</v>
      </c>
      <c r="I174" s="219">
        <v>0.34399999999999997</v>
      </c>
      <c r="J174" s="219">
        <v>0.17899999999999999</v>
      </c>
      <c r="K174" s="219">
        <v>9.7000000000000003E-2</v>
      </c>
      <c r="L174" s="167">
        <v>9.6071423597732792</v>
      </c>
      <c r="M174" s="220">
        <v>9.3350586531364499</v>
      </c>
      <c r="N174" s="167">
        <v>14.7886732510167</v>
      </c>
      <c r="O174" s="193">
        <v>0.63123030001996105</v>
      </c>
      <c r="P174" s="167">
        <v>2.0404400679516699</v>
      </c>
      <c r="Q174" s="167">
        <v>2.7864008413063801</v>
      </c>
      <c r="R174" s="167">
        <v>0.80688929908294704</v>
      </c>
      <c r="S174" s="167">
        <v>4.8144419358871602</v>
      </c>
      <c r="T174" s="167">
        <v>1.1438825112701201</v>
      </c>
      <c r="U174" s="167">
        <v>0.538119856742585</v>
      </c>
      <c r="V174" s="167">
        <v>1.76871428676487</v>
      </c>
      <c r="W174" s="167">
        <v>0.889784452010972</v>
      </c>
      <c r="X174" s="167">
        <v>6.1786564787692797E-3</v>
      </c>
      <c r="Y174" s="189">
        <v>9.3412373096152095</v>
      </c>
      <c r="Z174" s="207">
        <v>2225</v>
      </c>
      <c r="AA174" s="207">
        <v>1512</v>
      </c>
      <c r="AB174" s="167">
        <v>17073.75</v>
      </c>
      <c r="AD174" s="195">
        <v>1.0328708238363399E-2</v>
      </c>
      <c r="AE174" s="219">
        <v>7.01887948602491E-3</v>
      </c>
      <c r="AF174" s="167">
        <v>7.6735955056179801</v>
      </c>
      <c r="AG174" s="222">
        <v>7.9258329116744602E-2</v>
      </c>
      <c r="AH174" s="223">
        <v>0.52636619637777504</v>
      </c>
      <c r="AI174" s="223">
        <v>0.37681718770101602</v>
      </c>
      <c r="AJ174" s="167">
        <v>0.46187197972323701</v>
      </c>
      <c r="AK174" s="224">
        <v>0.247085911641963</v>
      </c>
      <c r="AL174" s="224">
        <v>2.0406742209368701E-2</v>
      </c>
      <c r="AM174" s="82">
        <v>0.24283373332900099</v>
      </c>
    </row>
    <row r="175" spans="1:39" s="166" customFormat="1" ht="16.05" customHeight="1" outlineLevel="1">
      <c r="A175" s="196">
        <v>43516</v>
      </c>
      <c r="B175" s="197" t="s">
        <v>41</v>
      </c>
      <c r="C175" s="198">
        <v>58719</v>
      </c>
      <c r="D175" s="198">
        <v>205906</v>
      </c>
      <c r="E175" s="200">
        <v>3.5066332873516202</v>
      </c>
      <c r="F175" s="166">
        <v>0.64317236474410699</v>
      </c>
      <c r="G175" s="201">
        <v>18.670000000000002</v>
      </c>
      <c r="H175" s="217">
        <v>28.07</v>
      </c>
      <c r="I175" s="203">
        <v>0.34899999999999998</v>
      </c>
      <c r="J175" s="203">
        <v>0.18099999999999999</v>
      </c>
      <c r="K175" s="203">
        <v>9.4E-2</v>
      </c>
      <c r="L175" s="166">
        <v>9.1801161695142408</v>
      </c>
      <c r="M175" s="204">
        <v>8.4047915068040808</v>
      </c>
      <c r="N175" s="166">
        <v>13.3346457906335</v>
      </c>
      <c r="O175" s="205">
        <v>0.63029732013637296</v>
      </c>
      <c r="P175" s="166">
        <v>1.88869797044274</v>
      </c>
      <c r="Q175" s="166">
        <v>2.4208827110076898</v>
      </c>
      <c r="R175" s="166">
        <v>0.76640828466197197</v>
      </c>
      <c r="S175" s="166">
        <v>4.2252546578107903</v>
      </c>
      <c r="T175" s="166">
        <v>1.0560940654327999</v>
      </c>
      <c r="U175" s="166">
        <v>0.54739486215345701</v>
      </c>
      <c r="V175" s="166">
        <v>1.6033194125533601</v>
      </c>
      <c r="W175" s="166">
        <v>0.82659382657071101</v>
      </c>
      <c r="X175" s="166">
        <v>5.9444600934407E-3</v>
      </c>
      <c r="Y175" s="200">
        <v>8.4107359668975192</v>
      </c>
      <c r="Z175" s="206">
        <v>1904</v>
      </c>
      <c r="AA175" s="206">
        <v>1333</v>
      </c>
      <c r="AB175" s="166">
        <v>11963.96</v>
      </c>
      <c r="AD175" s="210">
        <v>9.2469379231299702E-3</v>
      </c>
      <c r="AE175" s="203">
        <v>6.4738278631997102E-3</v>
      </c>
      <c r="AF175" s="166">
        <v>6.2835924369747902</v>
      </c>
      <c r="AG175" s="211">
        <v>5.8103989198954903E-2</v>
      </c>
      <c r="AH175" s="212">
        <v>0.52769972240671703</v>
      </c>
      <c r="AI175" s="212">
        <v>0.39314361620599803</v>
      </c>
      <c r="AJ175" s="166">
        <v>0.51476401853272902</v>
      </c>
      <c r="AK175" s="213">
        <v>0.281929618369547</v>
      </c>
      <c r="AL175" s="213">
        <v>2.2825949705205299E-2</v>
      </c>
      <c r="AM175" s="214">
        <v>0</v>
      </c>
    </row>
    <row r="176" spans="1:39" s="167" customFormat="1" ht="16.05" customHeight="1" outlineLevel="1">
      <c r="A176" s="186">
        <v>43517</v>
      </c>
      <c r="B176" s="187" t="s">
        <v>41</v>
      </c>
      <c r="C176" s="188">
        <v>50177</v>
      </c>
      <c r="D176" s="188">
        <v>196555</v>
      </c>
      <c r="E176" s="189">
        <v>3.9172329951970002</v>
      </c>
      <c r="F176" s="167">
        <v>0.63224285894533305</v>
      </c>
      <c r="G176" s="218">
        <v>18.41</v>
      </c>
      <c r="H176" s="190">
        <v>28.44</v>
      </c>
      <c r="I176" s="219">
        <v>0.34200000000000003</v>
      </c>
      <c r="J176" s="219">
        <v>0.17399999999999999</v>
      </c>
      <c r="K176" s="219">
        <v>9.1999999999999998E-2</v>
      </c>
      <c r="L176" s="167">
        <v>8.9545012846277103</v>
      </c>
      <c r="M176" s="220">
        <v>8.0393172394495203</v>
      </c>
      <c r="N176" s="167">
        <v>12.8545234163365</v>
      </c>
      <c r="O176" s="193">
        <v>0.62540764671465998</v>
      </c>
      <c r="P176" s="167">
        <v>1.84709624411236</v>
      </c>
      <c r="Q176" s="167">
        <v>2.3523391931796902</v>
      </c>
      <c r="R176" s="167">
        <v>0.74023607506894296</v>
      </c>
      <c r="S176" s="167">
        <v>4.0032865033719203</v>
      </c>
      <c r="T176" s="167">
        <v>1.0342235635783801</v>
      </c>
      <c r="U176" s="167">
        <v>0.52601137260325204</v>
      </c>
      <c r="V176" s="167">
        <v>1.54485995753577</v>
      </c>
      <c r="W176" s="167">
        <v>0.80647050688620103</v>
      </c>
      <c r="X176" s="167">
        <v>4.5178194398514402E-3</v>
      </c>
      <c r="Y176" s="189">
        <v>8.0438350588893694</v>
      </c>
      <c r="Z176" s="207">
        <v>1857</v>
      </c>
      <c r="AA176" s="207">
        <v>1360</v>
      </c>
      <c r="AB176" s="167">
        <v>11809.43</v>
      </c>
      <c r="AD176" s="195">
        <v>9.4477372745542E-3</v>
      </c>
      <c r="AE176" s="219">
        <v>6.9191829258986003E-3</v>
      </c>
      <c r="AF176" s="167">
        <v>6.3594130317716804</v>
      </c>
      <c r="AG176" s="222">
        <v>6.0082063544555003E-2</v>
      </c>
      <c r="AH176" s="223">
        <v>0.51627239571915395</v>
      </c>
      <c r="AI176" s="223">
        <v>0.39310839627717897</v>
      </c>
      <c r="AJ176" s="167">
        <v>0.48923202157156997</v>
      </c>
      <c r="AK176" s="224">
        <v>0.29141461677393099</v>
      </c>
      <c r="AL176" s="224">
        <v>2.3331891836890401E-2</v>
      </c>
      <c r="AM176" s="82">
        <v>0</v>
      </c>
    </row>
    <row r="177" spans="1:39" ht="16.05" customHeight="1" outlineLevel="1">
      <c r="A177" s="186">
        <v>43518</v>
      </c>
      <c r="B177" s="187" t="s">
        <v>41</v>
      </c>
      <c r="C177" s="188">
        <v>44023</v>
      </c>
      <c r="D177" s="188">
        <v>186402</v>
      </c>
      <c r="E177" s="189">
        <v>4.2341957613065899</v>
      </c>
      <c r="F177" s="167">
        <v>0.61973958378665495</v>
      </c>
      <c r="G177" s="218">
        <v>17.54</v>
      </c>
      <c r="H177" s="190">
        <v>26.16</v>
      </c>
      <c r="I177" s="219">
        <v>0.33700000000000002</v>
      </c>
      <c r="J177" s="219">
        <v>0.17799999999999999</v>
      </c>
      <c r="K177" s="219">
        <v>9.5000000000000001E-2</v>
      </c>
      <c r="L177" s="167">
        <v>8.7726580186907892</v>
      </c>
      <c r="M177" s="220">
        <v>7.9972693426036203</v>
      </c>
      <c r="N177" s="167">
        <v>12.8307913446145</v>
      </c>
      <c r="O177" s="193">
        <v>0.62328730378429398</v>
      </c>
      <c r="P177" s="167">
        <v>1.85551978791895</v>
      </c>
      <c r="Q177" s="167">
        <v>2.3435385860115998</v>
      </c>
      <c r="R177" s="167">
        <v>0.74811933001669795</v>
      </c>
      <c r="S177" s="167">
        <v>3.9767175638222798</v>
      </c>
      <c r="T177" s="167">
        <v>1.0438794305486201</v>
      </c>
      <c r="U177" s="167">
        <v>0.51704222685097501</v>
      </c>
      <c r="V177" s="167">
        <v>1.5382245098208001</v>
      </c>
      <c r="W177" s="167">
        <v>0.80774990962455395</v>
      </c>
      <c r="X177" s="167">
        <v>6.0460724670336197E-3</v>
      </c>
      <c r="Y177" s="189">
        <v>8.0033154150706505</v>
      </c>
      <c r="Z177" s="207">
        <v>1766</v>
      </c>
      <c r="AA177" s="207">
        <v>1283</v>
      </c>
      <c r="AB177" s="167">
        <v>11953.34</v>
      </c>
      <c r="AC177" s="167"/>
      <c r="AD177" s="195">
        <v>9.4741472730979302E-3</v>
      </c>
      <c r="AE177" s="219">
        <v>6.8829733586549501E-3</v>
      </c>
      <c r="AF177" s="167">
        <v>6.76859569648924</v>
      </c>
      <c r="AG177" s="222">
        <v>6.4126672460595904E-2</v>
      </c>
      <c r="AH177" s="223">
        <v>0.50921109420075905</v>
      </c>
      <c r="AI177" s="223">
        <v>0.40067691888331097</v>
      </c>
      <c r="AJ177" s="167">
        <v>0.49013959077692298</v>
      </c>
      <c r="AK177" s="224">
        <v>0.302641602557912</v>
      </c>
      <c r="AL177" s="224">
        <v>2.4076994882029201E-2</v>
      </c>
      <c r="AM177" s="82">
        <v>0</v>
      </c>
    </row>
    <row r="178" spans="1:39" ht="16.05" customHeight="1" outlineLevel="1">
      <c r="A178" s="186">
        <v>43519</v>
      </c>
      <c r="B178" s="185" t="s">
        <v>41</v>
      </c>
      <c r="C178" s="188">
        <v>43710</v>
      </c>
      <c r="D178" s="188">
        <v>180445</v>
      </c>
      <c r="E178" s="189">
        <v>4.1282315259665996</v>
      </c>
      <c r="F178" s="167">
        <v>0.75789430203108998</v>
      </c>
      <c r="G178" s="218">
        <v>16.71</v>
      </c>
      <c r="H178" s="190">
        <v>26.06</v>
      </c>
      <c r="I178" s="219">
        <v>0.315</v>
      </c>
      <c r="J178" s="219">
        <v>0.153</v>
      </c>
      <c r="K178" s="219">
        <v>8.5999999999999993E-2</v>
      </c>
      <c r="L178" s="167">
        <v>9.4998808501205296</v>
      </c>
      <c r="M178" s="220">
        <v>9.2475435728338304</v>
      </c>
      <c r="N178" s="167">
        <v>14.999847185516799</v>
      </c>
      <c r="O178" s="193">
        <v>0.61650918562442802</v>
      </c>
      <c r="P178" s="167">
        <v>2.09013357783651</v>
      </c>
      <c r="Q178" s="167">
        <v>2.7688006759793602</v>
      </c>
      <c r="R178" s="167">
        <v>0.83953580353450896</v>
      </c>
      <c r="S178" s="167">
        <v>4.92924689427036</v>
      </c>
      <c r="T178" s="167">
        <v>1.1901911079948899</v>
      </c>
      <c r="U178" s="167">
        <v>0.44957122053826698</v>
      </c>
      <c r="V178" s="167">
        <v>1.8510957697355399</v>
      </c>
      <c r="W178" s="167">
        <v>0.88127213562734896</v>
      </c>
      <c r="X178" s="167">
        <v>5.1594668735625796E-3</v>
      </c>
      <c r="Y178" s="189">
        <v>9.2527030397073897</v>
      </c>
      <c r="Z178" s="207">
        <v>2207</v>
      </c>
      <c r="AA178" s="207">
        <v>1454</v>
      </c>
      <c r="AB178" s="167">
        <v>19392.93</v>
      </c>
      <c r="AC178" s="167"/>
      <c r="AD178" s="195">
        <v>1.22308736734185E-2</v>
      </c>
      <c r="AE178" s="219">
        <v>8.0578569647260893E-3</v>
      </c>
      <c r="AF178" s="167">
        <v>8.7870095151789709</v>
      </c>
      <c r="AG178" s="222">
        <v>0.10747280334728</v>
      </c>
      <c r="AH178" s="223">
        <v>0.48705101807366702</v>
      </c>
      <c r="AI178" s="223">
        <v>0.36700983756577399</v>
      </c>
      <c r="AJ178" s="167">
        <v>0.39683005902075402</v>
      </c>
      <c r="AK178" s="224">
        <v>0.26170301199811602</v>
      </c>
      <c r="AL178" s="224">
        <v>2.1142176286403101E-2</v>
      </c>
      <c r="AM178" s="82">
        <v>0.33387458782454499</v>
      </c>
    </row>
    <row r="179" spans="1:39" ht="16.05" customHeight="1" outlineLevel="1">
      <c r="A179" s="186">
        <v>43520</v>
      </c>
      <c r="B179" s="185" t="s">
        <v>41</v>
      </c>
      <c r="C179" s="188">
        <v>40942</v>
      </c>
      <c r="D179" s="188">
        <v>176480</v>
      </c>
      <c r="E179" s="189">
        <v>4.3104880074251399</v>
      </c>
      <c r="F179" s="167">
        <v>0.71384919805077096</v>
      </c>
      <c r="G179" s="218">
        <v>15.57</v>
      </c>
      <c r="H179" s="190">
        <v>23.82</v>
      </c>
      <c r="I179" s="219">
        <v>0.311</v>
      </c>
      <c r="J179" s="219">
        <v>0.153</v>
      </c>
      <c r="K179" s="219">
        <v>8.7999999999999995E-2</v>
      </c>
      <c r="L179" s="167">
        <v>9.1453479147778793</v>
      </c>
      <c r="M179" s="220">
        <v>9.5408488213961906</v>
      </c>
      <c r="N179" s="167">
        <v>15.3550102137594</v>
      </c>
      <c r="O179" s="193">
        <v>0.62135086128739803</v>
      </c>
      <c r="P179" s="167">
        <v>2.0838075435908698</v>
      </c>
      <c r="Q179" s="167">
        <v>2.86263405559203</v>
      </c>
      <c r="R179" s="167">
        <v>0.90782994090610603</v>
      </c>
      <c r="S179" s="167">
        <v>5.0616746917633302</v>
      </c>
      <c r="T179" s="167">
        <v>1.20667359743197</v>
      </c>
      <c r="U179" s="167">
        <v>0.46353140731013398</v>
      </c>
      <c r="V179" s="167">
        <v>1.8496662289341199</v>
      </c>
      <c r="W179" s="167">
        <v>0.91919274823083097</v>
      </c>
      <c r="X179" s="167">
        <v>3.8871260199456002E-3</v>
      </c>
      <c r="Y179" s="189">
        <v>9.5447359474161395</v>
      </c>
      <c r="Z179" s="207">
        <v>1886</v>
      </c>
      <c r="AA179" s="207">
        <v>1283</v>
      </c>
      <c r="AB179" s="167">
        <v>17590.14</v>
      </c>
      <c r="AC179" s="167"/>
      <c r="AD179" s="195">
        <v>1.06867633726201E-2</v>
      </c>
      <c r="AE179" s="219">
        <v>7.2699456029011802E-3</v>
      </c>
      <c r="AF179" s="167">
        <v>9.3266914103923693</v>
      </c>
      <c r="AG179" s="222">
        <v>9.9672144152311903E-2</v>
      </c>
      <c r="AH179" s="223">
        <v>0.50129451419080695</v>
      </c>
      <c r="AI179" s="223">
        <v>0.38168628791949599</v>
      </c>
      <c r="AJ179" s="167">
        <v>0.41218268359020899</v>
      </c>
      <c r="AK179" s="224">
        <v>0.26358794197642799</v>
      </c>
      <c r="AL179" s="224">
        <v>2.1860834088848601E-2</v>
      </c>
      <c r="AM179" s="82">
        <v>0.32560630099728</v>
      </c>
    </row>
    <row r="180" spans="1:39" ht="16.05" customHeight="1" outlineLevel="1">
      <c r="A180" s="186">
        <v>43521</v>
      </c>
      <c r="B180" s="185" t="s">
        <v>41</v>
      </c>
      <c r="C180" s="188">
        <v>37910</v>
      </c>
      <c r="D180" s="188">
        <v>174994</v>
      </c>
      <c r="E180" s="189">
        <v>4.6160379847006103</v>
      </c>
      <c r="F180" s="167">
        <v>0.69253636238956795</v>
      </c>
      <c r="G180" s="218">
        <v>15.49</v>
      </c>
      <c r="H180" s="190">
        <v>23.83</v>
      </c>
      <c r="I180" s="219">
        <v>0.32</v>
      </c>
      <c r="J180" s="219">
        <v>0.16400000000000001</v>
      </c>
      <c r="K180" s="219">
        <v>9.2999999999999999E-2</v>
      </c>
      <c r="L180" s="167">
        <v>9.1092551744631205</v>
      </c>
      <c r="M180" s="220">
        <v>9.4725076288329895</v>
      </c>
      <c r="N180" s="167">
        <v>15.153137340939001</v>
      </c>
      <c r="O180" s="193">
        <v>0.62511857549401695</v>
      </c>
      <c r="P180" s="167">
        <v>2.0463379406172302</v>
      </c>
      <c r="Q180" s="167">
        <v>2.8472557408219998</v>
      </c>
      <c r="R180" s="167">
        <v>0.90857649553897901</v>
      </c>
      <c r="S180" s="167">
        <v>4.9801539417873304</v>
      </c>
      <c r="T180" s="167">
        <v>1.2035157964019301</v>
      </c>
      <c r="U180" s="167">
        <v>0.45184291355857797</v>
      </c>
      <c r="V180" s="167">
        <v>1.8104614597045501</v>
      </c>
      <c r="W180" s="167">
        <v>0.90499305250841</v>
      </c>
      <c r="X180" s="167">
        <v>3.72584202886956E-3</v>
      </c>
      <c r="Y180" s="189">
        <v>9.4762334708618603</v>
      </c>
      <c r="Z180" s="207">
        <v>1962</v>
      </c>
      <c r="AA180" s="207">
        <v>1361</v>
      </c>
      <c r="AB180" s="167">
        <v>16350.38</v>
      </c>
      <c r="AC180" s="167"/>
      <c r="AD180" s="195">
        <v>1.12118129764449E-2</v>
      </c>
      <c r="AE180" s="219">
        <v>7.7774095111832397E-3</v>
      </c>
      <c r="AF180" s="167">
        <v>8.3335270132517802</v>
      </c>
      <c r="AG180" s="222">
        <v>9.3433946306730506E-2</v>
      </c>
      <c r="AH180" s="223">
        <v>0.49691374307570602</v>
      </c>
      <c r="AI180" s="223">
        <v>0.38689000263782602</v>
      </c>
      <c r="AJ180" s="167">
        <v>0.43275769454952701</v>
      </c>
      <c r="AK180" s="224">
        <v>0.27392939186486398</v>
      </c>
      <c r="AL180" s="224">
        <v>2.3372229905025299E-2</v>
      </c>
      <c r="AM180" s="82">
        <v>0.31601654913882798</v>
      </c>
    </row>
    <row r="181" spans="1:39" ht="16.05" customHeight="1" outlineLevel="1">
      <c r="A181" s="186">
        <v>43522</v>
      </c>
      <c r="B181" s="185" t="s">
        <v>41</v>
      </c>
      <c r="C181" s="188">
        <v>38452</v>
      </c>
      <c r="D181" s="188">
        <v>168206</v>
      </c>
      <c r="E181" s="189">
        <v>4.3744408613336097</v>
      </c>
      <c r="F181" s="167">
        <v>0.658014419039749</v>
      </c>
      <c r="G181" s="218">
        <v>17.03</v>
      </c>
      <c r="H181" s="190">
        <v>26.33</v>
      </c>
      <c r="I181" s="219">
        <v>0.33200000000000002</v>
      </c>
      <c r="J181" s="219">
        <v>0.17199999999999999</v>
      </c>
      <c r="K181" s="219">
        <v>9.5000000000000001E-2</v>
      </c>
      <c r="L181" s="167">
        <v>9.1923712590514004</v>
      </c>
      <c r="M181" s="220">
        <v>9.0592428331926307</v>
      </c>
      <c r="N181" s="167">
        <v>14.5320764073661</v>
      </c>
      <c r="O181" s="193">
        <v>0.62339631166545795</v>
      </c>
      <c r="P181" s="167">
        <v>1.9657349392994401</v>
      </c>
      <c r="Q181" s="167">
        <v>2.6490620738324799</v>
      </c>
      <c r="R181" s="167">
        <v>0.91073727577032004</v>
      </c>
      <c r="S181" s="167">
        <v>4.7589811079640301</v>
      </c>
      <c r="T181" s="167">
        <v>1.15015401634576</v>
      </c>
      <c r="U181" s="167">
        <v>0.48309634842979599</v>
      </c>
      <c r="V181" s="167">
        <v>1.73779074757532</v>
      </c>
      <c r="W181" s="167">
        <v>0.87651989814894304</v>
      </c>
      <c r="X181" s="167">
        <v>3.2698001260359302E-3</v>
      </c>
      <c r="Y181" s="189">
        <v>9.0625126333186703</v>
      </c>
      <c r="Z181" s="207">
        <v>1701</v>
      </c>
      <c r="AA181" s="207">
        <v>1228</v>
      </c>
      <c r="AB181" s="167">
        <v>12060.99</v>
      </c>
      <c r="AC181" s="167"/>
      <c r="AD181" s="195">
        <v>1.0112600026158399E-2</v>
      </c>
      <c r="AE181" s="219">
        <v>7.3005719177674996E-3</v>
      </c>
      <c r="AF181" s="167">
        <v>7.0905291005290998</v>
      </c>
      <c r="AG181" s="222">
        <v>7.1703684767487494E-2</v>
      </c>
      <c r="AH181" s="223">
        <v>0.49305627795693302</v>
      </c>
      <c r="AI181" s="223">
        <v>0.36741911994174598</v>
      </c>
      <c r="AJ181" s="167">
        <v>0.46670154453467799</v>
      </c>
      <c r="AK181" s="224">
        <v>0.286648514321725</v>
      </c>
      <c r="AL181" s="224">
        <v>2.80905556282178E-2</v>
      </c>
      <c r="AM181" s="82">
        <v>0.25604318514202801</v>
      </c>
    </row>
    <row r="182" spans="1:39" s="166" customFormat="1" ht="16.05" customHeight="1" outlineLevel="1">
      <c r="A182" s="196">
        <v>43523</v>
      </c>
      <c r="B182" s="197" t="s">
        <v>41</v>
      </c>
      <c r="C182" s="198">
        <v>33397</v>
      </c>
      <c r="D182" s="198">
        <v>159902</v>
      </c>
      <c r="E182" s="200">
        <v>4.7879150821930097</v>
      </c>
      <c r="F182" s="166">
        <v>0.61701739681179701</v>
      </c>
      <c r="G182" s="201">
        <v>17.05</v>
      </c>
      <c r="H182" s="217">
        <v>26.66</v>
      </c>
      <c r="I182" s="203">
        <v>0.33600000000000002</v>
      </c>
      <c r="J182" s="203">
        <v>0.16900000000000001</v>
      </c>
      <c r="K182" s="203">
        <v>9.0999999999999998E-2</v>
      </c>
      <c r="L182" s="166">
        <v>8.7554439594251505</v>
      </c>
      <c r="M182" s="204">
        <v>8.2905091868769603</v>
      </c>
      <c r="N182" s="166">
        <v>13.3454371570947</v>
      </c>
      <c r="O182" s="205">
        <v>0.62122424985303504</v>
      </c>
      <c r="P182" s="166">
        <v>1.87604570393114</v>
      </c>
      <c r="Q182" s="166">
        <v>2.31963557658429</v>
      </c>
      <c r="R182" s="166">
        <v>0.82905320380530501</v>
      </c>
      <c r="S182" s="166">
        <v>4.2751296119192599</v>
      </c>
      <c r="T182" s="166">
        <v>1.0967030754517499</v>
      </c>
      <c r="U182" s="166">
        <v>0.50763577792318904</v>
      </c>
      <c r="V182" s="166">
        <v>1.6075200080535601</v>
      </c>
      <c r="W182" s="166">
        <v>0.83371419942618397</v>
      </c>
      <c r="X182" s="166">
        <v>3.4521144200823002E-3</v>
      </c>
      <c r="Y182" s="200">
        <v>8.2939613012970401</v>
      </c>
      <c r="Z182" s="206">
        <v>1455</v>
      </c>
      <c r="AA182" s="206">
        <v>1097</v>
      </c>
      <c r="AB182" s="166">
        <v>10421.450000000001</v>
      </c>
      <c r="AD182" s="210">
        <v>9.0993233355430199E-3</v>
      </c>
      <c r="AE182" s="203">
        <v>6.86045202686646E-3</v>
      </c>
      <c r="AF182" s="166">
        <v>7.1625085910652899</v>
      </c>
      <c r="AG182" s="211">
        <v>6.5173981563707795E-2</v>
      </c>
      <c r="AH182" s="212">
        <v>0.50327873761116304</v>
      </c>
      <c r="AI182" s="212">
        <v>0.390813546126898</v>
      </c>
      <c r="AJ182" s="166">
        <v>0.53971182349188895</v>
      </c>
      <c r="AK182" s="213">
        <v>0.31763204963039898</v>
      </c>
      <c r="AL182" s="213">
        <v>3.1919550724819001E-2</v>
      </c>
      <c r="AM182" s="214">
        <v>0</v>
      </c>
    </row>
    <row r="183" spans="1:39" s="167" customFormat="1" ht="16.05" customHeight="1" outlineLevel="1">
      <c r="A183" s="186">
        <v>43524</v>
      </c>
      <c r="B183" s="187" t="s">
        <v>41</v>
      </c>
      <c r="C183" s="188">
        <v>33556</v>
      </c>
      <c r="D183" s="188">
        <v>156479</v>
      </c>
      <c r="E183" s="189">
        <v>4.6632196924544003</v>
      </c>
      <c r="F183" s="167">
        <v>0.59457056537938002</v>
      </c>
      <c r="G183" s="218">
        <v>17</v>
      </c>
      <c r="H183" s="190">
        <v>26.38</v>
      </c>
      <c r="I183" s="219">
        <v>0.33200000000000002</v>
      </c>
      <c r="J183" s="219">
        <v>0.16800000000000001</v>
      </c>
      <c r="K183" s="219">
        <v>9.2999999999999999E-2</v>
      </c>
      <c r="L183" s="167">
        <v>8.5759303165280993</v>
      </c>
      <c r="M183" s="220">
        <v>8.1169997252027404</v>
      </c>
      <c r="N183" s="167">
        <v>13.155937645657501</v>
      </c>
      <c r="O183" s="193">
        <v>0.61698374861802496</v>
      </c>
      <c r="P183" s="167">
        <v>1.8866228183748499</v>
      </c>
      <c r="Q183" s="167">
        <v>2.3016106478844098</v>
      </c>
      <c r="R183" s="167">
        <v>0.79519395100730195</v>
      </c>
      <c r="S183" s="167">
        <v>4.1409187425552796</v>
      </c>
      <c r="T183" s="167">
        <v>1.1034129162566699</v>
      </c>
      <c r="U183" s="167">
        <v>0.50121704904448705</v>
      </c>
      <c r="V183" s="167">
        <v>1.58787094101196</v>
      </c>
      <c r="W183" s="167">
        <v>0.83909057952250199</v>
      </c>
      <c r="X183" s="167">
        <v>3.4637235667405899E-3</v>
      </c>
      <c r="Y183" s="189">
        <v>8.1204634487694793</v>
      </c>
      <c r="Z183" s="207">
        <v>1415</v>
      </c>
      <c r="AA183" s="207">
        <v>1021</v>
      </c>
      <c r="AB183" s="167">
        <v>9429.85</v>
      </c>
      <c r="AD183" s="195">
        <v>9.0427469500699801E-3</v>
      </c>
      <c r="AE183" s="219">
        <v>6.52483719860173E-3</v>
      </c>
      <c r="AF183" s="167">
        <v>6.6642049469964704</v>
      </c>
      <c r="AG183" s="222">
        <v>6.0262718959093499E-2</v>
      </c>
      <c r="AH183" s="223">
        <v>0.48930146620574599</v>
      </c>
      <c r="AI183" s="223">
        <v>0.36765407080700901</v>
      </c>
      <c r="AJ183" s="167">
        <v>0.51387726148556701</v>
      </c>
      <c r="AK183" s="224">
        <v>0.31829830200857601</v>
      </c>
      <c r="AL183" s="224">
        <v>3.1972341336537202E-2</v>
      </c>
      <c r="AM183" s="82">
        <v>0</v>
      </c>
    </row>
    <row r="184" spans="1:39" ht="16.05" customHeight="1">
      <c r="A184" s="186">
        <v>43525</v>
      </c>
      <c r="B184" s="187" t="s">
        <v>41</v>
      </c>
      <c r="C184" s="188">
        <v>37344</v>
      </c>
      <c r="D184" s="188">
        <v>157825</v>
      </c>
      <c r="E184" s="189">
        <v>4.2262478577549301</v>
      </c>
      <c r="F184" s="167">
        <v>0.56237374718834099</v>
      </c>
      <c r="G184" s="218">
        <v>15.85</v>
      </c>
      <c r="H184" s="190">
        <v>23.94</v>
      </c>
      <c r="I184" s="219">
        <v>0.32900000000000001</v>
      </c>
      <c r="J184" s="219">
        <v>0.17</v>
      </c>
      <c r="K184" s="219">
        <v>9.1999999999999998E-2</v>
      </c>
      <c r="L184" s="167">
        <v>8.4454173926817706</v>
      </c>
      <c r="M184" s="220">
        <v>7.9083161729764004</v>
      </c>
      <c r="N184" s="167">
        <v>12.9932333957943</v>
      </c>
      <c r="O184" s="193">
        <v>0.60864881989545405</v>
      </c>
      <c r="P184" s="167">
        <v>1.8919217155944199</v>
      </c>
      <c r="Q184" s="167">
        <v>2.27420362273579</v>
      </c>
      <c r="R184" s="167">
        <v>0.77552571309598195</v>
      </c>
      <c r="S184" s="167">
        <v>4.0834478450968099</v>
      </c>
      <c r="T184" s="167">
        <v>1.08597751405372</v>
      </c>
      <c r="U184" s="167">
        <v>0.49993753903810101</v>
      </c>
      <c r="V184" s="167">
        <v>1.55880699562773</v>
      </c>
      <c r="W184" s="167">
        <v>0.82341245055173895</v>
      </c>
      <c r="X184" s="167">
        <v>3.11104070964676E-3</v>
      </c>
      <c r="Y184" s="189">
        <v>7.9114272136860402</v>
      </c>
      <c r="Z184" s="207">
        <v>1366</v>
      </c>
      <c r="AA184" s="207">
        <v>1042</v>
      </c>
      <c r="AB184" s="167">
        <v>9448.34</v>
      </c>
      <c r="AC184" s="167"/>
      <c r="AD184" s="195">
        <v>8.6551560272453698E-3</v>
      </c>
      <c r="AE184" s="219">
        <v>6.6022493267860003E-3</v>
      </c>
      <c r="AF184" s="167">
        <v>6.9167935578330901</v>
      </c>
      <c r="AG184" s="222">
        <v>5.9865927451290997E-2</v>
      </c>
      <c r="AH184" s="223">
        <v>0.474801842330763</v>
      </c>
      <c r="AI184" s="223">
        <v>0.34144708654670097</v>
      </c>
      <c r="AJ184" s="167">
        <v>0.49163947410106101</v>
      </c>
      <c r="AK184" s="224">
        <v>0.31280849041660103</v>
      </c>
      <c r="AL184" s="224">
        <v>3.0901314747346701E-2</v>
      </c>
      <c r="AM184" s="82">
        <v>0</v>
      </c>
    </row>
    <row r="185" spans="1:39" ht="16.05" customHeight="1" outlineLevel="1">
      <c r="A185" s="186">
        <v>43526</v>
      </c>
      <c r="B185" s="185" t="s">
        <v>41</v>
      </c>
      <c r="C185" s="188">
        <v>43968</v>
      </c>
      <c r="D185" s="188">
        <v>162737</v>
      </c>
      <c r="E185" s="189">
        <v>3.70126000727802</v>
      </c>
      <c r="F185" s="167">
        <v>0.704895586977762</v>
      </c>
      <c r="G185" s="218">
        <v>14.7</v>
      </c>
      <c r="H185" s="190">
        <v>22.67</v>
      </c>
      <c r="I185" s="219">
        <v>0.31</v>
      </c>
      <c r="J185" s="219">
        <v>0.159</v>
      </c>
      <c r="K185" s="219">
        <v>9.1999999999999998E-2</v>
      </c>
      <c r="L185" s="167">
        <v>9.6123254084811691</v>
      </c>
      <c r="M185" s="220">
        <v>9.7491904115228891</v>
      </c>
      <c r="N185" s="167">
        <v>16.0086573971303</v>
      </c>
      <c r="O185" s="193">
        <v>0.60899488131156398</v>
      </c>
      <c r="P185" s="167">
        <v>2.1642887413476499</v>
      </c>
      <c r="Q185" s="167">
        <v>2.74005610154784</v>
      </c>
      <c r="R185" s="167">
        <v>0.84680039553609299</v>
      </c>
      <c r="S185" s="167">
        <v>5.6925211389825003</v>
      </c>
      <c r="T185" s="167">
        <v>1.25277985187577</v>
      </c>
      <c r="U185" s="167">
        <v>0.44491756301333901</v>
      </c>
      <c r="V185" s="167">
        <v>1.9513450245192001</v>
      </c>
      <c r="W185" s="167">
        <v>0.91594858030795301</v>
      </c>
      <c r="X185" s="167">
        <v>3.2444987925302799E-3</v>
      </c>
      <c r="Y185" s="189">
        <v>9.7524349103154204</v>
      </c>
      <c r="Z185" s="207">
        <v>1844</v>
      </c>
      <c r="AA185" s="207">
        <v>1280</v>
      </c>
      <c r="AB185" s="167">
        <v>15457.56</v>
      </c>
      <c r="AC185" s="167"/>
      <c r="AD185" s="195">
        <v>1.1331166237548901E-2</v>
      </c>
      <c r="AE185" s="219">
        <v>7.8654516182552203E-3</v>
      </c>
      <c r="AF185" s="167">
        <v>8.3826247288503293</v>
      </c>
      <c r="AG185" s="222">
        <v>9.4984914309591606E-2</v>
      </c>
      <c r="AH185" s="223">
        <v>0.46706695778748197</v>
      </c>
      <c r="AI185" s="223">
        <v>0.32298489810771502</v>
      </c>
      <c r="AJ185" s="167">
        <v>0.39742652254865202</v>
      </c>
      <c r="AK185" s="224">
        <v>0.25728015140994398</v>
      </c>
      <c r="AL185" s="224">
        <v>2.4671709568198998E-2</v>
      </c>
      <c r="AM185" s="82">
        <v>0.32405046178803798</v>
      </c>
    </row>
    <row r="186" spans="1:39" ht="16.05" customHeight="1" outlineLevel="1">
      <c r="A186" s="186">
        <v>43527</v>
      </c>
      <c r="B186" s="185" t="s">
        <v>41</v>
      </c>
      <c r="C186" s="188">
        <v>46801</v>
      </c>
      <c r="D186" s="188">
        <v>165868</v>
      </c>
      <c r="E186" s="189">
        <v>3.5441123052926198</v>
      </c>
      <c r="F186" s="167">
        <v>0.68407467342706196</v>
      </c>
      <c r="G186" s="218">
        <v>14.57</v>
      </c>
      <c r="H186" s="190">
        <v>22.85</v>
      </c>
      <c r="I186" s="219">
        <v>0.34100000000000003</v>
      </c>
      <c r="J186" s="219">
        <v>0.17599999999999999</v>
      </c>
      <c r="K186" s="219">
        <v>0.106</v>
      </c>
      <c r="L186" s="167">
        <v>9.4227699134251299</v>
      </c>
      <c r="M186" s="220">
        <v>9.8066655412737802</v>
      </c>
      <c r="N186" s="167">
        <v>16.017054797892801</v>
      </c>
      <c r="O186" s="193">
        <v>0.61226396893915602</v>
      </c>
      <c r="P186" s="167">
        <v>2.14346905617646</v>
      </c>
      <c r="Q186" s="167">
        <v>2.8851164393678301</v>
      </c>
      <c r="R186" s="167">
        <v>0.90837477229087704</v>
      </c>
      <c r="S186" s="167">
        <v>5.4943725075082499</v>
      </c>
      <c r="T186" s="167">
        <v>1.26487125203092</v>
      </c>
      <c r="U186" s="167">
        <v>0.46251784747181302</v>
      </c>
      <c r="V186" s="167">
        <v>1.92401161931958</v>
      </c>
      <c r="W186" s="167">
        <v>0.93432130372704503</v>
      </c>
      <c r="X186" s="167">
        <v>3.62336315624472E-3</v>
      </c>
      <c r="Y186" s="189">
        <v>9.8102889044300294</v>
      </c>
      <c r="Z186" s="207">
        <v>1755</v>
      </c>
      <c r="AA186" s="207">
        <v>1227</v>
      </c>
      <c r="AB186" s="167">
        <v>14449.45</v>
      </c>
      <c r="AC186" s="167"/>
      <c r="AD186" s="195">
        <v>1.058070272747E-2</v>
      </c>
      <c r="AE186" s="219">
        <v>7.3974485735645197E-3</v>
      </c>
      <c r="AF186" s="167">
        <v>8.2333048433048397</v>
      </c>
      <c r="AG186" s="222">
        <v>8.7114151011647795E-2</v>
      </c>
      <c r="AH186" s="223">
        <v>0.496378282515331</v>
      </c>
      <c r="AI186" s="223">
        <v>0.341018354308669</v>
      </c>
      <c r="AJ186" s="167">
        <v>0.40789664070224502</v>
      </c>
      <c r="AK186" s="224">
        <v>0.249584006559433</v>
      </c>
      <c r="AL186" s="224">
        <v>2.5110328695107001E-2</v>
      </c>
      <c r="AM186" s="82">
        <v>0.31550389466322598</v>
      </c>
    </row>
    <row r="187" spans="1:39" ht="16.05" customHeight="1" outlineLevel="1">
      <c r="A187" s="186">
        <v>43528</v>
      </c>
      <c r="B187" s="185" t="s">
        <v>41</v>
      </c>
      <c r="C187" s="188">
        <v>47294</v>
      </c>
      <c r="D187" s="188">
        <v>173729</v>
      </c>
      <c r="E187" s="189">
        <v>3.6733835158793902</v>
      </c>
      <c r="F187" s="167">
        <v>0.70552103529059595</v>
      </c>
      <c r="G187" s="218">
        <v>15.02</v>
      </c>
      <c r="H187" s="190">
        <v>22.89</v>
      </c>
      <c r="I187" s="219">
        <v>0.34899999999999998</v>
      </c>
      <c r="J187" s="219">
        <v>0.19</v>
      </c>
      <c r="K187" s="219">
        <v>0.114</v>
      </c>
      <c r="L187" s="167">
        <v>9.6506743261055998</v>
      </c>
      <c r="M187" s="220">
        <v>9.7931088073954307</v>
      </c>
      <c r="N187" s="167">
        <v>15.7495672298079</v>
      </c>
      <c r="O187" s="193">
        <v>0.62180177172492801</v>
      </c>
      <c r="P187" s="167">
        <v>2.1232214765100701</v>
      </c>
      <c r="Q187" s="167">
        <v>2.92357324693358</v>
      </c>
      <c r="R187" s="167">
        <v>0.90051376996065702</v>
      </c>
      <c r="S187" s="167">
        <v>5.2431474195787997</v>
      </c>
      <c r="T187" s="167">
        <v>1.2554223559361299</v>
      </c>
      <c r="U187" s="167">
        <v>0.471631566766952</v>
      </c>
      <c r="V187" s="167">
        <v>1.9013654246702201</v>
      </c>
      <c r="W187" s="167">
        <v>0.930691969451516</v>
      </c>
      <c r="X187" s="167">
        <v>5.4913111800562898E-3</v>
      </c>
      <c r="Y187" s="189">
        <v>9.7986001185754805</v>
      </c>
      <c r="Z187" s="207">
        <v>1926</v>
      </c>
      <c r="AA187" s="207">
        <v>1295</v>
      </c>
      <c r="AB187" s="167">
        <v>15630.74</v>
      </c>
      <c r="AC187" s="167"/>
      <c r="AD187" s="195">
        <v>1.1086232005019301E-2</v>
      </c>
      <c r="AE187" s="219">
        <v>7.4541383419003196E-3</v>
      </c>
      <c r="AF187" s="167">
        <v>8.1156490134994801</v>
      </c>
      <c r="AG187" s="222">
        <v>8.9971967834961294E-2</v>
      </c>
      <c r="AH187" s="223">
        <v>0.50507463948915299</v>
      </c>
      <c r="AI187" s="223">
        <v>0.36106059965323301</v>
      </c>
      <c r="AJ187" s="167">
        <v>0.435010850232258</v>
      </c>
      <c r="AK187" s="224">
        <v>0.25907591708925998</v>
      </c>
      <c r="AL187" s="224">
        <v>2.6029045237122201E-2</v>
      </c>
      <c r="AM187" s="82">
        <v>0.30951078979329899</v>
      </c>
    </row>
    <row r="188" spans="1:39" ht="16.05" customHeight="1" outlineLevel="1">
      <c r="A188" s="186">
        <v>43529</v>
      </c>
      <c r="B188" s="185" t="s">
        <v>41</v>
      </c>
      <c r="C188" s="188">
        <v>43537</v>
      </c>
      <c r="D188" s="188">
        <v>171047</v>
      </c>
      <c r="E188" s="189">
        <v>3.9287732273698199</v>
      </c>
      <c r="F188" s="167">
        <v>0.69458974929697703</v>
      </c>
      <c r="G188" s="218">
        <v>16.25</v>
      </c>
      <c r="H188" s="190">
        <v>25.46</v>
      </c>
      <c r="I188" s="219">
        <v>0.35799999999999998</v>
      </c>
      <c r="J188" s="219">
        <v>0.19600000000000001</v>
      </c>
      <c r="K188" s="219">
        <v>0.112</v>
      </c>
      <c r="L188" s="167">
        <v>9.5415470601647492</v>
      </c>
      <c r="M188" s="220">
        <v>9.3492841148924004</v>
      </c>
      <c r="N188" s="167">
        <v>14.946044711951799</v>
      </c>
      <c r="O188" s="193">
        <v>0.62553567148210698</v>
      </c>
      <c r="P188" s="167">
        <v>2.0341321170884901</v>
      </c>
      <c r="Q188" s="167">
        <v>2.7457755430109501</v>
      </c>
      <c r="R188" s="167">
        <v>0.89431380612359301</v>
      </c>
      <c r="S188" s="167">
        <v>4.8861172380275901</v>
      </c>
      <c r="T188" s="167">
        <v>1.18642753000112</v>
      </c>
      <c r="U188" s="167">
        <v>0.50222438221989596</v>
      </c>
      <c r="V188" s="167">
        <v>1.80502074843919</v>
      </c>
      <c r="W188" s="167">
        <v>0.892033347041011</v>
      </c>
      <c r="X188" s="167">
        <v>5.4780265073342401E-3</v>
      </c>
      <c r="Y188" s="189">
        <v>9.3547621413997302</v>
      </c>
      <c r="Z188" s="207">
        <v>1905</v>
      </c>
      <c r="AA188" s="207">
        <v>1290</v>
      </c>
      <c r="AB188" s="167">
        <v>13325.95</v>
      </c>
      <c r="AC188" s="167"/>
      <c r="AD188" s="195">
        <v>1.11372897507703E-2</v>
      </c>
      <c r="AE188" s="219">
        <v>7.5417867603641102E-3</v>
      </c>
      <c r="AF188" s="167">
        <v>6.99524934383202</v>
      </c>
      <c r="AG188" s="222">
        <v>7.7908118821142694E-2</v>
      </c>
      <c r="AH188" s="223">
        <v>0.50894641339550295</v>
      </c>
      <c r="AI188" s="223">
        <v>0.38330615338677398</v>
      </c>
      <c r="AJ188" s="167">
        <v>0.47561196630166003</v>
      </c>
      <c r="AK188" s="224">
        <v>0.27691804007085802</v>
      </c>
      <c r="AL188" s="224">
        <v>3.0494542435704802E-2</v>
      </c>
      <c r="AM188" s="82">
        <v>0.25452653364279998</v>
      </c>
    </row>
    <row r="189" spans="1:39" s="166" customFormat="1" ht="16.05" customHeight="1" outlineLevel="1">
      <c r="A189" s="196">
        <v>43530</v>
      </c>
      <c r="B189" s="197" t="s">
        <v>41</v>
      </c>
      <c r="C189" s="198">
        <v>39731</v>
      </c>
      <c r="D189" s="198">
        <v>166030</v>
      </c>
      <c r="E189" s="200">
        <v>4.1788527849789796</v>
      </c>
      <c r="F189" s="166">
        <v>0.63027801126302496</v>
      </c>
      <c r="G189" s="201">
        <v>16.7</v>
      </c>
      <c r="H189" s="217">
        <v>27.78</v>
      </c>
      <c r="I189" s="203">
        <v>0.35399999999999998</v>
      </c>
      <c r="J189" s="203">
        <v>0.189</v>
      </c>
      <c r="K189" s="203">
        <v>0.109</v>
      </c>
      <c r="L189" s="166">
        <v>9.1261880383063296</v>
      </c>
      <c r="M189" s="204">
        <v>8.5245437571523208</v>
      </c>
      <c r="N189" s="166">
        <v>13.716697518002</v>
      </c>
      <c r="O189" s="205">
        <v>0.62147202312835004</v>
      </c>
      <c r="P189" s="166">
        <v>1.90969442640745</v>
      </c>
      <c r="Q189" s="166">
        <v>2.4553463264297402</v>
      </c>
      <c r="R189" s="166">
        <v>0.85104135371136702</v>
      </c>
      <c r="S189" s="166">
        <v>4.3730459474913497</v>
      </c>
      <c r="T189" s="166">
        <v>1.1095820047876099</v>
      </c>
      <c r="U189" s="166">
        <v>0.52577459465221998</v>
      </c>
      <c r="V189" s="166">
        <v>1.6564647277167699</v>
      </c>
      <c r="W189" s="166">
        <v>0.83574813680548099</v>
      </c>
      <c r="X189" s="166">
        <v>5.7519725350840198E-3</v>
      </c>
      <c r="Y189" s="200">
        <v>8.5302957296874098</v>
      </c>
      <c r="Z189" s="206">
        <v>1538</v>
      </c>
      <c r="AA189" s="206">
        <v>1100</v>
      </c>
      <c r="AB189" s="166">
        <v>10746.62</v>
      </c>
      <c r="AD189" s="210">
        <v>9.2633861350358403E-3</v>
      </c>
      <c r="AE189" s="203">
        <v>6.6253086791543698E-3</v>
      </c>
      <c r="AF189" s="166">
        <v>6.9873992197659298</v>
      </c>
      <c r="AG189" s="211">
        <v>6.4726977052339901E-2</v>
      </c>
      <c r="AH189" s="212">
        <v>0.502781203594171</v>
      </c>
      <c r="AI189" s="212">
        <v>0.38425914273489198</v>
      </c>
      <c r="AJ189" s="166">
        <v>0.539715714027585</v>
      </c>
      <c r="AK189" s="213">
        <v>0.30698066614467301</v>
      </c>
      <c r="AL189" s="213">
        <v>3.3764982232126699E-2</v>
      </c>
      <c r="AM189" s="214">
        <v>0</v>
      </c>
    </row>
    <row r="190" spans="1:39" s="167" customFormat="1" ht="16.05" customHeight="1" outlineLevel="1">
      <c r="A190" s="186">
        <v>43531</v>
      </c>
      <c r="B190" s="187" t="s">
        <v>41</v>
      </c>
      <c r="C190" s="188">
        <v>40351</v>
      </c>
      <c r="D190" s="188">
        <v>166886</v>
      </c>
      <c r="E190" s="189">
        <v>4.1358578473891603</v>
      </c>
      <c r="F190" s="167">
        <v>0.61689363086178595</v>
      </c>
      <c r="G190" s="218">
        <v>17.02</v>
      </c>
      <c r="H190" s="190">
        <v>27.37</v>
      </c>
      <c r="I190" s="219">
        <v>0.34899999999999998</v>
      </c>
      <c r="J190" s="219">
        <v>0.186</v>
      </c>
      <c r="K190" s="219">
        <v>0.105</v>
      </c>
      <c r="L190" s="167">
        <v>8.8913989190225706</v>
      </c>
      <c r="M190" s="220">
        <v>8.2996716321321102</v>
      </c>
      <c r="N190" s="167">
        <v>13.4403862015429</v>
      </c>
      <c r="O190" s="193">
        <v>0.61751734717112305</v>
      </c>
      <c r="P190" s="167">
        <v>1.91711222162923</v>
      </c>
      <c r="Q190" s="167">
        <v>2.42678181553539</v>
      </c>
      <c r="R190" s="167">
        <v>0.81422541361408995</v>
      </c>
      <c r="S190" s="167">
        <v>4.22486051137742</v>
      </c>
      <c r="T190" s="167">
        <v>1.1033525787201</v>
      </c>
      <c r="U190" s="167">
        <v>0.51450196497016198</v>
      </c>
      <c r="V190" s="167">
        <v>1.6168259667167999</v>
      </c>
      <c r="W190" s="167">
        <v>0.822725728979671</v>
      </c>
      <c r="X190" s="167">
        <v>6.5493810145848099E-3</v>
      </c>
      <c r="Y190" s="189">
        <v>8.3062210131467005</v>
      </c>
      <c r="Z190" s="207">
        <v>1511</v>
      </c>
      <c r="AA190" s="207">
        <v>1100</v>
      </c>
      <c r="AB190" s="167">
        <v>10137.89</v>
      </c>
      <c r="AD190" s="195">
        <v>9.0540848243711308E-3</v>
      </c>
      <c r="AE190" s="219">
        <v>6.5913258152271604E-3</v>
      </c>
      <c r="AF190" s="167">
        <v>6.7093911317008601</v>
      </c>
      <c r="AG190" s="222">
        <v>6.0747396426303002E-2</v>
      </c>
      <c r="AH190" s="223">
        <v>0.49324675968377502</v>
      </c>
      <c r="AI190" s="223">
        <v>0.359668905355505</v>
      </c>
      <c r="AJ190" s="167">
        <v>0.51377587095382504</v>
      </c>
      <c r="AK190" s="224">
        <v>0.30864781946957798</v>
      </c>
      <c r="AL190" s="224">
        <v>3.2908692161115999E-2</v>
      </c>
      <c r="AM190" s="82">
        <v>0</v>
      </c>
    </row>
    <row r="191" spans="1:39" ht="16.05" customHeight="1" outlineLevel="1">
      <c r="A191" s="186">
        <v>43532</v>
      </c>
      <c r="B191" s="187" t="s">
        <v>41</v>
      </c>
      <c r="C191" s="188">
        <v>39823</v>
      </c>
      <c r="D191" s="188">
        <v>164915</v>
      </c>
      <c r="E191" s="189">
        <v>4.14119980915551</v>
      </c>
      <c r="F191" s="167">
        <v>0.60323649639511301</v>
      </c>
      <c r="G191" s="218">
        <v>16.04</v>
      </c>
      <c r="H191" s="190">
        <v>25.67</v>
      </c>
      <c r="I191" s="219">
        <v>0.34300000000000003</v>
      </c>
      <c r="J191" s="219">
        <v>0.187</v>
      </c>
      <c r="K191" s="219">
        <v>0.10199999999999999</v>
      </c>
      <c r="L191" s="167">
        <v>8.8660825273625807</v>
      </c>
      <c r="M191" s="220">
        <v>8.1341964042082306</v>
      </c>
      <c r="N191" s="167">
        <v>13.2678997082241</v>
      </c>
      <c r="O191" s="193">
        <v>0.61307340144923195</v>
      </c>
      <c r="P191" s="167">
        <v>1.9064932495920099</v>
      </c>
      <c r="Q191" s="167">
        <v>2.3952227881904902</v>
      </c>
      <c r="R191" s="167">
        <v>0.80498491667078798</v>
      </c>
      <c r="S191" s="167">
        <v>4.1398447158894198</v>
      </c>
      <c r="T191" s="167">
        <v>1.09188467434845</v>
      </c>
      <c r="U191" s="167">
        <v>0.51010335789525696</v>
      </c>
      <c r="V191" s="167">
        <v>1.5994560110775899</v>
      </c>
      <c r="W191" s="167">
        <v>0.81990999456011104</v>
      </c>
      <c r="X191" s="167">
        <v>6.57308310341691E-3</v>
      </c>
      <c r="Y191" s="189">
        <v>8.1407694873116494</v>
      </c>
      <c r="Z191" s="207">
        <v>1532</v>
      </c>
      <c r="AA191" s="207">
        <v>1127</v>
      </c>
      <c r="AB191" s="167">
        <v>11618.68</v>
      </c>
      <c r="AC191" s="167"/>
      <c r="AD191" s="195">
        <v>9.2896340539065595E-3</v>
      </c>
      <c r="AE191" s="219">
        <v>6.8338234848255202E-3</v>
      </c>
      <c r="AF191" s="167">
        <v>7.5839947780678898</v>
      </c>
      <c r="AG191" s="222">
        <v>7.0452536154988907E-2</v>
      </c>
      <c r="AH191" s="223">
        <v>0.488963664214148</v>
      </c>
      <c r="AI191" s="223">
        <v>0.35911407980312898</v>
      </c>
      <c r="AJ191" s="167">
        <v>0.50653973258951601</v>
      </c>
      <c r="AK191" s="224">
        <v>0.30908649910559999</v>
      </c>
      <c r="AL191" s="224">
        <v>3.24166995118697E-2</v>
      </c>
      <c r="AM191" s="82">
        <v>0</v>
      </c>
    </row>
    <row r="192" spans="1:39" ht="16.05" customHeight="1" outlineLevel="1">
      <c r="A192" s="186">
        <v>43533</v>
      </c>
      <c r="B192" s="185" t="s">
        <v>41</v>
      </c>
      <c r="C192" s="188">
        <v>42527</v>
      </c>
      <c r="D192" s="188">
        <v>166290</v>
      </c>
      <c r="E192" s="189">
        <v>3.9102217414818798</v>
      </c>
      <c r="F192" s="167">
        <v>0.73294022287569904</v>
      </c>
      <c r="G192" s="218">
        <v>14.62</v>
      </c>
      <c r="H192" s="190">
        <v>24.43</v>
      </c>
      <c r="I192" s="219">
        <v>0.34599999999999997</v>
      </c>
      <c r="J192" s="219">
        <v>0.17799999999999999</v>
      </c>
      <c r="K192" s="219">
        <v>0.10199999999999999</v>
      </c>
      <c r="L192" s="167">
        <v>10.0569487040712</v>
      </c>
      <c r="M192" s="220">
        <v>10.3256780323531</v>
      </c>
      <c r="N192" s="167">
        <v>16.470886731639901</v>
      </c>
      <c r="O192" s="193">
        <v>0.62690480485898104</v>
      </c>
      <c r="P192" s="167">
        <v>2.2239371498733802</v>
      </c>
      <c r="Q192" s="167">
        <v>2.9211016038677</v>
      </c>
      <c r="R192" s="167">
        <v>0.90473678152098802</v>
      </c>
      <c r="S192" s="167">
        <v>5.7469399892563899</v>
      </c>
      <c r="T192" s="167">
        <v>1.2888400736704799</v>
      </c>
      <c r="U192" s="167">
        <v>0.45687207428439902</v>
      </c>
      <c r="V192" s="167">
        <v>2.0000863325915099</v>
      </c>
      <c r="W192" s="167">
        <v>0.92837272657508996</v>
      </c>
      <c r="X192" s="167">
        <v>7.2223224487341399E-3</v>
      </c>
      <c r="Y192" s="189">
        <v>10.3329003548019</v>
      </c>
      <c r="Z192" s="207">
        <v>1996</v>
      </c>
      <c r="AA192" s="207">
        <v>1342</v>
      </c>
      <c r="AB192" s="167">
        <v>15919.04</v>
      </c>
      <c r="AC192" s="167"/>
      <c r="AD192" s="195">
        <v>1.20031270671718E-2</v>
      </c>
      <c r="AE192" s="219">
        <v>8.0702387395513893E-3</v>
      </c>
      <c r="AF192" s="167">
        <v>7.9754709418837697</v>
      </c>
      <c r="AG192" s="222">
        <v>9.5730591135967297E-2</v>
      </c>
      <c r="AH192" s="223">
        <v>0.50626660709666804</v>
      </c>
      <c r="AI192" s="223">
        <v>0.34944858560443998</v>
      </c>
      <c r="AJ192" s="167">
        <v>0.41962234650309699</v>
      </c>
      <c r="AK192" s="224">
        <v>0.263623789764869</v>
      </c>
      <c r="AL192" s="224">
        <v>2.72535931204522E-2</v>
      </c>
      <c r="AM192" s="82">
        <v>0.349299416681701</v>
      </c>
    </row>
    <row r="193" spans="1:39" ht="16.05" customHeight="1" outlineLevel="1">
      <c r="A193" s="186">
        <v>43534</v>
      </c>
      <c r="B193" s="185" t="s">
        <v>41</v>
      </c>
      <c r="C193" s="188">
        <v>41044</v>
      </c>
      <c r="D193" s="188">
        <v>168817</v>
      </c>
      <c r="E193" s="189">
        <v>4.1130737744859198</v>
      </c>
      <c r="F193" s="167">
        <v>0.94559788297387104</v>
      </c>
      <c r="G193" s="218">
        <v>13.98</v>
      </c>
      <c r="H193" s="190">
        <v>23.76</v>
      </c>
      <c r="I193" s="219">
        <v>0.3337</v>
      </c>
      <c r="J193" s="219">
        <v>0.17599999999999999</v>
      </c>
      <c r="K193" s="219">
        <v>0.104</v>
      </c>
      <c r="L193" s="167">
        <v>9.7634006053892701</v>
      </c>
      <c r="M193" s="220">
        <v>10.705734612035499</v>
      </c>
      <c r="N193" s="167">
        <v>16.8345799528675</v>
      </c>
      <c r="O193" s="193">
        <v>0.63593713903220594</v>
      </c>
      <c r="P193" s="167">
        <v>2.2304833406298599</v>
      </c>
      <c r="Q193" s="167">
        <v>3.1149249699600401</v>
      </c>
      <c r="R193" s="167">
        <v>0.99281835371703797</v>
      </c>
      <c r="S193" s="167">
        <v>5.7341393667855796</v>
      </c>
      <c r="T193" s="167">
        <v>1.31852603928947</v>
      </c>
      <c r="U193" s="167">
        <v>0.47517162364820198</v>
      </c>
      <c r="V193" s="167">
        <v>2.0033905567405901</v>
      </c>
      <c r="W193" s="167">
        <v>0.96512570209674298</v>
      </c>
      <c r="X193" s="167">
        <v>5.9768862140661197E-3</v>
      </c>
      <c r="Y193" s="189">
        <v>10.711711498249599</v>
      </c>
      <c r="Z193" s="207">
        <v>2034</v>
      </c>
      <c r="AA193" s="207">
        <v>1354</v>
      </c>
      <c r="AB193" s="167">
        <v>16770.66</v>
      </c>
      <c r="AC193" s="167"/>
      <c r="AD193" s="195">
        <v>1.2048549612894401E-2</v>
      </c>
      <c r="AE193" s="219">
        <v>8.0205192605010203E-3</v>
      </c>
      <c r="AF193" s="167">
        <v>8.2451622418879094</v>
      </c>
      <c r="AG193" s="222">
        <v>9.9342246337750295E-2</v>
      </c>
      <c r="AH193" s="223">
        <v>0.52222005652470505</v>
      </c>
      <c r="AI193" s="223">
        <v>0.39094630153006499</v>
      </c>
      <c r="AJ193" s="167">
        <v>0.45684972484998498</v>
      </c>
      <c r="AK193" s="224">
        <v>0.26917312829869</v>
      </c>
      <c r="AL193" s="224">
        <v>2.80895881338965E-2</v>
      </c>
      <c r="AM193" s="82">
        <v>0.34680748976702602</v>
      </c>
    </row>
    <row r="194" spans="1:39" ht="16.05" customHeight="1" outlineLevel="1">
      <c r="A194" s="186">
        <v>43535</v>
      </c>
      <c r="B194" s="185" t="s">
        <v>41</v>
      </c>
      <c r="C194" s="188">
        <v>48638</v>
      </c>
      <c r="D194" s="188">
        <v>179494</v>
      </c>
      <c r="E194" s="189">
        <v>3.6904066779061599</v>
      </c>
      <c r="F194" s="167">
        <v>0.72441272783491395</v>
      </c>
      <c r="G194" s="218">
        <v>14.86</v>
      </c>
      <c r="H194" s="190">
        <v>24.98</v>
      </c>
      <c r="I194" s="219">
        <v>0.32900000000000001</v>
      </c>
      <c r="J194" s="219">
        <v>0.17599999999999999</v>
      </c>
      <c r="K194" s="219">
        <v>0.1</v>
      </c>
      <c r="L194" s="167">
        <v>9.5454444159693406</v>
      </c>
      <c r="M194" s="220">
        <v>10.1135135436282</v>
      </c>
      <c r="N194" s="167">
        <v>16.150345637494301</v>
      </c>
      <c r="O194" s="193">
        <v>0.62621034686396204</v>
      </c>
      <c r="P194" s="167">
        <v>2.1710838871540301</v>
      </c>
      <c r="Q194" s="167">
        <v>3.0350263787688698</v>
      </c>
      <c r="R194" s="167">
        <v>0.94482255495947598</v>
      </c>
      <c r="S194" s="167">
        <v>5.3861531481036602</v>
      </c>
      <c r="T194" s="167">
        <v>1.2765010987446701</v>
      </c>
      <c r="U194" s="167">
        <v>0.46930187453848299</v>
      </c>
      <c r="V194" s="167">
        <v>1.9334169624825399</v>
      </c>
      <c r="W194" s="167">
        <v>0.934039732742591</v>
      </c>
      <c r="X194" s="167">
        <v>6.5963207683822304E-3</v>
      </c>
      <c r="Y194" s="189">
        <v>10.1201098643966</v>
      </c>
      <c r="Z194" s="207">
        <v>2148</v>
      </c>
      <c r="AA194" s="207">
        <v>1397</v>
      </c>
      <c r="AB194" s="167">
        <v>17752.52</v>
      </c>
      <c r="AC194" s="167"/>
      <c r="AD194" s="195">
        <v>1.19669738264232E-2</v>
      </c>
      <c r="AE194" s="219">
        <v>7.7829899606672104E-3</v>
      </c>
      <c r="AF194" s="167">
        <v>8.2646741154562395</v>
      </c>
      <c r="AG194" s="222">
        <v>9.8903138823581802E-2</v>
      </c>
      <c r="AH194" s="223">
        <v>0.47094864098030298</v>
      </c>
      <c r="AI194" s="223">
        <v>0.33101690036596898</v>
      </c>
      <c r="AJ194" s="167">
        <v>0.45082286873098798</v>
      </c>
      <c r="AK194" s="224">
        <v>0.26526234860218201</v>
      </c>
      <c r="AL194" s="224">
        <v>2.7939652578916299E-2</v>
      </c>
      <c r="AM194" s="82">
        <v>0.32391054854201301</v>
      </c>
    </row>
    <row r="195" spans="1:39" ht="16.05" customHeight="1" outlineLevel="1">
      <c r="A195" s="186">
        <v>43536</v>
      </c>
      <c r="B195" s="185" t="s">
        <v>41</v>
      </c>
      <c r="C195" s="188">
        <v>41860</v>
      </c>
      <c r="D195" s="188">
        <v>171655</v>
      </c>
      <c r="E195" s="189">
        <v>4.1006927854753901</v>
      </c>
      <c r="F195" s="167">
        <v>0.71955871720602405</v>
      </c>
      <c r="G195" s="218">
        <v>16.78</v>
      </c>
      <c r="H195" s="190">
        <v>27.69</v>
      </c>
      <c r="I195" s="219">
        <v>0.35</v>
      </c>
      <c r="J195" s="219">
        <v>0.189</v>
      </c>
      <c r="K195" s="219">
        <v>0.108</v>
      </c>
      <c r="L195" s="167">
        <v>9.6347382831842907</v>
      </c>
      <c r="M195" s="220">
        <v>9.6660336139349301</v>
      </c>
      <c r="N195" s="167">
        <v>15.1968547929146</v>
      </c>
      <c r="O195" s="193">
        <v>0.63605487751594803</v>
      </c>
      <c r="P195" s="167">
        <v>2.0840248392592202</v>
      </c>
      <c r="Q195" s="167">
        <v>2.8444249052041499</v>
      </c>
      <c r="R195" s="167">
        <v>0.90131157150446095</v>
      </c>
      <c r="S195" s="167">
        <v>4.90715502555366</v>
      </c>
      <c r="T195" s="167">
        <v>1.21464160759099</v>
      </c>
      <c r="U195" s="167">
        <v>0.50371856166767404</v>
      </c>
      <c r="V195" s="167">
        <v>1.8365664670000501</v>
      </c>
      <c r="W195" s="167">
        <v>0.90501181513436302</v>
      </c>
      <c r="X195" s="167">
        <v>7.7714019399376701E-3</v>
      </c>
      <c r="Y195" s="189">
        <v>9.6738050158748692</v>
      </c>
      <c r="Z195" s="207">
        <v>1788</v>
      </c>
      <c r="AA195" s="207">
        <v>1238</v>
      </c>
      <c r="AB195" s="167">
        <v>13696.12</v>
      </c>
      <c r="AC195" s="167"/>
      <c r="AD195" s="195">
        <v>1.04162418805162E-2</v>
      </c>
      <c r="AE195" s="219">
        <v>7.2121406309166598E-3</v>
      </c>
      <c r="AF195" s="167">
        <v>7.6600223713646498</v>
      </c>
      <c r="AG195" s="222">
        <v>7.9788645830299099E-2</v>
      </c>
      <c r="AH195" s="223">
        <v>0.52097467749641702</v>
      </c>
      <c r="AI195" s="223">
        <v>0.38332537028189201</v>
      </c>
      <c r="AJ195" s="167">
        <v>0.48796714339809499</v>
      </c>
      <c r="AK195" s="224">
        <v>0.28522326760071098</v>
      </c>
      <c r="AL195" s="224">
        <v>3.34508170458186E-2</v>
      </c>
      <c r="AM195" s="82">
        <v>0.270146514811686</v>
      </c>
    </row>
    <row r="196" spans="1:39" s="166" customFormat="1" ht="16.05" customHeight="1" outlineLevel="1">
      <c r="A196" s="196">
        <v>43537</v>
      </c>
      <c r="B196" s="197" t="s">
        <v>41</v>
      </c>
      <c r="C196" s="198">
        <v>41521</v>
      </c>
      <c r="D196" s="198">
        <v>168883</v>
      </c>
      <c r="E196" s="200">
        <v>4.0674116712025201</v>
      </c>
      <c r="F196" s="166">
        <v>0.65078248387937199</v>
      </c>
      <c r="G196" s="201">
        <v>17.670000000000002</v>
      </c>
      <c r="H196" s="217">
        <v>28.11</v>
      </c>
      <c r="I196" s="203">
        <v>0.36199999999999999</v>
      </c>
      <c r="J196" s="203">
        <v>0.19</v>
      </c>
      <c r="K196" s="203">
        <v>0.108</v>
      </c>
      <c r="L196" s="166">
        <v>9.1446978085420092</v>
      </c>
      <c r="M196" s="204">
        <v>8.8089091264366495</v>
      </c>
      <c r="N196" s="166">
        <v>13.9627484842228</v>
      </c>
      <c r="O196" s="205">
        <v>0.63088647169934198</v>
      </c>
      <c r="P196" s="166">
        <v>1.99037035646575</v>
      </c>
      <c r="Q196" s="166">
        <v>2.4955230604621499</v>
      </c>
      <c r="R196" s="166">
        <v>0.84081992754303303</v>
      </c>
      <c r="S196" s="166">
        <v>4.4560096108723002</v>
      </c>
      <c r="T196" s="166">
        <v>1.1290710115818501</v>
      </c>
      <c r="U196" s="166">
        <v>0.53548701969102497</v>
      </c>
      <c r="V196" s="166">
        <v>1.6710622641863599</v>
      </c>
      <c r="W196" s="166">
        <v>0.84440523342030704</v>
      </c>
      <c r="X196" s="166">
        <v>8.6154319854573908E-3</v>
      </c>
      <c r="Y196" s="200">
        <v>8.8175245584221003</v>
      </c>
      <c r="Z196" s="206">
        <v>1577</v>
      </c>
      <c r="AA196" s="206">
        <v>1123</v>
      </c>
      <c r="AB196" s="166">
        <v>10025.23</v>
      </c>
      <c r="AD196" s="210">
        <v>9.3378255952345692E-3</v>
      </c>
      <c r="AE196" s="203">
        <v>6.6495739654079998E-3</v>
      </c>
      <c r="AF196" s="166">
        <v>6.3571528218135702</v>
      </c>
      <c r="AG196" s="211">
        <v>5.9361984332348398E-2</v>
      </c>
      <c r="AH196" s="212">
        <v>0.51600394980853104</v>
      </c>
      <c r="AI196" s="212">
        <v>0.373449579730739</v>
      </c>
      <c r="AJ196" s="166">
        <v>0.54483873450850595</v>
      </c>
      <c r="AK196" s="213">
        <v>0.30750282740121898</v>
      </c>
      <c r="AL196" s="213">
        <v>3.54209719154681E-2</v>
      </c>
      <c r="AM196" s="214">
        <v>0</v>
      </c>
    </row>
    <row r="197" spans="1:39" s="167" customFormat="1" ht="16.05" customHeight="1" outlineLevel="1">
      <c r="A197" s="186">
        <v>43538</v>
      </c>
      <c r="B197" s="187" t="s">
        <v>41</v>
      </c>
      <c r="C197" s="188">
        <v>41521</v>
      </c>
      <c r="D197" s="188">
        <v>168883</v>
      </c>
      <c r="E197" s="189">
        <v>4.0674116712025201</v>
      </c>
      <c r="F197" s="167">
        <v>0.66095677392040597</v>
      </c>
      <c r="G197" s="218">
        <v>18.02</v>
      </c>
      <c r="H197" s="190">
        <v>28.18</v>
      </c>
      <c r="I197" s="219">
        <v>0.36599999999999999</v>
      </c>
      <c r="J197" s="219">
        <v>0.2</v>
      </c>
      <c r="K197" s="219">
        <v>0.115</v>
      </c>
      <c r="L197" s="167">
        <v>9.1446978085420092</v>
      </c>
      <c r="M197" s="220">
        <v>8.8089091264366495</v>
      </c>
      <c r="N197" s="167">
        <v>13.9627484842228</v>
      </c>
      <c r="O197" s="193">
        <v>0.63088647169934198</v>
      </c>
      <c r="P197" s="167">
        <v>1.93897471514651</v>
      </c>
      <c r="Q197" s="167">
        <v>2.5381149925853599</v>
      </c>
      <c r="R197" s="167">
        <v>0.83397781240027802</v>
      </c>
      <c r="S197" s="167">
        <v>4.4139432733279502</v>
      </c>
      <c r="T197" s="167">
        <v>1.12324254312691</v>
      </c>
      <c r="U197" s="167">
        <v>0.52782835582752996</v>
      </c>
      <c r="V197" s="167">
        <v>1.6628216920391199</v>
      </c>
      <c r="W197" s="167">
        <v>0.84045388846132196</v>
      </c>
      <c r="X197" s="167">
        <v>8.6154319854573908E-3</v>
      </c>
      <c r="Y197" s="189">
        <v>8.8175245584221003</v>
      </c>
      <c r="Z197" s="207">
        <v>1577</v>
      </c>
      <c r="AA197" s="207">
        <v>1123</v>
      </c>
      <c r="AB197" s="167">
        <v>10025.23</v>
      </c>
      <c r="AD197" s="195">
        <v>9.3378255952345692E-3</v>
      </c>
      <c r="AE197" s="219">
        <v>6.6495739654079998E-3</v>
      </c>
      <c r="AF197" s="167">
        <v>6.3571528218135702</v>
      </c>
      <c r="AG197" s="222">
        <v>5.9361984332348398E-2</v>
      </c>
      <c r="AH197" s="223">
        <v>0.51600394980853104</v>
      </c>
      <c r="AI197" s="223">
        <v>0.373449579730739</v>
      </c>
      <c r="AJ197" s="167">
        <v>0.54483873450850595</v>
      </c>
      <c r="AK197" s="224">
        <v>0.30750282740121898</v>
      </c>
      <c r="AL197" s="224">
        <v>3.54209719154681E-2</v>
      </c>
      <c r="AM197" s="82">
        <v>0</v>
      </c>
    </row>
    <row r="198" spans="1:39" ht="16.05" customHeight="1" outlineLevel="1">
      <c r="A198" s="186">
        <v>43539</v>
      </c>
      <c r="B198" s="187" t="s">
        <v>41</v>
      </c>
      <c r="C198" s="188">
        <v>30863</v>
      </c>
      <c r="D198" s="188">
        <v>156040</v>
      </c>
      <c r="E198" s="189">
        <v>5.0558921686161398</v>
      </c>
      <c r="F198" s="167">
        <v>0.65477617528838705</v>
      </c>
      <c r="G198" s="218">
        <v>16.760000000000002</v>
      </c>
      <c r="H198" s="190">
        <v>25.05</v>
      </c>
      <c r="I198" s="219">
        <v>0.35799999999999998</v>
      </c>
      <c r="J198" s="219">
        <v>0.191</v>
      </c>
      <c r="K198" s="219">
        <v>0.105</v>
      </c>
      <c r="L198" s="167">
        <v>8.7894193796462403</v>
      </c>
      <c r="M198" s="220">
        <v>8.7059343758010801</v>
      </c>
      <c r="N198" s="167">
        <v>13.738890349723899</v>
      </c>
      <c r="O198" s="193">
        <v>0.63367085362727504</v>
      </c>
      <c r="P198" s="167">
        <v>1.97029672930278</v>
      </c>
      <c r="Q198" s="167">
        <v>2.51545338700216</v>
      </c>
      <c r="R198" s="167">
        <v>0.82233661684095505</v>
      </c>
      <c r="S198" s="167">
        <v>4.3048200813123296</v>
      </c>
      <c r="T198" s="167">
        <v>1.12854224397743</v>
      </c>
      <c r="U198" s="167">
        <v>0.51779971277736203</v>
      </c>
      <c r="V198" s="167">
        <v>1.6392119581706801</v>
      </c>
      <c r="W198" s="167">
        <v>0.84042962034021695</v>
      </c>
      <c r="X198" s="167">
        <v>3.47346834145091E-3</v>
      </c>
      <c r="Y198" s="189">
        <v>8.7094078441425307</v>
      </c>
      <c r="Z198" s="207">
        <v>1676</v>
      </c>
      <c r="AA198" s="207">
        <v>1178</v>
      </c>
      <c r="AB198" s="167">
        <v>11704.24</v>
      </c>
      <c r="AC198" s="167"/>
      <c r="AD198" s="195">
        <v>1.0740835683158201E-2</v>
      </c>
      <c r="AE198" s="219">
        <v>7.5493463214560399E-3</v>
      </c>
      <c r="AF198" s="167">
        <v>6.9834367541766103</v>
      </c>
      <c r="AG198" s="222">
        <v>7.5007946680338403E-2</v>
      </c>
      <c r="AH198" s="223">
        <v>0.534620743284839</v>
      </c>
      <c r="AI198" s="223">
        <v>0.40906587175582398</v>
      </c>
      <c r="AJ198" s="167">
        <v>0.54038067162266101</v>
      </c>
      <c r="AK198" s="224">
        <v>0.32964624455267899</v>
      </c>
      <c r="AL198" s="224">
        <v>3.65098692642912E-2</v>
      </c>
      <c r="AM198" s="82">
        <v>0</v>
      </c>
    </row>
    <row r="199" spans="1:39" ht="16.05" customHeight="1" outlineLevel="1">
      <c r="A199" s="186">
        <v>43540</v>
      </c>
      <c r="B199" s="185" t="s">
        <v>41</v>
      </c>
      <c r="C199" s="188">
        <v>34110</v>
      </c>
      <c r="D199" s="188">
        <v>156617</v>
      </c>
      <c r="E199" s="189">
        <v>4.5915274113163296</v>
      </c>
      <c r="F199" s="167">
        <v>0.85776036509446596</v>
      </c>
      <c r="G199" s="218">
        <v>15.7</v>
      </c>
      <c r="H199" s="190">
        <v>24.62</v>
      </c>
      <c r="I199" s="219">
        <v>0.34100000000000003</v>
      </c>
      <c r="J199" s="219">
        <v>0.17699999999999999</v>
      </c>
      <c r="K199" s="219">
        <v>0.10199999999999999</v>
      </c>
      <c r="L199" s="167">
        <v>10.030711863973901</v>
      </c>
      <c r="M199" s="220">
        <v>11.2500558687754</v>
      </c>
      <c r="N199" s="167">
        <v>17.6207334513416</v>
      </c>
      <c r="O199" s="193">
        <v>0.63845559549729602</v>
      </c>
      <c r="P199" s="167">
        <v>2.3411738821717498</v>
      </c>
      <c r="Q199" s="167">
        <v>3.1460302221155501</v>
      </c>
      <c r="R199" s="167">
        <v>0.94268598801916104</v>
      </c>
      <c r="S199" s="167">
        <v>6.2762993409538703</v>
      </c>
      <c r="T199" s="167">
        <v>1.3560749252447699</v>
      </c>
      <c r="U199" s="167">
        <v>0.453381736721571</v>
      </c>
      <c r="V199" s="167">
        <v>2.1473203124218698</v>
      </c>
      <c r="W199" s="167">
        <v>0.95776704369305798</v>
      </c>
      <c r="X199" s="167">
        <v>4.78875217888224E-3</v>
      </c>
      <c r="Y199" s="189">
        <v>11.2548446209543</v>
      </c>
      <c r="Z199" s="207">
        <v>2224</v>
      </c>
      <c r="AA199" s="207">
        <v>1437</v>
      </c>
      <c r="AB199" s="167">
        <v>18637.759999999998</v>
      </c>
      <c r="AC199" s="167"/>
      <c r="AD199" s="195">
        <v>1.42002464611121E-2</v>
      </c>
      <c r="AE199" s="219">
        <v>9.1752491747383695E-3</v>
      </c>
      <c r="AF199" s="167">
        <v>8.3802877697841698</v>
      </c>
      <c r="AG199" s="222">
        <v>0.119002151745979</v>
      </c>
      <c r="AH199" s="223">
        <v>0.51811785400175903</v>
      </c>
      <c r="AI199" s="223">
        <v>0.36180005863383202</v>
      </c>
      <c r="AJ199" s="167">
        <v>0.42351724270034502</v>
      </c>
      <c r="AK199" s="224">
        <v>0.28073580773479301</v>
      </c>
      <c r="AL199" s="224">
        <v>3.09417240784845E-2</v>
      </c>
      <c r="AM199" s="82">
        <v>0.36589897648403402</v>
      </c>
    </row>
    <row r="200" spans="1:39" ht="16.05" customHeight="1" outlineLevel="1">
      <c r="A200" s="186">
        <v>43541</v>
      </c>
      <c r="B200" s="185" t="s">
        <v>41</v>
      </c>
      <c r="C200" s="188">
        <v>41009</v>
      </c>
      <c r="D200" s="188">
        <v>163786</v>
      </c>
      <c r="E200" s="189">
        <v>3.99390377721963</v>
      </c>
      <c r="F200" s="167">
        <v>0.81106097053472204</v>
      </c>
      <c r="G200" s="218">
        <v>15.3</v>
      </c>
      <c r="H200" s="190">
        <v>24.24</v>
      </c>
      <c r="I200" s="219">
        <v>0.34499999999999997</v>
      </c>
      <c r="J200" s="219">
        <v>0.17799999999999999</v>
      </c>
      <c r="K200" s="219">
        <v>0.108</v>
      </c>
      <c r="L200" s="167">
        <v>9.5439109569804508</v>
      </c>
      <c r="M200" s="220">
        <v>11.0917782960693</v>
      </c>
      <c r="N200" s="167">
        <v>17.402630494966001</v>
      </c>
      <c r="O200" s="193">
        <v>0.637362167706642</v>
      </c>
      <c r="P200" s="167">
        <v>2.3107930760314601</v>
      </c>
      <c r="Q200" s="167">
        <v>3.3149122050751498</v>
      </c>
      <c r="R200" s="167">
        <v>0.98055387916582804</v>
      </c>
      <c r="S200" s="167">
        <v>5.9400427239896203</v>
      </c>
      <c r="T200" s="167">
        <v>1.3435449416137399</v>
      </c>
      <c r="U200" s="167">
        <v>0.47340287955858301</v>
      </c>
      <c r="V200" s="167">
        <v>2.0574379017348199</v>
      </c>
      <c r="W200" s="167">
        <v>0.98194288779684102</v>
      </c>
      <c r="X200" s="167">
        <v>5.0065329149011498E-3</v>
      </c>
      <c r="Y200" s="189">
        <v>11.0967848289842</v>
      </c>
      <c r="Z200" s="207">
        <v>2171</v>
      </c>
      <c r="AA200" s="207">
        <v>1376</v>
      </c>
      <c r="AB200" s="167">
        <v>17799.29</v>
      </c>
      <c r="AC200" s="167"/>
      <c r="AD200" s="195">
        <v>1.3255101168598E-2</v>
      </c>
      <c r="AE200" s="219">
        <v>8.4012064523219295E-3</v>
      </c>
      <c r="AF200" s="167">
        <v>8.1986596038691797</v>
      </c>
      <c r="AG200" s="222">
        <v>0.108674062496184</v>
      </c>
      <c r="AH200" s="223">
        <v>0.50947353020068797</v>
      </c>
      <c r="AI200" s="223">
        <v>0.35102050769343301</v>
      </c>
      <c r="AJ200" s="167">
        <v>0.42938956931605898</v>
      </c>
      <c r="AK200" s="224">
        <v>0.269882651752897</v>
      </c>
      <c r="AL200" s="224">
        <v>3.0362790470492E-2</v>
      </c>
      <c r="AM200" s="82">
        <v>0.341384489516808</v>
      </c>
    </row>
    <row r="201" spans="1:39" ht="16.05" customHeight="1" outlineLevel="1">
      <c r="A201" s="186">
        <v>43542</v>
      </c>
      <c r="B201" s="185" t="s">
        <v>41</v>
      </c>
      <c r="C201" s="188">
        <v>46364</v>
      </c>
      <c r="D201" s="188">
        <v>174775</v>
      </c>
      <c r="E201" s="189">
        <v>3.76962729704081</v>
      </c>
      <c r="F201" s="167">
        <v>0.80985489323988002</v>
      </c>
      <c r="G201" s="218">
        <v>16.82</v>
      </c>
      <c r="H201" s="190">
        <v>25.66</v>
      </c>
      <c r="I201" s="219">
        <v>0.35099999999999998</v>
      </c>
      <c r="J201" s="219">
        <v>0.19</v>
      </c>
      <c r="K201" s="219">
        <v>0.115</v>
      </c>
      <c r="L201" s="167">
        <v>9.5622657702760705</v>
      </c>
      <c r="M201" s="220">
        <v>10.9355514232585</v>
      </c>
      <c r="N201" s="167">
        <v>17.095969444345101</v>
      </c>
      <c r="O201" s="193">
        <v>0.63965670147332299</v>
      </c>
      <c r="P201" s="167">
        <v>2.2934183691724201</v>
      </c>
      <c r="Q201" s="167">
        <v>3.3546549071523102</v>
      </c>
      <c r="R201" s="167">
        <v>0.96350495545457804</v>
      </c>
      <c r="S201" s="167">
        <v>5.6971179648645798</v>
      </c>
      <c r="T201" s="167">
        <v>1.32468961322409</v>
      </c>
      <c r="U201" s="167">
        <v>0.48077748756663902</v>
      </c>
      <c r="V201" s="167">
        <v>2.01208451107374</v>
      </c>
      <c r="W201" s="167">
        <v>0.96972163583670301</v>
      </c>
      <c r="X201" s="167">
        <v>4.3541696466886E-3</v>
      </c>
      <c r="Y201" s="189">
        <v>10.9399055929052</v>
      </c>
      <c r="Z201" s="207">
        <v>2111</v>
      </c>
      <c r="AA201" s="207">
        <v>1413</v>
      </c>
      <c r="AB201" s="167">
        <v>15348.89</v>
      </c>
      <c r="AC201" s="167"/>
      <c r="AD201" s="195">
        <v>1.20783864969246E-2</v>
      </c>
      <c r="AE201" s="219">
        <v>8.0846803032470303E-3</v>
      </c>
      <c r="AF201" s="167">
        <v>7.2709095215537696</v>
      </c>
      <c r="AG201" s="222">
        <v>8.7820855385495597E-2</v>
      </c>
      <c r="AH201" s="223">
        <v>0.50593132602881496</v>
      </c>
      <c r="AI201" s="223">
        <v>0.35208351307048602</v>
      </c>
      <c r="AJ201" s="167">
        <v>0.449543699041625</v>
      </c>
      <c r="AK201" s="224">
        <v>0.26737805750250299</v>
      </c>
      <c r="AL201" s="224">
        <v>3.0296094979258999E-2</v>
      </c>
      <c r="AM201" s="82">
        <v>0.32482906594192501</v>
      </c>
    </row>
    <row r="202" spans="1:39" ht="16.05" customHeight="1" outlineLevel="1">
      <c r="A202" s="186">
        <v>43543</v>
      </c>
      <c r="B202" s="185" t="s">
        <v>41</v>
      </c>
      <c r="C202" s="188">
        <v>47968</v>
      </c>
      <c r="D202" s="188">
        <v>177785</v>
      </c>
      <c r="E202" s="189">
        <v>3.7063250500333602</v>
      </c>
      <c r="F202" s="167">
        <v>0.78154276190904703</v>
      </c>
      <c r="G202" s="218">
        <v>17.350000000000001</v>
      </c>
      <c r="H202" s="190">
        <v>25.55</v>
      </c>
      <c r="I202" s="219">
        <v>0.34599999999999997</v>
      </c>
      <c r="J202" s="219">
        <v>0.188</v>
      </c>
      <c r="K202" s="219">
        <v>0.108</v>
      </c>
      <c r="L202" s="167">
        <v>9.6409539612453194</v>
      </c>
      <c r="M202" s="220">
        <v>10.463599291278801</v>
      </c>
      <c r="N202" s="167">
        <v>16.293440655846801</v>
      </c>
      <c r="O202" s="193">
        <v>0.64219703574542297</v>
      </c>
      <c r="P202" s="167">
        <v>2.2092876599546298</v>
      </c>
      <c r="Q202" s="167">
        <v>3.2179937463323198</v>
      </c>
      <c r="R202" s="167">
        <v>0.94228933285452798</v>
      </c>
      <c r="S202" s="167">
        <v>5.2797421456911904</v>
      </c>
      <c r="T202" s="167">
        <v>1.2588440349294501</v>
      </c>
      <c r="U202" s="167">
        <v>0.51979890166676901</v>
      </c>
      <c r="V202" s="167">
        <v>1.9278550970895001</v>
      </c>
      <c r="W202" s="167">
        <v>0.93762973732844002</v>
      </c>
      <c r="X202" s="167">
        <v>3.8417189301684601E-3</v>
      </c>
      <c r="Y202" s="189">
        <v>10.467441010209001</v>
      </c>
      <c r="Z202" s="207">
        <v>2062</v>
      </c>
      <c r="AA202" s="207">
        <v>1380</v>
      </c>
      <c r="AB202" s="167">
        <v>15450.38</v>
      </c>
      <c r="AC202" s="167"/>
      <c r="AD202" s="195">
        <v>1.15982788199229E-2</v>
      </c>
      <c r="AE202" s="219">
        <v>7.7621846612481397E-3</v>
      </c>
      <c r="AF202" s="167">
        <v>7.4929097963142599</v>
      </c>
      <c r="AG202" s="222">
        <v>8.6904856990184798E-2</v>
      </c>
      <c r="AH202" s="223">
        <v>0.50769262841894602</v>
      </c>
      <c r="AI202" s="223">
        <v>0.35267261507671799</v>
      </c>
      <c r="AJ202" s="167">
        <v>0.48646961217200602</v>
      </c>
      <c r="AK202" s="224">
        <v>0.276828753831876</v>
      </c>
      <c r="AL202" s="224">
        <v>3.4209860224428401E-2</v>
      </c>
      <c r="AM202" s="82">
        <v>0.26418426751413199</v>
      </c>
    </row>
    <row r="203" spans="1:39" s="166" customFormat="1" ht="16.05" customHeight="1" outlineLevel="1">
      <c r="A203" s="196">
        <v>43544</v>
      </c>
      <c r="B203" s="197" t="s">
        <v>41</v>
      </c>
      <c r="C203" s="198">
        <v>43165</v>
      </c>
      <c r="D203" s="198">
        <v>172772</v>
      </c>
      <c r="E203" s="200">
        <v>4.0025946947758602</v>
      </c>
      <c r="F203" s="166">
        <v>0.72269018243696903</v>
      </c>
      <c r="G203" s="201">
        <v>18.11</v>
      </c>
      <c r="H203" s="217">
        <v>26.53</v>
      </c>
      <c r="I203" s="203">
        <v>0.35599999999999998</v>
      </c>
      <c r="J203" s="203">
        <v>0.188</v>
      </c>
      <c r="K203" s="203">
        <v>0.107</v>
      </c>
      <c r="L203" s="166">
        <v>9.1400458407612302</v>
      </c>
      <c r="M203" s="204">
        <v>9.6051269881693795</v>
      </c>
      <c r="N203" s="166">
        <v>15.020655135272101</v>
      </c>
      <c r="O203" s="205">
        <v>0.63946125529599696</v>
      </c>
      <c r="P203" s="166">
        <v>2.0704646047736701</v>
      </c>
      <c r="Q203" s="166">
        <v>2.9132520523891001</v>
      </c>
      <c r="R203" s="166">
        <v>0.88750101827463501</v>
      </c>
      <c r="S203" s="166">
        <v>4.7986622134122596</v>
      </c>
      <c r="T203" s="166">
        <v>1.17857369140395</v>
      </c>
      <c r="U203" s="166">
        <v>0.54347806410152</v>
      </c>
      <c r="V203" s="166">
        <v>1.75334220363682</v>
      </c>
      <c r="W203" s="166">
        <v>0.87538128728016595</v>
      </c>
      <c r="X203" s="166">
        <v>5.6201236311439404E-3</v>
      </c>
      <c r="Y203" s="200">
        <v>9.6107471118005208</v>
      </c>
      <c r="Z203" s="206">
        <v>1856</v>
      </c>
      <c r="AA203" s="206">
        <v>1310</v>
      </c>
      <c r="AB203" s="166">
        <v>11379.44</v>
      </c>
      <c r="AD203" s="210">
        <v>1.0742481420600599E-2</v>
      </c>
      <c r="AE203" s="203">
        <v>7.5822471233764699E-3</v>
      </c>
      <c r="AF203" s="166">
        <v>6.1311637931034504</v>
      </c>
      <c r="AG203" s="211">
        <v>6.5863913134072596E-2</v>
      </c>
      <c r="AH203" s="212">
        <v>0.52056063940692698</v>
      </c>
      <c r="AI203" s="212">
        <v>0.376161241746786</v>
      </c>
      <c r="AJ203" s="166">
        <v>0.55522885652767795</v>
      </c>
      <c r="AK203" s="213">
        <v>0.30563401477091201</v>
      </c>
      <c r="AL203" s="213">
        <v>3.6771004560924199E-2</v>
      </c>
      <c r="AM203" s="214">
        <v>0</v>
      </c>
    </row>
    <row r="204" spans="1:39" s="167" customFormat="1" ht="16.05" customHeight="1" outlineLevel="1">
      <c r="A204" s="186">
        <v>43545</v>
      </c>
      <c r="B204" s="187" t="s">
        <v>41</v>
      </c>
      <c r="C204" s="188">
        <v>39643</v>
      </c>
      <c r="D204" s="188">
        <v>170167</v>
      </c>
      <c r="E204" s="189">
        <v>4.2924854324849298</v>
      </c>
      <c r="F204" s="167">
        <v>0.74612467514853098</v>
      </c>
      <c r="G204" s="218">
        <v>18.28</v>
      </c>
      <c r="H204" s="190">
        <v>26.48</v>
      </c>
      <c r="I204" s="219">
        <v>0.34699999999999998</v>
      </c>
      <c r="J204" s="219">
        <v>0.182</v>
      </c>
      <c r="K204" s="219">
        <v>0.10199999999999999</v>
      </c>
      <c r="L204" s="167">
        <v>8.9495025474974597</v>
      </c>
      <c r="M204" s="220">
        <v>9.5453525066552292</v>
      </c>
      <c r="N204" s="167">
        <v>14.8096171555175</v>
      </c>
      <c r="O204" s="193">
        <v>0.64453742500014699</v>
      </c>
      <c r="P204" s="167">
        <v>2.0815926476353699</v>
      </c>
      <c r="Q204" s="167">
        <v>2.9577859024972901</v>
      </c>
      <c r="R204" s="167">
        <v>0.86636457298115399</v>
      </c>
      <c r="S204" s="167">
        <v>4.6121408838519704</v>
      </c>
      <c r="T204" s="167">
        <v>1.1816026769026</v>
      </c>
      <c r="U204" s="167">
        <v>0.53675726438060201</v>
      </c>
      <c r="V204" s="167">
        <v>1.7079386208845799</v>
      </c>
      <c r="W204" s="167">
        <v>0.86543458638390203</v>
      </c>
      <c r="X204" s="167">
        <v>7.5220224837953299E-3</v>
      </c>
      <c r="Y204" s="189">
        <v>9.5528745291390198</v>
      </c>
      <c r="Z204" s="207">
        <v>1899</v>
      </c>
      <c r="AA204" s="207">
        <v>1279</v>
      </c>
      <c r="AB204" s="167">
        <v>12546.01</v>
      </c>
      <c r="AD204" s="195">
        <v>1.1159625544318199E-2</v>
      </c>
      <c r="AE204" s="219">
        <v>7.5161459037298697E-3</v>
      </c>
      <c r="AF204" s="167">
        <v>6.6066403370194804</v>
      </c>
      <c r="AG204" s="222">
        <v>7.3727632267125795E-2</v>
      </c>
      <c r="AH204" s="223">
        <v>0.51936029059354705</v>
      </c>
      <c r="AI204" s="223">
        <v>0.387912115632016</v>
      </c>
      <c r="AJ204" s="167">
        <v>0.54327807389211802</v>
      </c>
      <c r="AK204" s="224">
        <v>0.31320408774909397</v>
      </c>
      <c r="AL204" s="224">
        <v>3.6405413505556303E-2</v>
      </c>
      <c r="AM204" s="82">
        <v>0</v>
      </c>
    </row>
    <row r="205" spans="1:39" ht="16.05" customHeight="1" outlineLevel="1">
      <c r="A205" s="186">
        <v>43546</v>
      </c>
      <c r="B205" s="187" t="s">
        <v>41</v>
      </c>
      <c r="C205" s="188">
        <v>37220</v>
      </c>
      <c r="D205" s="188">
        <v>167100</v>
      </c>
      <c r="E205" s="189">
        <v>4.4895217624932799</v>
      </c>
      <c r="F205" s="167">
        <v>0.69513458377019699</v>
      </c>
      <c r="G205" s="218">
        <v>17.079999999999998</v>
      </c>
      <c r="H205" s="190">
        <v>25.03</v>
      </c>
      <c r="I205" s="219">
        <v>0.34300000000000003</v>
      </c>
      <c r="J205" s="219">
        <v>0.185</v>
      </c>
      <c r="K205" s="219">
        <v>0.10199999999999999</v>
      </c>
      <c r="L205" s="167">
        <v>8.7045601436265692</v>
      </c>
      <c r="M205" s="220">
        <v>9.5290664272890506</v>
      </c>
      <c r="N205" s="167">
        <v>14.8323024759208</v>
      </c>
      <c r="O205" s="193">
        <v>0.64245362058647504</v>
      </c>
      <c r="P205" s="167">
        <v>2.1040855487452701</v>
      </c>
      <c r="Q205" s="167">
        <v>2.9898839353913198</v>
      </c>
      <c r="R205" s="167">
        <v>0.85886878923933896</v>
      </c>
      <c r="S205" s="167">
        <v>4.58059317771112</v>
      </c>
      <c r="T205" s="167">
        <v>1.18571268886115</v>
      </c>
      <c r="U205" s="167">
        <v>0.53478212269687198</v>
      </c>
      <c r="V205" s="167">
        <v>1.71008998267414</v>
      </c>
      <c r="W205" s="167">
        <v>0.86828623060156096</v>
      </c>
      <c r="X205" s="167">
        <v>8.1867145421903095E-3</v>
      </c>
      <c r="Y205" s="189">
        <v>9.5372531418312398</v>
      </c>
      <c r="Z205" s="207">
        <v>1788</v>
      </c>
      <c r="AA205" s="207">
        <v>1258</v>
      </c>
      <c r="AB205" s="167">
        <v>11432.12</v>
      </c>
      <c r="AC205" s="167"/>
      <c r="AD205" s="195">
        <v>1.0700179533213601E-2</v>
      </c>
      <c r="AE205" s="219">
        <v>7.5284260921603804E-3</v>
      </c>
      <c r="AF205" s="167">
        <v>6.3938031319910502</v>
      </c>
      <c r="AG205" s="222">
        <v>6.8414841412327898E-2</v>
      </c>
      <c r="AH205" s="223">
        <v>0.50921547555077895</v>
      </c>
      <c r="AI205" s="223">
        <v>0.38113917248791002</v>
      </c>
      <c r="AJ205" s="167">
        <v>0.52638539796529005</v>
      </c>
      <c r="AK205" s="224">
        <v>0.31732495511669701</v>
      </c>
      <c r="AL205" s="224">
        <v>3.6660682226211799E-2</v>
      </c>
      <c r="AM205" s="82">
        <v>0</v>
      </c>
    </row>
    <row r="206" spans="1:39" ht="16.05" customHeight="1" outlineLevel="1">
      <c r="A206" s="186">
        <v>43547</v>
      </c>
      <c r="B206" s="185" t="s">
        <v>41</v>
      </c>
      <c r="C206" s="188">
        <v>35107</v>
      </c>
      <c r="D206" s="188">
        <v>162448</v>
      </c>
      <c r="E206" s="189">
        <v>4.6272253396758503</v>
      </c>
      <c r="F206" s="167">
        <v>0.88606653737811503</v>
      </c>
      <c r="G206" s="218">
        <v>15.68</v>
      </c>
      <c r="H206" s="190">
        <v>23.38</v>
      </c>
      <c r="I206" s="219">
        <v>0.33500000000000002</v>
      </c>
      <c r="J206" s="219">
        <v>0.17799999999999999</v>
      </c>
      <c r="K206" s="219">
        <v>0.104</v>
      </c>
      <c r="L206" s="167">
        <v>9.9298729439574505</v>
      </c>
      <c r="M206" s="220">
        <v>11.7062444597656</v>
      </c>
      <c r="N206" s="167">
        <v>18.142975719124198</v>
      </c>
      <c r="O206" s="193">
        <v>0.64522185560918</v>
      </c>
      <c r="P206" s="167">
        <v>2.46844440204169</v>
      </c>
      <c r="Q206" s="167">
        <v>3.5976243858226402</v>
      </c>
      <c r="R206" s="167">
        <v>1.05315078948624</v>
      </c>
      <c r="S206" s="167">
        <v>6.0325525926632597</v>
      </c>
      <c r="T206" s="167">
        <v>1.4114201211658599</v>
      </c>
      <c r="U206" s="167">
        <v>0.46841578018413399</v>
      </c>
      <c r="V206" s="167">
        <v>2.1399513428421502</v>
      </c>
      <c r="W206" s="167">
        <v>0.97141630491818898</v>
      </c>
      <c r="X206" s="167">
        <v>1.00032010243278E-2</v>
      </c>
      <c r="Y206" s="189">
        <v>11.7162476607899</v>
      </c>
      <c r="Z206" s="207">
        <v>2352</v>
      </c>
      <c r="AA206" s="207">
        <v>1516</v>
      </c>
      <c r="AB206" s="167">
        <v>19714.48</v>
      </c>
      <c r="AC206" s="167"/>
      <c r="AD206" s="195">
        <v>1.44784792672117E-2</v>
      </c>
      <c r="AE206" s="219">
        <v>9.3322170786959494E-3</v>
      </c>
      <c r="AF206" s="167">
        <v>8.3820068027210901</v>
      </c>
      <c r="AG206" s="222">
        <v>0.121358711710824</v>
      </c>
      <c r="AH206" s="223">
        <v>0.51357279175093296</v>
      </c>
      <c r="AI206" s="223">
        <v>0.37340131597687098</v>
      </c>
      <c r="AJ206" s="167">
        <v>0.43343100561410403</v>
      </c>
      <c r="AK206" s="224">
        <v>0.27679011129715397</v>
      </c>
      <c r="AL206" s="224">
        <v>3.1764010637250102E-2</v>
      </c>
      <c r="AM206" s="82">
        <v>0.34918250763321201</v>
      </c>
    </row>
    <row r="207" spans="1:39" ht="16.05" customHeight="1" outlineLevel="1">
      <c r="A207" s="186">
        <v>43548</v>
      </c>
      <c r="B207" s="185" t="s">
        <v>41</v>
      </c>
      <c r="C207" s="188">
        <v>36349</v>
      </c>
      <c r="D207" s="188">
        <v>163837</v>
      </c>
      <c r="E207" s="189">
        <v>4.5073317010096599</v>
      </c>
      <c r="F207" s="167">
        <v>0.82330153882212198</v>
      </c>
      <c r="G207" s="218">
        <v>15.01</v>
      </c>
      <c r="H207" s="190">
        <v>23.08</v>
      </c>
      <c r="I207" s="219">
        <v>0.33500000000000002</v>
      </c>
      <c r="J207" s="219">
        <v>0.17</v>
      </c>
      <c r="K207" s="219">
        <v>0.106</v>
      </c>
      <c r="L207" s="167">
        <v>9.3603215390906804</v>
      </c>
      <c r="M207" s="220">
        <v>11.710736890934299</v>
      </c>
      <c r="N207" s="167">
        <v>18.065212274143899</v>
      </c>
      <c r="O207" s="193">
        <v>0.64824795375891897</v>
      </c>
      <c r="P207" s="167">
        <v>2.3918103326522702</v>
      </c>
      <c r="Q207" s="167">
        <v>3.6589019556149802</v>
      </c>
      <c r="R207" s="167">
        <v>1.09698042501907</v>
      </c>
      <c r="S207" s="167">
        <v>6.0141704407430803</v>
      </c>
      <c r="T207" s="167">
        <v>1.3820934589998799</v>
      </c>
      <c r="U207" s="167">
        <v>0.47066577532554399</v>
      </c>
      <c r="V207" s="167">
        <v>2.0639600026363598</v>
      </c>
      <c r="W207" s="167">
        <v>0.98662988315271105</v>
      </c>
      <c r="X207" s="167">
        <v>9.3690680371344703E-3</v>
      </c>
      <c r="Y207" s="189">
        <v>11.7201059589714</v>
      </c>
      <c r="Z207" s="207">
        <v>2163</v>
      </c>
      <c r="AA207" s="207">
        <v>1399</v>
      </c>
      <c r="AB207" s="167">
        <v>17251.37</v>
      </c>
      <c r="AC207" s="167"/>
      <c r="AD207" s="195">
        <v>1.3202146035388799E-2</v>
      </c>
      <c r="AE207" s="219">
        <v>8.5389747126717406E-3</v>
      </c>
      <c r="AF207" s="167">
        <v>7.9756680536292199</v>
      </c>
      <c r="AG207" s="222">
        <v>0.105295934373798</v>
      </c>
      <c r="AH207" s="223">
        <v>0.50048144378112203</v>
      </c>
      <c r="AI207" s="223">
        <v>0.36064265867011502</v>
      </c>
      <c r="AJ207" s="167">
        <v>0.43716010424995599</v>
      </c>
      <c r="AK207" s="224">
        <v>0.27159310778395601</v>
      </c>
      <c r="AL207" s="224">
        <v>3.2196634459859499E-2</v>
      </c>
      <c r="AM207" s="82">
        <v>0.33340454231950001</v>
      </c>
    </row>
    <row r="208" spans="1:39" ht="16.05" customHeight="1" outlineLevel="1">
      <c r="A208" s="186">
        <v>43549</v>
      </c>
      <c r="B208" s="185" t="s">
        <v>41</v>
      </c>
      <c r="C208" s="188">
        <v>39461</v>
      </c>
      <c r="D208" s="188">
        <v>170781</v>
      </c>
      <c r="E208" s="189">
        <v>4.3278426801145402</v>
      </c>
      <c r="F208" s="167">
        <v>0.83353872898624604</v>
      </c>
      <c r="G208" s="218">
        <v>15.75</v>
      </c>
      <c r="H208" s="190">
        <v>23.87</v>
      </c>
      <c r="I208" s="219">
        <v>0.33300000000000002</v>
      </c>
      <c r="J208" s="219">
        <v>0.182</v>
      </c>
      <c r="K208" s="219">
        <v>0.111</v>
      </c>
      <c r="L208" s="167">
        <v>9.4682839425931498</v>
      </c>
      <c r="M208" s="220">
        <v>11.5951833049344</v>
      </c>
      <c r="N208" s="167">
        <v>17.852517985611499</v>
      </c>
      <c r="O208" s="193">
        <v>0.64949848051012704</v>
      </c>
      <c r="P208" s="167">
        <v>2.36628441607616</v>
      </c>
      <c r="Q208" s="167">
        <v>3.6648996592199898</v>
      </c>
      <c r="R208" s="167">
        <v>1.08017345522079</v>
      </c>
      <c r="S208" s="167">
        <v>5.8855141450749198</v>
      </c>
      <c r="T208" s="167">
        <v>1.37914931212924</v>
      </c>
      <c r="U208" s="167">
        <v>0.47390959412920802</v>
      </c>
      <c r="V208" s="167">
        <v>2.0294531292259399</v>
      </c>
      <c r="W208" s="167">
        <v>0.97313427453525903</v>
      </c>
      <c r="X208" s="167">
        <v>8.6192257920963099E-3</v>
      </c>
      <c r="Y208" s="189">
        <v>11.603802530726499</v>
      </c>
      <c r="Z208" s="207">
        <v>2084</v>
      </c>
      <c r="AA208" s="207">
        <v>1372</v>
      </c>
      <c r="AB208" s="167">
        <v>17069.16</v>
      </c>
      <c r="AC208" s="167"/>
      <c r="AD208" s="195">
        <v>1.2202762602397201E-2</v>
      </c>
      <c r="AE208" s="219">
        <v>8.0336805616549808E-3</v>
      </c>
      <c r="AF208" s="167">
        <v>8.1905758157389705</v>
      </c>
      <c r="AG208" s="222">
        <v>9.9947652256398595E-2</v>
      </c>
      <c r="AH208" s="223">
        <v>0.50530903930463</v>
      </c>
      <c r="AI208" s="223">
        <v>0.36043181875776098</v>
      </c>
      <c r="AJ208" s="167">
        <v>0.459816958560964</v>
      </c>
      <c r="AK208" s="224">
        <v>0.27328566995157499</v>
      </c>
      <c r="AL208" s="224">
        <v>3.2450916671058302E-2</v>
      </c>
      <c r="AM208" s="82">
        <v>0.31991263665161801</v>
      </c>
    </row>
    <row r="209" spans="1:39" ht="16.05" customHeight="1" outlineLevel="1">
      <c r="A209" s="186">
        <v>43550</v>
      </c>
      <c r="B209" s="185" t="s">
        <v>41</v>
      </c>
      <c r="C209" s="188">
        <v>35558</v>
      </c>
      <c r="D209" s="188">
        <v>164433</v>
      </c>
      <c r="E209" s="189">
        <v>4.6243602002362296</v>
      </c>
      <c r="F209" s="167">
        <v>0.806338212110708</v>
      </c>
      <c r="G209" s="218">
        <v>16.850000000000001</v>
      </c>
      <c r="H209" s="190">
        <v>24.36</v>
      </c>
      <c r="I209" s="219">
        <v>0.34100000000000003</v>
      </c>
      <c r="J209" s="219">
        <v>0.19</v>
      </c>
      <c r="K209" s="219">
        <v>0.11</v>
      </c>
      <c r="L209" s="167">
        <v>9.3874343957721393</v>
      </c>
      <c r="M209" s="220">
        <v>11.1182852590417</v>
      </c>
      <c r="N209" s="167">
        <v>16.9648123231105</v>
      </c>
      <c r="O209" s="193">
        <v>0.65537331314273894</v>
      </c>
      <c r="P209" s="167">
        <v>2.27586878856772</v>
      </c>
      <c r="Q209" s="167">
        <v>3.4503131814596602</v>
      </c>
      <c r="R209" s="167">
        <v>1.04115436366167</v>
      </c>
      <c r="S209" s="167">
        <v>5.48841460585533</v>
      </c>
      <c r="T209" s="167">
        <v>1.3127453254767301</v>
      </c>
      <c r="U209" s="167">
        <v>0.50792929058599701</v>
      </c>
      <c r="V209" s="167">
        <v>1.9435809400083499</v>
      </c>
      <c r="W209" s="167">
        <v>0.94480582749501196</v>
      </c>
      <c r="X209" s="167">
        <v>1.27103440306994E-2</v>
      </c>
      <c r="Y209" s="189">
        <v>11.1309956030724</v>
      </c>
      <c r="Z209" s="207">
        <v>1873</v>
      </c>
      <c r="AA209" s="207">
        <v>1314</v>
      </c>
      <c r="AB209" s="167">
        <v>12789.27</v>
      </c>
      <c r="AC209" s="167"/>
      <c r="AD209" s="195">
        <v>1.13906575930622E-2</v>
      </c>
      <c r="AE209" s="219">
        <v>7.9910966776741907E-3</v>
      </c>
      <c r="AF209" s="167">
        <v>6.8282274426054403</v>
      </c>
      <c r="AG209" s="222">
        <v>7.7778000766269506E-2</v>
      </c>
      <c r="AH209" s="223">
        <v>0.504218459980876</v>
      </c>
      <c r="AI209" s="223">
        <v>0.37566792283030498</v>
      </c>
      <c r="AJ209" s="167">
        <v>0.502672821149039</v>
      </c>
      <c r="AK209" s="224">
        <v>0.29302512269434999</v>
      </c>
      <c r="AL209" s="224">
        <v>3.8866894114928302E-2</v>
      </c>
      <c r="AM209" s="82">
        <v>0.26919778876502898</v>
      </c>
    </row>
    <row r="210" spans="1:39" s="166" customFormat="1" ht="16.05" customHeight="1" outlineLevel="1">
      <c r="A210" s="196">
        <v>43551</v>
      </c>
      <c r="B210" s="197" t="s">
        <v>41</v>
      </c>
      <c r="C210" s="198">
        <v>31635</v>
      </c>
      <c r="D210" s="198">
        <v>157495</v>
      </c>
      <c r="E210" s="200">
        <v>4.9785048206100804</v>
      </c>
      <c r="F210" s="166">
        <v>0.70888963106130398</v>
      </c>
      <c r="G210" s="201">
        <v>17.440000000000001</v>
      </c>
      <c r="H210" s="217">
        <v>25.18</v>
      </c>
      <c r="I210" s="203">
        <v>0.34200000000000003</v>
      </c>
      <c r="J210" s="203">
        <v>0.182</v>
      </c>
      <c r="K210" s="203">
        <v>0.104</v>
      </c>
      <c r="L210" s="166">
        <v>8.7045810978126301</v>
      </c>
      <c r="M210" s="204">
        <v>9.8921997523730898</v>
      </c>
      <c r="N210" s="166">
        <v>15.235995931779099</v>
      </c>
      <c r="O210" s="205">
        <v>0.64926505603352502</v>
      </c>
      <c r="P210" s="166">
        <v>2.1197582537944002</v>
      </c>
      <c r="Q210" s="166">
        <v>3.0494836488812398</v>
      </c>
      <c r="R210" s="166">
        <v>0.92029807541855702</v>
      </c>
      <c r="S210" s="166">
        <v>4.8213209982788303</v>
      </c>
      <c r="T210" s="166">
        <v>1.2031665623533101</v>
      </c>
      <c r="U210" s="166">
        <v>0.52972930683774</v>
      </c>
      <c r="V210" s="166">
        <v>1.7205053982162399</v>
      </c>
      <c r="W210" s="166">
        <v>0.87173368799874795</v>
      </c>
      <c r="X210" s="166">
        <v>1.4819518079939E-2</v>
      </c>
      <c r="Y210" s="200">
        <v>9.9070192704530307</v>
      </c>
      <c r="Z210" s="206">
        <v>1491</v>
      </c>
      <c r="AA210" s="206">
        <v>1086</v>
      </c>
      <c r="AB210" s="166">
        <v>9516.09</v>
      </c>
      <c r="AD210" s="210">
        <v>9.4669672053081105E-3</v>
      </c>
      <c r="AE210" s="203">
        <v>6.89545699863488E-3</v>
      </c>
      <c r="AF210" s="166">
        <v>6.3823541247484901</v>
      </c>
      <c r="AG210" s="211">
        <v>6.0421537191656903E-2</v>
      </c>
      <c r="AH210" s="212">
        <v>0.50162794373320696</v>
      </c>
      <c r="AI210" s="212">
        <v>0.37837837837837801</v>
      </c>
      <c r="AJ210" s="166">
        <v>0.559001873075336</v>
      </c>
      <c r="AK210" s="213">
        <v>0.32007365313184499</v>
      </c>
      <c r="AL210" s="213">
        <v>4.2077526270675299E-2</v>
      </c>
      <c r="AM210" s="214">
        <v>0</v>
      </c>
    </row>
    <row r="211" spans="1:39" s="167" customFormat="1" ht="16.05" customHeight="1" outlineLevel="1">
      <c r="A211" s="186">
        <v>43552</v>
      </c>
      <c r="B211" s="187" t="s">
        <v>41</v>
      </c>
      <c r="C211" s="188">
        <v>31376</v>
      </c>
      <c r="D211" s="188">
        <v>154761</v>
      </c>
      <c r="E211" s="189">
        <v>4.9324643039265696</v>
      </c>
      <c r="F211" s="167">
        <v>0.66651904561226705</v>
      </c>
      <c r="G211" s="218">
        <v>16.78</v>
      </c>
      <c r="H211" s="190">
        <v>24.27</v>
      </c>
      <c r="I211" s="219">
        <v>0.33</v>
      </c>
      <c r="J211" s="219">
        <v>0.17399999999999999</v>
      </c>
      <c r="K211" s="219">
        <v>9.7000000000000003E-2</v>
      </c>
      <c r="L211" s="167">
        <v>8.5260886140565102</v>
      </c>
      <c r="M211" s="220">
        <v>9.6814249067917597</v>
      </c>
      <c r="N211" s="167">
        <v>14.9829201707983</v>
      </c>
      <c r="O211" s="193">
        <v>0.64616408526696001</v>
      </c>
      <c r="P211" s="167">
        <v>2.1189188108118899</v>
      </c>
      <c r="Q211" s="167">
        <v>3.00763992360076</v>
      </c>
      <c r="R211" s="167">
        <v>0.88763112368876296</v>
      </c>
      <c r="S211" s="167">
        <v>4.6816631833681699</v>
      </c>
      <c r="T211" s="167">
        <v>1.20056799432006</v>
      </c>
      <c r="U211" s="167">
        <v>0.52344476555234398</v>
      </c>
      <c r="V211" s="167">
        <v>1.70084299157008</v>
      </c>
      <c r="W211" s="167">
        <v>0.86221137788622104</v>
      </c>
      <c r="X211" s="167">
        <v>1.51523962755475E-2</v>
      </c>
      <c r="Y211" s="189">
        <v>9.6965773030673095</v>
      </c>
      <c r="Z211" s="207">
        <v>1338</v>
      </c>
      <c r="AA211" s="207">
        <v>976</v>
      </c>
      <c r="AB211" s="167">
        <v>8737.6200000000008</v>
      </c>
      <c r="AD211" s="195">
        <v>8.6455890049818695E-3</v>
      </c>
      <c r="AE211" s="219">
        <v>6.3064984072214603E-3</v>
      </c>
      <c r="AF211" s="167">
        <v>6.5303587443946203</v>
      </c>
      <c r="AG211" s="222">
        <v>5.6458797759125399E-2</v>
      </c>
      <c r="AH211" s="223">
        <v>0.495442376338603</v>
      </c>
      <c r="AI211" s="223">
        <v>0.358108108108108</v>
      </c>
      <c r="AJ211" s="167">
        <v>0.54054962167471099</v>
      </c>
      <c r="AK211" s="224">
        <v>0.320455411893177</v>
      </c>
      <c r="AL211" s="224">
        <v>4.1134394324151398E-2</v>
      </c>
      <c r="AM211" s="82">
        <v>0</v>
      </c>
    </row>
    <row r="212" spans="1:39" ht="16.05" customHeight="1" outlineLevel="1">
      <c r="A212" s="186">
        <v>43553</v>
      </c>
      <c r="B212" s="187" t="s">
        <v>41</v>
      </c>
      <c r="C212" s="188">
        <v>32076</v>
      </c>
      <c r="D212" s="188">
        <v>152983</v>
      </c>
      <c r="E212" s="189">
        <v>4.7693914453173702</v>
      </c>
      <c r="F212" s="167">
        <v>0.68313579668329205</v>
      </c>
      <c r="G212" s="218">
        <v>16.760000000000002</v>
      </c>
      <c r="H212" s="190">
        <v>24.18</v>
      </c>
      <c r="I212" s="219">
        <v>0.32200000000000001</v>
      </c>
      <c r="J212" s="219">
        <v>0.17100000000000001</v>
      </c>
      <c r="K212" s="219">
        <v>9.0999999999999998E-2</v>
      </c>
      <c r="L212" s="167">
        <v>8.3655438839609602</v>
      </c>
      <c r="M212" s="220">
        <v>9.47881790787212</v>
      </c>
      <c r="N212" s="167">
        <v>14.7926918839515</v>
      </c>
      <c r="O212" s="193">
        <v>0.64077707980625298</v>
      </c>
      <c r="P212" s="167">
        <v>2.14049047211001</v>
      </c>
      <c r="Q212" s="167">
        <v>2.9904721100093901</v>
      </c>
      <c r="R212" s="167">
        <v>0.86727261598726901</v>
      </c>
      <c r="S212" s="167">
        <v>4.5575141796221503</v>
      </c>
      <c r="T212" s="167">
        <v>1.1982902844085399</v>
      </c>
      <c r="U212" s="167">
        <v>0.51696454074346099</v>
      </c>
      <c r="V212" s="167">
        <v>1.66783980087322</v>
      </c>
      <c r="W212" s="167">
        <v>0.85384788019749502</v>
      </c>
      <c r="X212" s="167">
        <v>1.6498565200054899E-2</v>
      </c>
      <c r="Y212" s="189">
        <v>9.4953164730721706</v>
      </c>
      <c r="Z212" s="207">
        <v>1486</v>
      </c>
      <c r="AA212" s="207">
        <v>1036</v>
      </c>
      <c r="AB212" s="167">
        <v>10522.14</v>
      </c>
      <c r="AC212" s="167"/>
      <c r="AD212" s="195">
        <v>9.71349757816228E-3</v>
      </c>
      <c r="AE212" s="219">
        <v>6.7719942738735696E-3</v>
      </c>
      <c r="AF212" s="167">
        <v>7.0808479138627201</v>
      </c>
      <c r="AG212" s="222">
        <v>6.8779799062641006E-2</v>
      </c>
      <c r="AH212" s="223">
        <v>0.48319615912208502</v>
      </c>
      <c r="AI212" s="223">
        <v>0.349981294425739</v>
      </c>
      <c r="AJ212" s="167">
        <v>0.51939758012328197</v>
      </c>
      <c r="AK212" s="224">
        <v>0.31536837426380698</v>
      </c>
      <c r="AL212" s="224">
        <v>4.1115679519946699E-2</v>
      </c>
      <c r="AM212" s="82">
        <v>0</v>
      </c>
    </row>
    <row r="213" spans="1:39" ht="16.05" customHeight="1" outlineLevel="1">
      <c r="A213" s="186">
        <v>43554</v>
      </c>
      <c r="B213" s="185" t="s">
        <v>41</v>
      </c>
      <c r="C213" s="188">
        <v>38185</v>
      </c>
      <c r="D213" s="188">
        <v>156786</v>
      </c>
      <c r="E213" s="189">
        <v>4.1059578368469296</v>
      </c>
      <c r="F213" s="167">
        <v>0.84025543951628301</v>
      </c>
      <c r="G213" s="218">
        <v>15.38</v>
      </c>
      <c r="H213" s="190">
        <v>22.17</v>
      </c>
      <c r="I213" s="219">
        <v>0.31</v>
      </c>
      <c r="J213" s="219">
        <v>0.154</v>
      </c>
      <c r="K213" s="219">
        <v>0.09</v>
      </c>
      <c r="L213" s="167">
        <v>9.6036061893281293</v>
      </c>
      <c r="M213" s="220">
        <v>11.6643705432883</v>
      </c>
      <c r="N213" s="167">
        <v>18.313922630909602</v>
      </c>
      <c r="O213" s="193">
        <v>0.636912734555381</v>
      </c>
      <c r="P213" s="167">
        <v>2.4833615397710802</v>
      </c>
      <c r="Q213" s="167">
        <v>3.4759711192781801</v>
      </c>
      <c r="R213" s="167">
        <v>0.98418770466357597</v>
      </c>
      <c r="S213" s="167">
        <v>6.4646351355411102</v>
      </c>
      <c r="T213" s="167">
        <v>1.4057821528354999</v>
      </c>
      <c r="U213" s="167">
        <v>0.45365966012077003</v>
      </c>
      <c r="V213" s="167">
        <v>2.10458746833035</v>
      </c>
      <c r="W213" s="167">
        <v>0.94173785036902002</v>
      </c>
      <c r="X213" s="167">
        <v>1.4267855548327E-2</v>
      </c>
      <c r="Y213" s="189">
        <v>11.6786383988366</v>
      </c>
      <c r="Z213" s="207">
        <v>2014</v>
      </c>
      <c r="AA213" s="207">
        <v>1323</v>
      </c>
      <c r="AB213" s="167">
        <v>16848.86</v>
      </c>
      <c r="AC213" s="167"/>
      <c r="AD213" s="195">
        <v>1.28455346778411E-2</v>
      </c>
      <c r="AE213" s="219">
        <v>8.4382534154835293E-3</v>
      </c>
      <c r="AF213" s="167">
        <v>8.3658689175769592</v>
      </c>
      <c r="AG213" s="222">
        <v>0.107464059291008</v>
      </c>
      <c r="AH213" s="223">
        <v>0.46759198638208699</v>
      </c>
      <c r="AI213" s="223">
        <v>0.318213958360613</v>
      </c>
      <c r="AJ213" s="167">
        <v>0.403205643361014</v>
      </c>
      <c r="AK213" s="224">
        <v>0.25511206357710497</v>
      </c>
      <c r="AL213" s="224">
        <v>3.3446863878152398E-2</v>
      </c>
      <c r="AM213" s="82">
        <v>0.33024632301353402</v>
      </c>
    </row>
    <row r="214" spans="1:39" ht="16.05" customHeight="1" outlineLevel="1">
      <c r="A214" s="186">
        <v>43555</v>
      </c>
      <c r="B214" s="185" t="s">
        <v>41</v>
      </c>
      <c r="C214" s="188">
        <v>39967</v>
      </c>
      <c r="D214" s="188">
        <v>161677</v>
      </c>
      <c r="E214" s="189">
        <v>4.0452623414316804</v>
      </c>
      <c r="F214" s="167">
        <v>0.79115888729998696</v>
      </c>
      <c r="G214" s="218">
        <v>14.82</v>
      </c>
      <c r="H214" s="190">
        <v>21.66</v>
      </c>
      <c r="I214" s="219">
        <v>0.31</v>
      </c>
      <c r="J214" s="219">
        <v>0.156</v>
      </c>
      <c r="K214" s="219">
        <v>9.2999999999999999E-2</v>
      </c>
      <c r="L214" s="167">
        <v>9.2180149310044097</v>
      </c>
      <c r="M214" s="220">
        <v>11.659586706829</v>
      </c>
      <c r="N214" s="167">
        <v>18.156038410047501</v>
      </c>
      <c r="O214" s="193">
        <v>0.64218781892291399</v>
      </c>
      <c r="P214" s="167">
        <v>2.4470031879954202</v>
      </c>
      <c r="Q214" s="167">
        <v>3.6286900324578402</v>
      </c>
      <c r="R214" s="167">
        <v>1.0199273791980901</v>
      </c>
      <c r="S214" s="167">
        <v>6.16593949550695</v>
      </c>
      <c r="T214" s="167">
        <v>1.4058867154015799</v>
      </c>
      <c r="U214" s="167">
        <v>0.46487907769655301</v>
      </c>
      <c r="V214" s="167">
        <v>2.0479451395109201</v>
      </c>
      <c r="W214" s="167">
        <v>0.97576738228013904</v>
      </c>
      <c r="X214" s="167">
        <v>7.3603542866332297E-3</v>
      </c>
      <c r="Y214" s="189">
        <v>11.6669470611157</v>
      </c>
      <c r="Z214" s="207">
        <v>1974</v>
      </c>
      <c r="AA214" s="207">
        <v>1281</v>
      </c>
      <c r="AB214" s="167">
        <v>15463.26</v>
      </c>
      <c r="AC214" s="167"/>
      <c r="AD214" s="195">
        <v>1.2209528875473901E-2</v>
      </c>
      <c r="AE214" s="219">
        <v>7.9232049085522401E-3</v>
      </c>
      <c r="AF214" s="167">
        <v>7.8334650455927104</v>
      </c>
      <c r="AG214" s="222">
        <v>9.56429176691799E-2</v>
      </c>
      <c r="AH214" s="223">
        <v>0.48442465033652798</v>
      </c>
      <c r="AI214" s="223">
        <v>0.33830410088322899</v>
      </c>
      <c r="AJ214" s="167">
        <v>0.41655275642175399</v>
      </c>
      <c r="AK214" s="224">
        <v>0.25523110893942902</v>
      </c>
      <c r="AL214" s="224">
        <v>3.29422243114358E-2</v>
      </c>
      <c r="AM214" s="82">
        <v>0.32045374419367001</v>
      </c>
    </row>
    <row r="215" spans="1:39" ht="16.05" customHeight="1">
      <c r="A215" s="186">
        <v>43556</v>
      </c>
      <c r="B215" s="185" t="s">
        <v>41</v>
      </c>
      <c r="C215" s="188">
        <v>42180</v>
      </c>
      <c r="D215" s="188">
        <v>167458</v>
      </c>
      <c r="E215" s="189">
        <v>3.9700806069227101</v>
      </c>
      <c r="F215" s="167">
        <v>0.75853570577697105</v>
      </c>
      <c r="G215" s="218">
        <v>14.57</v>
      </c>
      <c r="H215" s="190">
        <v>20.95</v>
      </c>
      <c r="I215" s="219">
        <v>0.32</v>
      </c>
      <c r="J215" s="219">
        <v>0.17100000000000001</v>
      </c>
      <c r="K215" s="219">
        <v>9.8000000000000004E-2</v>
      </c>
      <c r="L215" s="167">
        <v>9.2845609048239002</v>
      </c>
      <c r="M215" s="220">
        <v>11.534701238519499</v>
      </c>
      <c r="N215" s="167">
        <v>17.847633655498701</v>
      </c>
      <c r="O215" s="193">
        <v>0.64628742729520205</v>
      </c>
      <c r="P215" s="167">
        <v>2.4296934193262198</v>
      </c>
      <c r="Q215" s="167">
        <v>3.6741171252748899</v>
      </c>
      <c r="R215" s="167">
        <v>1.0025502189861999</v>
      </c>
      <c r="S215" s="167">
        <v>5.8644965165486997</v>
      </c>
      <c r="T215" s="167">
        <v>1.4071942047197501</v>
      </c>
      <c r="U215" s="167">
        <v>0.47379557592445398</v>
      </c>
      <c r="V215" s="167">
        <v>2.0217877404690201</v>
      </c>
      <c r="W215" s="167">
        <v>0.97399885424944099</v>
      </c>
      <c r="X215" s="167">
        <v>4.5145648461106698E-3</v>
      </c>
      <c r="Y215" s="189">
        <v>11.5392158033656</v>
      </c>
      <c r="Z215" s="207">
        <v>1916</v>
      </c>
      <c r="AA215" s="207">
        <v>1282</v>
      </c>
      <c r="AB215" s="167">
        <v>14783.84</v>
      </c>
      <c r="AC215" s="167"/>
      <c r="AD215" s="195">
        <v>1.14416749274445E-2</v>
      </c>
      <c r="AE215" s="219">
        <v>7.6556509691982503E-3</v>
      </c>
      <c r="AF215" s="167">
        <v>7.7159916492693101</v>
      </c>
      <c r="AG215" s="222">
        <v>8.8283868193815798E-2</v>
      </c>
      <c r="AH215" s="223">
        <v>0.48200568990042703</v>
      </c>
      <c r="AI215" s="223">
        <v>0.34044570886676201</v>
      </c>
      <c r="AJ215" s="167">
        <v>0.43427008563341302</v>
      </c>
      <c r="AK215" s="224">
        <v>0.25854244049254099</v>
      </c>
      <c r="AL215" s="224">
        <v>3.3721888473527702E-2</v>
      </c>
      <c r="AM215" s="82">
        <v>0.31063908562146902</v>
      </c>
    </row>
    <row r="216" spans="1:39" ht="16.05" customHeight="1" outlineLevel="1">
      <c r="A216" s="186">
        <v>43557</v>
      </c>
      <c r="B216" s="185" t="s">
        <v>41</v>
      </c>
      <c r="C216" s="188">
        <v>37801</v>
      </c>
      <c r="D216" s="188">
        <v>162318</v>
      </c>
      <c r="E216" s="189">
        <v>4.2940133858892597</v>
      </c>
      <c r="F216" s="167">
        <v>0.77791784293793698</v>
      </c>
      <c r="G216" s="218">
        <v>15.74</v>
      </c>
      <c r="H216" s="190">
        <v>22.03</v>
      </c>
      <c r="I216" s="219">
        <v>0.32800000000000001</v>
      </c>
      <c r="J216" s="219">
        <v>0.17199999999999999</v>
      </c>
      <c r="K216" s="219">
        <v>9.7000000000000003E-2</v>
      </c>
      <c r="L216" s="167">
        <v>9.3304254611318491</v>
      </c>
      <c r="M216" s="220">
        <v>11.1479626412351</v>
      </c>
      <c r="N216" s="167">
        <v>17.065583356125</v>
      </c>
      <c r="O216" s="193">
        <v>0.65324240071957496</v>
      </c>
      <c r="P216" s="167">
        <v>2.3228806126394601</v>
      </c>
      <c r="Q216" s="167">
        <v>3.4803693189856002</v>
      </c>
      <c r="R216" s="167">
        <v>0.98882423396489805</v>
      </c>
      <c r="S216" s="167">
        <v>5.5113596710458097</v>
      </c>
      <c r="T216" s="167">
        <v>1.34921203776183</v>
      </c>
      <c r="U216" s="167">
        <v>0.510756085369649</v>
      </c>
      <c r="V216" s="167">
        <v>1.9471579602576601</v>
      </c>
      <c r="W216" s="167">
        <v>0.955023436100082</v>
      </c>
      <c r="X216" s="167">
        <v>5.7664584334454604E-3</v>
      </c>
      <c r="Y216" s="189">
        <v>11.153729099668601</v>
      </c>
      <c r="Z216" s="207">
        <v>1787</v>
      </c>
      <c r="AA216" s="207">
        <v>1257</v>
      </c>
      <c r="AB216" s="167">
        <v>13974.13</v>
      </c>
      <c r="AC216" s="167"/>
      <c r="AD216" s="195">
        <v>1.10092534407767E-2</v>
      </c>
      <c r="AE216" s="219">
        <v>7.7440579603001497E-3</v>
      </c>
      <c r="AF216" s="167">
        <v>7.8198824846110799</v>
      </c>
      <c r="AG216" s="222">
        <v>8.6091068150174394E-2</v>
      </c>
      <c r="AH216" s="223">
        <v>0.50419301076691103</v>
      </c>
      <c r="AI216" s="223">
        <v>0.37419644982937</v>
      </c>
      <c r="AJ216" s="167">
        <v>0.48782020478320298</v>
      </c>
      <c r="AK216" s="224">
        <v>0.281847977427026</v>
      </c>
      <c r="AL216" s="224">
        <v>3.93918111361648E-2</v>
      </c>
      <c r="AM216" s="82">
        <v>0.26016215083971</v>
      </c>
    </row>
    <row r="217" spans="1:39" s="166" customFormat="1" ht="16.05" customHeight="1" outlineLevel="1">
      <c r="A217" s="196">
        <v>43558</v>
      </c>
      <c r="B217" s="197" t="s">
        <v>41</v>
      </c>
      <c r="C217" s="198">
        <v>38339</v>
      </c>
      <c r="D217" s="198">
        <v>161258</v>
      </c>
      <c r="E217" s="200">
        <v>4.2061086621977601</v>
      </c>
      <c r="F217" s="166">
        <v>0.64459190058167604</v>
      </c>
      <c r="G217" s="217">
        <v>15.77</v>
      </c>
      <c r="H217" s="217">
        <v>22.32</v>
      </c>
      <c r="I217" s="203">
        <v>0.30199999999999999</v>
      </c>
      <c r="J217" s="203">
        <v>0.15</v>
      </c>
      <c r="K217" s="203">
        <v>8.2000000000000003E-2</v>
      </c>
      <c r="L217" s="166">
        <v>8.6281548822384</v>
      </c>
      <c r="M217" s="204">
        <v>9.7703307742871708</v>
      </c>
      <c r="N217" s="166">
        <v>15.257289497893799</v>
      </c>
      <c r="O217" s="205">
        <v>0.64037133041461503</v>
      </c>
      <c r="P217" s="166">
        <v>2.1476976710405302</v>
      </c>
      <c r="Q217" s="166">
        <v>3.04786713794606</v>
      </c>
      <c r="R217" s="166">
        <v>0.88856824674381496</v>
      </c>
      <c r="S217" s="166">
        <v>4.8412434028954596</v>
      </c>
      <c r="T217" s="166">
        <v>1.2173049920108501</v>
      </c>
      <c r="U217" s="166">
        <v>0.53218418631675801</v>
      </c>
      <c r="V217" s="166">
        <v>1.71146080472571</v>
      </c>
      <c r="W217" s="166">
        <v>0.87096305621459302</v>
      </c>
      <c r="X217" s="166">
        <v>1.12056456113805E-2</v>
      </c>
      <c r="Y217" s="200">
        <v>9.7815364198985506</v>
      </c>
      <c r="Z217" s="206">
        <v>1466</v>
      </c>
      <c r="AA217" s="206">
        <v>1051</v>
      </c>
      <c r="AB217" s="166">
        <v>9503.34</v>
      </c>
      <c r="AD217" s="210">
        <v>9.0910218407768903E-3</v>
      </c>
      <c r="AE217" s="203">
        <v>6.5175061082240896E-3</v>
      </c>
      <c r="AF217" s="166">
        <v>6.4824965893588002</v>
      </c>
      <c r="AG217" s="211">
        <v>5.89325180766226E-2</v>
      </c>
      <c r="AH217" s="212">
        <v>0.45055948251128097</v>
      </c>
      <c r="AI217" s="212">
        <v>0.33096846553118198</v>
      </c>
      <c r="AJ217" s="166">
        <v>0.53282317776482402</v>
      </c>
      <c r="AK217" s="213">
        <v>0.30220516191444802</v>
      </c>
      <c r="AL217" s="213">
        <v>4.2348286596633998E-2</v>
      </c>
      <c r="AM217" s="214">
        <v>0</v>
      </c>
    </row>
    <row r="218" spans="1:39" s="167" customFormat="1" ht="16.05" customHeight="1" outlineLevel="1">
      <c r="A218" s="186">
        <v>43559</v>
      </c>
      <c r="B218" s="187" t="s">
        <v>41</v>
      </c>
      <c r="C218" s="188">
        <v>34751</v>
      </c>
      <c r="D218" s="188">
        <v>155864</v>
      </c>
      <c r="E218" s="189">
        <v>4.4851658945066299</v>
      </c>
      <c r="F218" s="167">
        <v>0.63740006864959198</v>
      </c>
      <c r="G218" s="190">
        <v>16</v>
      </c>
      <c r="H218" s="190">
        <v>22.44</v>
      </c>
      <c r="I218" s="219">
        <v>0.29899999999999999</v>
      </c>
      <c r="J218" s="219">
        <v>0.14599999999999999</v>
      </c>
      <c r="K218" s="219">
        <v>8.1000000000000003E-2</v>
      </c>
      <c r="L218" s="167">
        <v>8.4628073192013495</v>
      </c>
      <c r="M218" s="220">
        <v>9.6285543807421892</v>
      </c>
      <c r="N218" s="167">
        <v>15.012854627666</v>
      </c>
      <c r="O218" s="193">
        <v>0.64135400092388195</v>
      </c>
      <c r="P218" s="167">
        <v>2.1501040374534801</v>
      </c>
      <c r="Q218" s="167">
        <v>3.0276399503821398</v>
      </c>
      <c r="R218" s="167">
        <v>0.85725861310071605</v>
      </c>
      <c r="S218" s="167">
        <v>4.6900584210315701</v>
      </c>
      <c r="T218" s="167">
        <v>1.21693809771518</v>
      </c>
      <c r="U218" s="167">
        <v>0.51987715577607896</v>
      </c>
      <c r="V218" s="167">
        <v>1.6828458244968201</v>
      </c>
      <c r="W218" s="167">
        <v>0.86813252770997595</v>
      </c>
      <c r="X218" s="167">
        <v>1.39416414309911E-2</v>
      </c>
      <c r="Y218" s="189">
        <v>9.6424960221731801</v>
      </c>
      <c r="Z218" s="207">
        <v>1407</v>
      </c>
      <c r="AA218" s="207">
        <v>1006</v>
      </c>
      <c r="AB218" s="167">
        <v>8704.93</v>
      </c>
      <c r="AD218" s="195">
        <v>9.0271005491967399E-3</v>
      </c>
      <c r="AE218" s="219">
        <v>6.4543448134270903E-3</v>
      </c>
      <c r="AF218" s="167">
        <v>6.1868727789623303</v>
      </c>
      <c r="AG218" s="222">
        <v>5.5849522660781199E-2</v>
      </c>
      <c r="AH218" s="223">
        <v>0.45918103076170502</v>
      </c>
      <c r="AI218" s="223">
        <v>0.34209087508273101</v>
      </c>
      <c r="AJ218" s="167">
        <v>0.516174357131859</v>
      </c>
      <c r="AK218" s="224">
        <v>0.308717856592927</v>
      </c>
      <c r="AL218" s="224">
        <v>4.1754349946106897E-2</v>
      </c>
      <c r="AM218" s="82">
        <v>0</v>
      </c>
    </row>
    <row r="219" spans="1:39" ht="16.05" customHeight="1" outlineLevel="1">
      <c r="A219" s="186">
        <v>43560</v>
      </c>
      <c r="B219" s="187" t="s">
        <v>41</v>
      </c>
      <c r="C219" s="188">
        <v>33928</v>
      </c>
      <c r="D219" s="188">
        <v>152963</v>
      </c>
      <c r="E219" s="189">
        <v>4.5084590898372996</v>
      </c>
      <c r="F219" s="167">
        <v>0.64425412646849201</v>
      </c>
      <c r="G219" s="190">
        <v>15.69</v>
      </c>
      <c r="H219" s="190">
        <v>21.78</v>
      </c>
      <c r="I219" s="219">
        <v>0.32</v>
      </c>
      <c r="J219" s="219">
        <v>0.17</v>
      </c>
      <c r="K219" s="219">
        <v>9.1999999999999998E-2</v>
      </c>
      <c r="L219" s="167">
        <v>8.4232330694350903</v>
      </c>
      <c r="M219" s="220">
        <v>9.5605538594300601</v>
      </c>
      <c r="N219" s="167">
        <v>14.9712943151688</v>
      </c>
      <c r="O219" s="193">
        <v>0.63859233932388904</v>
      </c>
      <c r="P219" s="167">
        <v>2.2003562617090302</v>
      </c>
      <c r="Q219" s="167">
        <v>3.09840194101207</v>
      </c>
      <c r="R219" s="167">
        <v>0.87729445849244003</v>
      </c>
      <c r="S219" s="167">
        <v>4.7996744505072604</v>
      </c>
      <c r="T219" s="167">
        <v>1.24538037079882</v>
      </c>
      <c r="U219" s="167">
        <v>0.53202772289390998</v>
      </c>
      <c r="V219" s="167">
        <v>1.7221772913872699</v>
      </c>
      <c r="W219" s="167">
        <v>0.88842251819698803</v>
      </c>
      <c r="X219" s="167">
        <v>1.2525904957407999E-2</v>
      </c>
      <c r="Y219" s="189">
        <v>9.5730797643874705</v>
      </c>
      <c r="Z219" s="207">
        <v>1484</v>
      </c>
      <c r="AA219" s="207">
        <v>1054</v>
      </c>
      <c r="AB219" s="167">
        <v>9882.16</v>
      </c>
      <c r="AC219" s="167"/>
      <c r="AD219" s="195">
        <v>9.7016925661761299E-3</v>
      </c>
      <c r="AE219" s="219">
        <v>6.8905552323110797E-3</v>
      </c>
      <c r="AF219" s="167">
        <v>6.6591374663072802</v>
      </c>
      <c r="AG219" s="222">
        <v>6.46049044540183E-2</v>
      </c>
      <c r="AH219" s="223">
        <v>0.47600801697712802</v>
      </c>
      <c r="AI219" s="223">
        <v>0.34408158453194998</v>
      </c>
      <c r="AJ219" s="167">
        <v>0.51583062570686999</v>
      </c>
      <c r="AK219" s="224">
        <v>0.31032341154396798</v>
      </c>
      <c r="AL219" s="224">
        <v>4.1957859090106797E-2</v>
      </c>
      <c r="AM219" s="82">
        <v>0</v>
      </c>
    </row>
    <row r="220" spans="1:39" ht="16.05" customHeight="1" outlineLevel="1">
      <c r="A220" s="186">
        <v>43561</v>
      </c>
      <c r="B220" s="185" t="s">
        <v>41</v>
      </c>
      <c r="C220" s="188">
        <v>35785</v>
      </c>
      <c r="D220" s="188">
        <v>152566</v>
      </c>
      <c r="E220" s="189">
        <v>4.2634064552186697</v>
      </c>
      <c r="F220" s="167">
        <v>0.79269432245716598</v>
      </c>
      <c r="G220" s="190">
        <v>14</v>
      </c>
      <c r="H220" s="190">
        <v>19.93</v>
      </c>
      <c r="I220" s="219">
        <v>0.314</v>
      </c>
      <c r="J220" s="219">
        <v>0.16200000000000001</v>
      </c>
      <c r="K220" s="219">
        <v>9.4E-2</v>
      </c>
      <c r="L220" s="167">
        <v>9.7315456917006404</v>
      </c>
      <c r="M220" s="220">
        <v>12.079467246962</v>
      </c>
      <c r="N220" s="167">
        <v>18.668679153539902</v>
      </c>
      <c r="O220" s="193">
        <v>0.64704455776516401</v>
      </c>
      <c r="P220" s="167">
        <v>2.5008762421872599</v>
      </c>
      <c r="Q220" s="167">
        <v>3.5615040975718499</v>
      </c>
      <c r="R220" s="167">
        <v>1.0133310372073701</v>
      </c>
      <c r="S220" s="167">
        <v>6.5864643374494802</v>
      </c>
      <c r="T220" s="167">
        <v>1.4401572170953301</v>
      </c>
      <c r="U220" s="167">
        <v>0.46006260319904402</v>
      </c>
      <c r="V220" s="167">
        <v>2.1359036437493</v>
      </c>
      <c r="W220" s="167">
        <v>0.97037997508027996</v>
      </c>
      <c r="X220" s="167">
        <v>1.3358153192716601E-2</v>
      </c>
      <c r="Y220" s="189">
        <v>12.0928254001547</v>
      </c>
      <c r="Z220" s="207">
        <v>1912</v>
      </c>
      <c r="AA220" s="207">
        <v>1235</v>
      </c>
      <c r="AB220" s="167">
        <v>15495.88</v>
      </c>
      <c r="AC220" s="167"/>
      <c r="AD220" s="195">
        <v>1.25322811111257E-2</v>
      </c>
      <c r="AE220" s="219">
        <v>8.0948573076570097E-3</v>
      </c>
      <c r="AF220" s="167">
        <v>8.1045397489539699</v>
      </c>
      <c r="AG220" s="222">
        <v>0.101568370410183</v>
      </c>
      <c r="AH220" s="223">
        <v>0.48475618275813898</v>
      </c>
      <c r="AI220" s="223">
        <v>0.344865166969401</v>
      </c>
      <c r="AJ220" s="167">
        <v>0.408105344572185</v>
      </c>
      <c r="AK220" s="224">
        <v>0.26033978737071201</v>
      </c>
      <c r="AL220" s="224">
        <v>3.5079899846623797E-2</v>
      </c>
      <c r="AM220" s="82">
        <v>0.34229120511778499</v>
      </c>
    </row>
    <row r="221" spans="1:39" ht="16.05" customHeight="1" outlineLevel="1">
      <c r="A221" s="186">
        <v>43562</v>
      </c>
      <c r="B221" s="185" t="s">
        <v>41</v>
      </c>
      <c r="C221" s="188">
        <v>31927</v>
      </c>
      <c r="D221" s="188">
        <v>149649</v>
      </c>
      <c r="E221" s="189">
        <v>4.6872239797036999</v>
      </c>
      <c r="F221" s="167">
        <v>0.74348605320449901</v>
      </c>
      <c r="G221" s="190">
        <v>13.08</v>
      </c>
      <c r="H221" s="190">
        <v>19.03</v>
      </c>
      <c r="I221" s="219">
        <v>0.318</v>
      </c>
      <c r="J221" s="219">
        <v>0.16</v>
      </c>
      <c r="K221" s="219">
        <v>9.8000000000000004E-2</v>
      </c>
      <c r="L221" s="167">
        <v>9.4179112456481509</v>
      </c>
      <c r="M221" s="220">
        <v>12.132282875261399</v>
      </c>
      <c r="N221" s="167">
        <v>18.587630660237298</v>
      </c>
      <c r="O221" s="193">
        <v>0.65270733516428403</v>
      </c>
      <c r="P221" s="167">
        <v>2.4532592114827398</v>
      </c>
      <c r="Q221" s="167">
        <v>3.72844170070743</v>
      </c>
      <c r="R221" s="167">
        <v>1.0736099593558399</v>
      </c>
      <c r="S221" s="167">
        <v>6.3471339209844704</v>
      </c>
      <c r="T221" s="167">
        <v>1.4343909006214399</v>
      </c>
      <c r="U221" s="167">
        <v>0.46413178127911398</v>
      </c>
      <c r="V221" s="167">
        <v>2.0897345332063799</v>
      </c>
      <c r="W221" s="167">
        <v>0.99692865259989605</v>
      </c>
      <c r="X221" s="167">
        <v>1.4286764361940299E-2</v>
      </c>
      <c r="Y221" s="189">
        <v>12.146569639623401</v>
      </c>
      <c r="Z221" s="207">
        <v>1814</v>
      </c>
      <c r="AA221" s="207">
        <v>1216</v>
      </c>
      <c r="AB221" s="167">
        <v>14239.86</v>
      </c>
      <c r="AC221" s="167"/>
      <c r="AD221" s="195">
        <v>1.21216981069035E-2</v>
      </c>
      <c r="AE221" s="219">
        <v>8.1256807596442292E-3</v>
      </c>
      <c r="AF221" s="167">
        <v>7.8499779492833497</v>
      </c>
      <c r="AG221" s="222">
        <v>9.51550628470621E-2</v>
      </c>
      <c r="AH221" s="223">
        <v>0.50408744949415896</v>
      </c>
      <c r="AI221" s="223">
        <v>0.37394681617439801</v>
      </c>
      <c r="AJ221" s="167">
        <v>0.43471723833770998</v>
      </c>
      <c r="AK221" s="224">
        <v>0.26699142660492198</v>
      </c>
      <c r="AL221" s="224">
        <v>3.6137896009996701E-2</v>
      </c>
      <c r="AM221" s="82">
        <v>0.34137214415064598</v>
      </c>
    </row>
    <row r="222" spans="1:39" ht="16.05" customHeight="1" outlineLevel="1">
      <c r="A222" s="186">
        <v>43563</v>
      </c>
      <c r="B222" s="185" t="s">
        <v>41</v>
      </c>
      <c r="C222" s="188">
        <v>31884</v>
      </c>
      <c r="D222" s="188">
        <v>153003</v>
      </c>
      <c r="E222" s="189">
        <v>4.7987391795257803</v>
      </c>
      <c r="F222" s="167">
        <v>0.74394322993666795</v>
      </c>
      <c r="G222" s="190">
        <v>13.9</v>
      </c>
      <c r="H222" s="190">
        <v>19.88</v>
      </c>
      <c r="I222" s="219">
        <v>0.32200000000000001</v>
      </c>
      <c r="J222" s="219">
        <v>0.16700000000000001</v>
      </c>
      <c r="K222" s="219">
        <v>9.8000000000000004E-2</v>
      </c>
      <c r="L222" s="167">
        <v>9.3886198309837106</v>
      </c>
      <c r="M222" s="220">
        <v>11.818415325189701</v>
      </c>
      <c r="N222" s="167">
        <v>18.150776921223802</v>
      </c>
      <c r="O222" s="193">
        <v>0.65112448775514198</v>
      </c>
      <c r="P222" s="167">
        <v>2.4146791937685701</v>
      </c>
      <c r="Q222" s="167">
        <v>3.6956255520757999</v>
      </c>
      <c r="R222" s="167">
        <v>1.0332148879787999</v>
      </c>
      <c r="S222" s="167">
        <v>6.10366979844214</v>
      </c>
      <c r="T222" s="167">
        <v>1.4243355014855901</v>
      </c>
      <c r="U222" s="167">
        <v>0.45650646430579001</v>
      </c>
      <c r="V222" s="167">
        <v>2.0447783666586399</v>
      </c>
      <c r="W222" s="167">
        <v>0.97796715650847199</v>
      </c>
      <c r="X222" s="167">
        <v>1.5784004235211101E-2</v>
      </c>
      <c r="Y222" s="189">
        <v>11.8341993294249</v>
      </c>
      <c r="Z222" s="207">
        <v>1761</v>
      </c>
      <c r="AA222" s="207">
        <v>1181</v>
      </c>
      <c r="AB222" s="167">
        <v>13368.39</v>
      </c>
      <c r="AC222" s="167"/>
      <c r="AD222" s="195">
        <v>1.1509578243563899E-2</v>
      </c>
      <c r="AE222" s="219">
        <v>7.7188028992895598E-3</v>
      </c>
      <c r="AF222" s="167">
        <v>7.5913628620102198</v>
      </c>
      <c r="AG222" s="222">
        <v>8.73733848355914E-2</v>
      </c>
      <c r="AH222" s="223">
        <v>0.490998619997491</v>
      </c>
      <c r="AI222" s="223">
        <v>0.36178020323673299</v>
      </c>
      <c r="AJ222" s="167">
        <v>0.44205669169885597</v>
      </c>
      <c r="AK222" s="224">
        <v>0.27415802304530001</v>
      </c>
      <c r="AL222" s="224">
        <v>3.7940432540538402E-2</v>
      </c>
      <c r="AM222" s="82">
        <v>0.32912426553727703</v>
      </c>
    </row>
    <row r="223" spans="1:39" ht="16.05" customHeight="1" outlineLevel="1">
      <c r="A223" s="186">
        <v>43564</v>
      </c>
      <c r="B223" s="185" t="s">
        <v>41</v>
      </c>
      <c r="C223" s="188">
        <v>35894</v>
      </c>
      <c r="D223" s="188">
        <v>153119</v>
      </c>
      <c r="E223" s="189">
        <v>4.2658661614754596</v>
      </c>
      <c r="F223" s="167">
        <v>0.72347746843958005</v>
      </c>
      <c r="G223" s="190">
        <v>14.81</v>
      </c>
      <c r="H223" s="190">
        <v>21.03</v>
      </c>
      <c r="I223" s="219">
        <v>0.308</v>
      </c>
      <c r="J223" s="219">
        <v>0.16700000000000001</v>
      </c>
      <c r="K223" s="219">
        <v>9.1999999999999998E-2</v>
      </c>
      <c r="L223" s="167">
        <v>9.3485132478660393</v>
      </c>
      <c r="M223" s="220">
        <v>11.0249544471947</v>
      </c>
      <c r="N223" s="167">
        <v>17.074238899565099</v>
      </c>
      <c r="O223" s="193">
        <v>0.64570693382271305</v>
      </c>
      <c r="P223" s="167">
        <v>2.31522200869829</v>
      </c>
      <c r="Q223" s="167">
        <v>3.47670678668959</v>
      </c>
      <c r="R223" s="167">
        <v>0.993486396277941</v>
      </c>
      <c r="S223" s="167">
        <v>5.5518155153231499</v>
      </c>
      <c r="T223" s="167">
        <v>1.35080408617376</v>
      </c>
      <c r="U223" s="167">
        <v>0.50080914331950999</v>
      </c>
      <c r="V223" s="167">
        <v>1.94298573884899</v>
      </c>
      <c r="W223" s="167">
        <v>0.94240922423384199</v>
      </c>
      <c r="X223" s="167">
        <v>1.6647182910024198E-2</v>
      </c>
      <c r="Y223" s="189">
        <v>11.041601630104701</v>
      </c>
      <c r="Z223" s="207">
        <v>1610</v>
      </c>
      <c r="AA223" s="207">
        <v>1115</v>
      </c>
      <c r="AB223" s="167">
        <v>12239.9</v>
      </c>
      <c r="AC223" s="167"/>
      <c r="AD223" s="195">
        <v>1.05146977187678E-2</v>
      </c>
      <c r="AE223" s="219">
        <v>7.2819179853577899E-3</v>
      </c>
      <c r="AF223" s="167">
        <v>7.6024223602484504</v>
      </c>
      <c r="AG223" s="222">
        <v>7.9937173048413301E-2</v>
      </c>
      <c r="AH223" s="223">
        <v>0.47241878865548598</v>
      </c>
      <c r="AI223" s="223">
        <v>0.33924889953752702</v>
      </c>
      <c r="AJ223" s="167">
        <v>0.481631933332898</v>
      </c>
      <c r="AK223" s="224">
        <v>0.28375315930746697</v>
      </c>
      <c r="AL223" s="224">
        <v>4.2829433316570797E-2</v>
      </c>
      <c r="AM223" s="82">
        <v>0.26588470405371001</v>
      </c>
    </row>
    <row r="224" spans="1:39" s="166" customFormat="1" ht="16.05" customHeight="1" outlineLevel="1">
      <c r="A224" s="196">
        <v>43565</v>
      </c>
      <c r="B224" s="197" t="s">
        <v>41</v>
      </c>
      <c r="C224" s="198">
        <v>26104</v>
      </c>
      <c r="D224" s="198">
        <v>140824</v>
      </c>
      <c r="E224" s="200">
        <v>5.3947287771988996</v>
      </c>
      <c r="F224" s="166">
        <v>0.65722318113389799</v>
      </c>
      <c r="G224" s="217">
        <v>15.61</v>
      </c>
      <c r="H224" s="217">
        <v>21.16</v>
      </c>
      <c r="I224" s="203">
        <v>0.32400000000000001</v>
      </c>
      <c r="J224" s="203">
        <v>0.16800000000000001</v>
      </c>
      <c r="K224" s="203">
        <v>9.5000000000000001E-2</v>
      </c>
      <c r="L224" s="166">
        <v>8.6814179401238398</v>
      </c>
      <c r="M224" s="204">
        <v>10.0786797704937</v>
      </c>
      <c r="N224" s="166">
        <v>15.542268944371401</v>
      </c>
      <c r="O224" s="205">
        <v>0.64846901096403997</v>
      </c>
      <c r="P224" s="166">
        <v>2.1522777047744199</v>
      </c>
      <c r="Q224" s="166">
        <v>3.0967586508979399</v>
      </c>
      <c r="R224" s="166">
        <v>0.93185501533070503</v>
      </c>
      <c r="S224" s="166">
        <v>4.9488939991239604</v>
      </c>
      <c r="T224" s="166">
        <v>1.2503504161191401</v>
      </c>
      <c r="U224" s="166">
        <v>0.52323696890056903</v>
      </c>
      <c r="V224" s="166">
        <v>1.75454445904512</v>
      </c>
      <c r="W224" s="166">
        <v>0.88435173017958801</v>
      </c>
      <c r="X224" s="166">
        <v>1.7525421803101699E-2</v>
      </c>
      <c r="Y224" s="200">
        <v>10.0962051922968</v>
      </c>
      <c r="Z224" s="206">
        <v>1369</v>
      </c>
      <c r="AA224" s="206">
        <v>952</v>
      </c>
      <c r="AB224" s="166">
        <v>8415.31</v>
      </c>
      <c r="AD224" s="210">
        <v>9.7213543146054595E-3</v>
      </c>
      <c r="AE224" s="203">
        <v>6.7602113276146103E-3</v>
      </c>
      <c r="AF224" s="166">
        <v>6.1470489408327298</v>
      </c>
      <c r="AG224" s="211">
        <v>5.9757640743055201E-2</v>
      </c>
      <c r="AH224" s="212">
        <v>0.49873582592706101</v>
      </c>
      <c r="AI224" s="212">
        <v>0.38745019920318702</v>
      </c>
      <c r="AJ224" s="166">
        <v>0.55640373799920495</v>
      </c>
      <c r="AK224" s="213">
        <v>0.32388655342839301</v>
      </c>
      <c r="AL224" s="213">
        <v>4.8926319377378902E-2</v>
      </c>
      <c r="AM224" s="214">
        <v>0</v>
      </c>
    </row>
    <row r="225" spans="1:40" s="167" customFormat="1" ht="16.05" customHeight="1" outlineLevel="1">
      <c r="A225" s="186">
        <v>43566</v>
      </c>
      <c r="B225" s="187" t="s">
        <v>41</v>
      </c>
      <c r="C225" s="188">
        <v>21825</v>
      </c>
      <c r="D225" s="188">
        <v>133082</v>
      </c>
      <c r="E225" s="189">
        <v>6.0976861397480002</v>
      </c>
      <c r="F225" s="167">
        <v>0.66790327682932304</v>
      </c>
      <c r="G225" s="190">
        <v>15.93</v>
      </c>
      <c r="H225" s="190">
        <v>21.45</v>
      </c>
      <c r="I225" s="219">
        <v>0.32</v>
      </c>
      <c r="J225" s="219">
        <v>0.16800000000000001</v>
      </c>
      <c r="K225" s="219">
        <v>8.8999999999999996E-2</v>
      </c>
      <c r="L225" s="167">
        <v>8.5254354458153596</v>
      </c>
      <c r="M225" s="220">
        <v>10.0285763664508</v>
      </c>
      <c r="N225" s="167">
        <v>15.424709621496699</v>
      </c>
      <c r="O225" s="193">
        <v>0.65016305736312996</v>
      </c>
      <c r="P225" s="167">
        <v>2.1825252817104901</v>
      </c>
      <c r="Q225" s="167">
        <v>3.1014388904940802</v>
      </c>
      <c r="R225" s="167">
        <v>0.91197919676394101</v>
      </c>
      <c r="S225" s="167">
        <v>4.8399884426466304</v>
      </c>
      <c r="T225" s="167">
        <v>1.2633227390927499</v>
      </c>
      <c r="U225" s="167">
        <v>0.51818549552152604</v>
      </c>
      <c r="V225" s="167">
        <v>1.7266685928922301</v>
      </c>
      <c r="W225" s="167">
        <v>0.88060098237503603</v>
      </c>
      <c r="X225" s="167">
        <v>1.7162351031694702E-2</v>
      </c>
      <c r="Y225" s="189">
        <v>10.0457387174825</v>
      </c>
      <c r="Z225" s="207">
        <v>1246</v>
      </c>
      <c r="AA225" s="207">
        <v>898</v>
      </c>
      <c r="AB225" s="167">
        <v>8106.54</v>
      </c>
      <c r="AD225" s="195">
        <v>9.3626485925970507E-3</v>
      </c>
      <c r="AE225" s="219">
        <v>6.7477194511654497E-3</v>
      </c>
      <c r="AF225" s="167">
        <v>6.5060513643659696</v>
      </c>
      <c r="AG225" s="222">
        <v>6.0913872649945099E-2</v>
      </c>
      <c r="AH225" s="223">
        <v>0.50982817869415797</v>
      </c>
      <c r="AI225" s="223">
        <v>0.402794959908362</v>
      </c>
      <c r="AJ225" s="167">
        <v>0.55119400069130298</v>
      </c>
      <c r="AK225" s="224">
        <v>0.33268210576937501</v>
      </c>
      <c r="AL225" s="224">
        <v>4.9668625358801302E-2</v>
      </c>
      <c r="AM225" s="82">
        <v>0</v>
      </c>
    </row>
    <row r="226" spans="1:40" ht="16.05" customHeight="1" outlineLevel="1">
      <c r="A226" s="186">
        <v>43567</v>
      </c>
      <c r="B226" s="187" t="s">
        <v>41</v>
      </c>
      <c r="C226" s="188">
        <v>17831</v>
      </c>
      <c r="D226" s="188">
        <v>125721</v>
      </c>
      <c r="E226" s="189">
        <v>7.0506982221973002</v>
      </c>
      <c r="F226" s="167">
        <v>0.60052238735772101</v>
      </c>
      <c r="G226" s="190">
        <v>14.79</v>
      </c>
      <c r="H226" s="190">
        <v>20.29</v>
      </c>
      <c r="I226" s="219">
        <v>0.307</v>
      </c>
      <c r="J226" s="219">
        <v>0.16500000000000001</v>
      </c>
      <c r="K226" s="219">
        <v>0.09</v>
      </c>
      <c r="L226" s="167">
        <v>8.1829924992642393</v>
      </c>
      <c r="M226" s="220">
        <v>9.7161412969989094</v>
      </c>
      <c r="N226" s="167">
        <v>15.039867518684099</v>
      </c>
      <c r="O226" s="193">
        <v>0.64602572362612498</v>
      </c>
      <c r="P226" s="167">
        <v>2.1361627205456801</v>
      </c>
      <c r="Q226" s="167">
        <v>3.0245016560164499</v>
      </c>
      <c r="R226" s="167">
        <v>0.89113384799123296</v>
      </c>
      <c r="S226" s="167">
        <v>4.6508083084007401</v>
      </c>
      <c r="T226" s="167">
        <v>1.2624632167350001</v>
      </c>
      <c r="U226" s="167">
        <v>0.50634703702335704</v>
      </c>
      <c r="V226" s="167">
        <v>1.6963025892956101</v>
      </c>
      <c r="W226" s="167">
        <v>0.87214814267597496</v>
      </c>
      <c r="X226" s="167">
        <v>1.85887799174362E-2</v>
      </c>
      <c r="Y226" s="189">
        <v>9.7347300769163496</v>
      </c>
      <c r="Z226" s="207">
        <v>1180</v>
      </c>
      <c r="AA226" s="207">
        <v>868</v>
      </c>
      <c r="AB226" s="167">
        <v>6874.2</v>
      </c>
      <c r="AC226" s="167"/>
      <c r="AD226" s="195">
        <v>9.3858623459883404E-3</v>
      </c>
      <c r="AE226" s="219">
        <v>6.9041767087439703E-3</v>
      </c>
      <c r="AF226" s="167">
        <v>5.8255932203389804</v>
      </c>
      <c r="AG226" s="222">
        <v>5.4678216049824598E-2</v>
      </c>
      <c r="AH226" s="223">
        <v>0.50782345353597702</v>
      </c>
      <c r="AI226" s="223">
        <v>0.41786775839829499</v>
      </c>
      <c r="AJ226" s="167">
        <v>0.540259781579847</v>
      </c>
      <c r="AK226" s="224">
        <v>0.33651498158621101</v>
      </c>
      <c r="AL226" s="224">
        <v>5.1041592096785701E-2</v>
      </c>
      <c r="AM226" s="82">
        <v>0</v>
      </c>
    </row>
    <row r="227" spans="1:40" ht="16.05" customHeight="1" outlineLevel="1">
      <c r="A227" s="186">
        <v>43568</v>
      </c>
      <c r="B227" s="185" t="s">
        <v>41</v>
      </c>
      <c r="C227" s="188">
        <v>17669</v>
      </c>
      <c r="D227" s="188">
        <v>120696</v>
      </c>
      <c r="E227" s="189">
        <v>6.8309468560756104</v>
      </c>
      <c r="F227" s="167">
        <v>0.84031764162855405</v>
      </c>
      <c r="G227" s="190">
        <v>12.71</v>
      </c>
      <c r="H227" s="190">
        <v>18.28</v>
      </c>
      <c r="I227" s="219">
        <v>0.30599999999999999</v>
      </c>
      <c r="J227" s="219">
        <v>0.151</v>
      </c>
      <c r="K227" s="219">
        <v>8.5000000000000006E-2</v>
      </c>
      <c r="L227" s="167">
        <v>9.9661132100483893</v>
      </c>
      <c r="M227" s="220">
        <v>13.0196361105588</v>
      </c>
      <c r="N227" s="167">
        <v>19.811119515885</v>
      </c>
      <c r="O227" s="193">
        <v>0.65718830781467497</v>
      </c>
      <c r="P227" s="167">
        <v>2.56928895612708</v>
      </c>
      <c r="Q227" s="167">
        <v>3.67402924861321</v>
      </c>
      <c r="R227" s="167">
        <v>1.1149016641452301</v>
      </c>
      <c r="S227" s="167">
        <v>7.1904815935451296</v>
      </c>
      <c r="T227" s="167">
        <v>1.5609430156328801</v>
      </c>
      <c r="U227" s="167">
        <v>0.43057236510337898</v>
      </c>
      <c r="V227" s="167">
        <v>2.2716843166918799</v>
      </c>
      <c r="W227" s="167">
        <v>0.999218356026223</v>
      </c>
      <c r="X227" s="167">
        <v>2.0017233379730898E-2</v>
      </c>
      <c r="Y227" s="189">
        <v>13.0396533439385</v>
      </c>
      <c r="Z227" s="207">
        <v>1741</v>
      </c>
      <c r="AA227" s="207">
        <v>1137</v>
      </c>
      <c r="AB227" s="167">
        <v>15373.59</v>
      </c>
      <c r="AC227" s="167"/>
      <c r="AD227" s="195">
        <v>1.4424670245907101E-2</v>
      </c>
      <c r="AE227" s="219">
        <v>9.4203619009743493E-3</v>
      </c>
      <c r="AF227" s="167">
        <v>8.8303216542217093</v>
      </c>
      <c r="AG227" s="222">
        <v>0.12737447802744101</v>
      </c>
      <c r="AH227" s="223">
        <v>0.494934631275115</v>
      </c>
      <c r="AI227" s="223">
        <v>0.39096723074310902</v>
      </c>
      <c r="AJ227" s="167">
        <v>0.42712268840723799</v>
      </c>
      <c r="AK227" s="224">
        <v>0.29129382912441198</v>
      </c>
      <c r="AL227" s="224">
        <v>4.4533373102671199E-2</v>
      </c>
      <c r="AM227" s="82">
        <v>0.36699642075959399</v>
      </c>
    </row>
    <row r="228" spans="1:40" ht="16.05" customHeight="1" outlineLevel="1">
      <c r="A228" s="186">
        <v>43569</v>
      </c>
      <c r="B228" s="185" t="s">
        <v>41</v>
      </c>
      <c r="C228" s="188">
        <v>22148</v>
      </c>
      <c r="D228" s="188">
        <v>124900</v>
      </c>
      <c r="E228" s="189">
        <v>5.6393353801697703</v>
      </c>
      <c r="F228" s="167">
        <v>0.79546818955964804</v>
      </c>
      <c r="G228" s="190">
        <v>13.16</v>
      </c>
      <c r="H228" s="190">
        <v>18.18</v>
      </c>
      <c r="I228" s="219">
        <v>0.30499999999999999</v>
      </c>
      <c r="J228" s="219">
        <v>0.15</v>
      </c>
      <c r="K228" s="219">
        <v>8.5000000000000006E-2</v>
      </c>
      <c r="L228" s="167">
        <v>9.4757726180944797</v>
      </c>
      <c r="M228" s="220">
        <v>12.768350680544399</v>
      </c>
      <c r="N228" s="167">
        <v>19.705267450049998</v>
      </c>
      <c r="O228" s="193">
        <v>0.64796637309847904</v>
      </c>
      <c r="P228" s="167">
        <v>2.5538298056369002</v>
      </c>
      <c r="Q228" s="167">
        <v>3.7976053675353101</v>
      </c>
      <c r="R228" s="167">
        <v>1.17386415588588</v>
      </c>
      <c r="S228" s="167">
        <v>6.9607690501785502</v>
      </c>
      <c r="T228" s="167">
        <v>1.5514821267499499</v>
      </c>
      <c r="U228" s="167">
        <v>0.44411906438818199</v>
      </c>
      <c r="V228" s="167">
        <v>2.1905944570065898</v>
      </c>
      <c r="W228" s="167">
        <v>1.0330034226686899</v>
      </c>
      <c r="X228" s="167">
        <v>1.80544435548439E-2</v>
      </c>
      <c r="Y228" s="189">
        <v>12.7864051240993</v>
      </c>
      <c r="Z228" s="207">
        <v>1924</v>
      </c>
      <c r="AA228" s="207">
        <v>1051</v>
      </c>
      <c r="AB228" s="167">
        <v>13028.76</v>
      </c>
      <c r="AC228" s="167"/>
      <c r="AD228" s="195">
        <v>1.5404323458766999E-2</v>
      </c>
      <c r="AE228" s="219">
        <v>8.4147317854283404E-3</v>
      </c>
      <c r="AF228" s="167">
        <v>6.7717047817047797</v>
      </c>
      <c r="AG228" s="222">
        <v>0.10431353082465999</v>
      </c>
      <c r="AH228" s="223">
        <v>0.47607007404731799</v>
      </c>
      <c r="AI228" s="223">
        <v>0.33456745530070398</v>
      </c>
      <c r="AJ228" s="167">
        <v>0.43385108086469198</v>
      </c>
      <c r="AK228" s="224">
        <v>0.28283426741393097</v>
      </c>
      <c r="AL228" s="224">
        <v>4.4395516413130498E-2</v>
      </c>
      <c r="AM228" s="82">
        <v>0.34742994395516402</v>
      </c>
    </row>
    <row r="229" spans="1:40" ht="16.05" customHeight="1" outlineLevel="1">
      <c r="A229" s="186">
        <v>43570</v>
      </c>
      <c r="B229" s="185" t="s">
        <v>41</v>
      </c>
      <c r="C229" s="188">
        <v>30121</v>
      </c>
      <c r="D229" s="188">
        <v>134651</v>
      </c>
      <c r="E229" s="189">
        <v>4.4703363102154601</v>
      </c>
      <c r="F229" s="167">
        <v>0.72908175802630504</v>
      </c>
      <c r="G229" s="190">
        <v>13.22</v>
      </c>
      <c r="H229" s="190">
        <v>18.2</v>
      </c>
      <c r="I229" s="219">
        <v>0.30099999999999999</v>
      </c>
      <c r="J229" s="219">
        <v>0.153</v>
      </c>
      <c r="K229" s="219">
        <v>8.4000000000000005E-2</v>
      </c>
      <c r="L229" s="167">
        <v>9.3574128673385299</v>
      </c>
      <c r="M229" s="220">
        <v>11.978745052023401</v>
      </c>
      <c r="N229" s="167">
        <v>18.7023874401401</v>
      </c>
      <c r="O229" s="193">
        <v>0.640492829611366</v>
      </c>
      <c r="P229" s="167">
        <v>2.4824971302018701</v>
      </c>
      <c r="Q229" s="167">
        <v>3.6946418839789898</v>
      </c>
      <c r="R229" s="167">
        <v>1.10048351750287</v>
      </c>
      <c r="S229" s="167">
        <v>6.3854341801653502</v>
      </c>
      <c r="T229" s="167">
        <v>1.50408728824368</v>
      </c>
      <c r="U229" s="167">
        <v>0.44852335841749502</v>
      </c>
      <c r="V229" s="167">
        <v>2.0924944633187601</v>
      </c>
      <c r="W229" s="167">
        <v>0.99422561831105105</v>
      </c>
      <c r="X229" s="167">
        <v>1.6041470171034699E-2</v>
      </c>
      <c r="Y229" s="189">
        <v>11.994786522194399</v>
      </c>
      <c r="Z229" s="207">
        <v>1619</v>
      </c>
      <c r="AA229" s="207">
        <v>1073</v>
      </c>
      <c r="AB229" s="167">
        <v>12036.81</v>
      </c>
      <c r="AC229" s="167"/>
      <c r="AD229" s="195">
        <v>1.2023676021715401E-2</v>
      </c>
      <c r="AE229" s="219">
        <v>7.9687488395927195E-3</v>
      </c>
      <c r="AF229" s="167">
        <v>7.4347189623224201</v>
      </c>
      <c r="AG229" s="222">
        <v>8.9392652115468901E-2</v>
      </c>
      <c r="AH229" s="223">
        <v>0.46157166096743102</v>
      </c>
      <c r="AI229" s="223">
        <v>0.30394077221871801</v>
      </c>
      <c r="AJ229" s="167">
        <v>0.43815493386606902</v>
      </c>
      <c r="AK229" s="224">
        <v>0.27618807138454199</v>
      </c>
      <c r="AL229" s="224">
        <v>4.3423368560203797E-2</v>
      </c>
      <c r="AM229" s="82">
        <v>0.322166192601615</v>
      </c>
    </row>
    <row r="230" spans="1:40" ht="16.05" customHeight="1" outlineLevel="1">
      <c r="A230" s="186">
        <v>43571</v>
      </c>
      <c r="B230" s="185" t="s">
        <v>41</v>
      </c>
      <c r="C230" s="188">
        <v>31276</v>
      </c>
      <c r="D230" s="188">
        <v>133998</v>
      </c>
      <c r="E230" s="189">
        <v>4.2843714029927096</v>
      </c>
      <c r="F230" s="167">
        <v>0.70868196950700801</v>
      </c>
      <c r="G230" s="190">
        <v>14.65</v>
      </c>
      <c r="H230" s="190">
        <v>19.63</v>
      </c>
      <c r="I230" s="219">
        <v>0.313</v>
      </c>
      <c r="J230" s="219">
        <v>0.159</v>
      </c>
      <c r="K230" s="219">
        <v>8.8999999999999996E-2</v>
      </c>
      <c r="L230" s="167">
        <v>9.1694353647069402</v>
      </c>
      <c r="M230" s="220">
        <v>11.050090299855199</v>
      </c>
      <c r="N230" s="167">
        <v>17.343976947945499</v>
      </c>
      <c r="O230" s="193">
        <v>0.63711398677592201</v>
      </c>
      <c r="P230" s="167">
        <v>2.37882443892611</v>
      </c>
      <c r="Q230" s="167">
        <v>3.4587335426135</v>
      </c>
      <c r="R230" s="167">
        <v>1.0294241671742499</v>
      </c>
      <c r="S230" s="167">
        <v>5.6801176029611602</v>
      </c>
      <c r="T230" s="167">
        <v>1.4199386215620999</v>
      </c>
      <c r="U230" s="167">
        <v>0.49012556810195401</v>
      </c>
      <c r="V230" s="167">
        <v>1.9440683127957601</v>
      </c>
      <c r="W230" s="167">
        <v>0.94274469381061698</v>
      </c>
      <c r="X230" s="167">
        <v>1.8552515709189699E-2</v>
      </c>
      <c r="Y230" s="189">
        <v>11.068642815564401</v>
      </c>
      <c r="Z230" s="207">
        <v>1465</v>
      </c>
      <c r="AA230" s="207">
        <v>972</v>
      </c>
      <c r="AB230" s="167">
        <v>10120.35</v>
      </c>
      <c r="AC230" s="167"/>
      <c r="AD230" s="195">
        <v>1.0932998999985099E-2</v>
      </c>
      <c r="AE230" s="219">
        <v>7.2538396095464096E-3</v>
      </c>
      <c r="AF230" s="167">
        <v>6.9080887372013704</v>
      </c>
      <c r="AG230" s="222">
        <v>7.5526127255630696E-2</v>
      </c>
      <c r="AH230" s="223">
        <v>0.46044890650978398</v>
      </c>
      <c r="AI230" s="223">
        <v>0.31730400306944601</v>
      </c>
      <c r="AJ230" s="167">
        <v>0.46671592113315102</v>
      </c>
      <c r="AK230" s="224">
        <v>0.28402662726309302</v>
      </c>
      <c r="AL230" s="224">
        <v>4.8933566172629402E-2</v>
      </c>
      <c r="AM230" s="82">
        <v>0.26056359050135097</v>
      </c>
    </row>
    <row r="231" spans="1:40" s="166" customFormat="1" ht="16.05" customHeight="1" outlineLevel="1">
      <c r="A231" s="196">
        <v>43572</v>
      </c>
      <c r="B231" s="197" t="s">
        <v>41</v>
      </c>
      <c r="C231" s="198">
        <v>35796</v>
      </c>
      <c r="D231" s="198">
        <v>137477</v>
      </c>
      <c r="E231" s="200">
        <v>3.8405687786344802</v>
      </c>
      <c r="F231" s="166">
        <v>0.59809912151123501</v>
      </c>
      <c r="G231" s="217">
        <v>14.44</v>
      </c>
      <c r="H231" s="217">
        <v>19.62</v>
      </c>
      <c r="I231" s="203">
        <v>0.307</v>
      </c>
      <c r="J231" s="203">
        <v>0.154</v>
      </c>
      <c r="K231" s="203">
        <v>8.5000000000000006E-2</v>
      </c>
      <c r="L231" s="166">
        <v>8.6124951810121004</v>
      </c>
      <c r="M231" s="204">
        <v>9.4871433039708499</v>
      </c>
      <c r="N231" s="166">
        <v>15.2239238024092</v>
      </c>
      <c r="O231" s="205">
        <v>0.62317333081169901</v>
      </c>
      <c r="P231" s="166">
        <v>2.1978709496684998</v>
      </c>
      <c r="Q231" s="166">
        <v>2.98669343542814</v>
      </c>
      <c r="R231" s="166">
        <v>0.88530675133065695</v>
      </c>
      <c r="S231" s="166">
        <v>4.8048954150714396</v>
      </c>
      <c r="T231" s="166">
        <v>1.26558268745915</v>
      </c>
      <c r="U231" s="166">
        <v>0.530838547016528</v>
      </c>
      <c r="V231" s="166">
        <v>1.6971355868895299</v>
      </c>
      <c r="W231" s="166">
        <v>0.85560042954524196</v>
      </c>
      <c r="X231" s="166">
        <v>1.5580788059093501E-2</v>
      </c>
      <c r="Y231" s="200">
        <v>9.5027240920299398</v>
      </c>
      <c r="Z231" s="206">
        <v>1192</v>
      </c>
      <c r="AA231" s="206">
        <v>798</v>
      </c>
      <c r="AB231" s="166">
        <v>8690.08</v>
      </c>
      <c r="AD231" s="210">
        <v>8.6705412541734292E-3</v>
      </c>
      <c r="AE231" s="203">
        <v>5.8046073161328801E-3</v>
      </c>
      <c r="AF231" s="166">
        <v>7.2903355704698001</v>
      </c>
      <c r="AG231" s="211">
        <v>6.3211155320526402E-2</v>
      </c>
      <c r="AH231" s="212">
        <v>0.46547100234663102</v>
      </c>
      <c r="AI231" s="212">
        <v>0.31592915409542999</v>
      </c>
      <c r="AJ231" s="166">
        <v>0.51089273114775602</v>
      </c>
      <c r="AK231" s="213">
        <v>0.29595495973871999</v>
      </c>
      <c r="AL231" s="213">
        <v>4.9484641067233097E-2</v>
      </c>
      <c r="AM231" s="214">
        <v>0</v>
      </c>
    </row>
    <row r="232" spans="1:40" s="167" customFormat="1" ht="16.05" customHeight="1" outlineLevel="1">
      <c r="A232" s="186">
        <v>43573</v>
      </c>
      <c r="B232" s="187" t="s">
        <v>41</v>
      </c>
      <c r="C232" s="188">
        <v>35992</v>
      </c>
      <c r="D232" s="188">
        <v>137771</v>
      </c>
      <c r="E232" s="189">
        <v>3.82782284952212</v>
      </c>
      <c r="F232" s="167">
        <v>0.59036885266130001</v>
      </c>
      <c r="G232" s="190">
        <v>15.51</v>
      </c>
      <c r="H232" s="190">
        <v>21.25</v>
      </c>
      <c r="I232" s="219">
        <v>0.30199999999999999</v>
      </c>
      <c r="J232" s="219">
        <v>0.15</v>
      </c>
      <c r="K232" s="219">
        <v>8.2000000000000003E-2</v>
      </c>
      <c r="L232" s="167">
        <v>8.5868216097727394</v>
      </c>
      <c r="M232" s="220">
        <v>9.0926247178288602</v>
      </c>
      <c r="N232" s="167">
        <v>14.642385421902199</v>
      </c>
      <c r="O232" s="193">
        <v>0.62097974174535997</v>
      </c>
      <c r="P232" s="167">
        <v>2.14641216555819</v>
      </c>
      <c r="Q232" s="167">
        <v>2.9313057403013301</v>
      </c>
      <c r="R232" s="167">
        <v>0.83129755823875295</v>
      </c>
      <c r="S232" s="167">
        <v>4.5208116606080404</v>
      </c>
      <c r="T232" s="167">
        <v>1.2145687468586699</v>
      </c>
      <c r="U232" s="167">
        <v>0.52140778231038099</v>
      </c>
      <c r="V232" s="167">
        <v>1.63680993068624</v>
      </c>
      <c r="W232" s="167">
        <v>0.83977183734059602</v>
      </c>
      <c r="X232" s="167">
        <v>1.6208055396273499E-2</v>
      </c>
      <c r="Y232" s="189">
        <v>9.1088327732251297</v>
      </c>
      <c r="Z232" s="207">
        <v>1099</v>
      </c>
      <c r="AA232" s="207">
        <v>793</v>
      </c>
      <c r="AB232" s="167">
        <v>7454.01</v>
      </c>
      <c r="AD232" s="195">
        <v>7.9770053204230203E-3</v>
      </c>
      <c r="AE232" s="219">
        <v>5.7559283158284402E-3</v>
      </c>
      <c r="AF232" s="167">
        <v>6.7825386715195597</v>
      </c>
      <c r="AG232" s="222">
        <v>5.4104347068686401E-2</v>
      </c>
      <c r="AH232" s="223">
        <v>0.46479773282951797</v>
      </c>
      <c r="AI232" s="223">
        <v>0.31370860191153599</v>
      </c>
      <c r="AJ232" s="167">
        <v>0.48966037845410099</v>
      </c>
      <c r="AK232" s="224">
        <v>0.29048203177736998</v>
      </c>
      <c r="AL232" s="224">
        <v>4.66135834101516E-2</v>
      </c>
      <c r="AM232" s="82">
        <v>0</v>
      </c>
    </row>
    <row r="233" spans="1:40" ht="16.05" customHeight="1" outlineLevel="1">
      <c r="A233" s="186">
        <v>43574</v>
      </c>
      <c r="B233" s="187" t="s">
        <v>41</v>
      </c>
      <c r="C233" s="188">
        <v>38164</v>
      </c>
      <c r="D233" s="188">
        <v>140854</v>
      </c>
      <c r="E233" s="189">
        <v>3.6907556859867898</v>
      </c>
      <c r="F233" s="167">
        <v>0.54542242700952803</v>
      </c>
      <c r="G233" s="190">
        <v>14.34</v>
      </c>
      <c r="H233" s="190">
        <v>19.77</v>
      </c>
      <c r="I233" s="219">
        <v>0.29799999999999999</v>
      </c>
      <c r="J233" s="219">
        <v>0.153</v>
      </c>
      <c r="K233" s="219">
        <v>8.1000000000000003E-2</v>
      </c>
      <c r="L233" s="167">
        <v>8.3096397688386592</v>
      </c>
      <c r="M233" s="220">
        <v>8.9865889502605505</v>
      </c>
      <c r="N233" s="167">
        <v>14.6122064968947</v>
      </c>
      <c r="O233" s="193">
        <v>0.61500560864441201</v>
      </c>
      <c r="P233" s="167">
        <v>2.1546648812134901</v>
      </c>
      <c r="Q233" s="167">
        <v>2.9152794772931898</v>
      </c>
      <c r="R233" s="167">
        <v>0.82086209683005096</v>
      </c>
      <c r="S233" s="167">
        <v>4.4924156719691499</v>
      </c>
      <c r="T233" s="167">
        <v>1.21823701890887</v>
      </c>
      <c r="U233" s="167">
        <v>0.53032576824510003</v>
      </c>
      <c r="V233" s="167">
        <v>1.63751067808741</v>
      </c>
      <c r="W233" s="167">
        <v>0.84291090434742399</v>
      </c>
      <c r="X233" s="167">
        <v>1.6833032785721399E-2</v>
      </c>
      <c r="Y233" s="189">
        <v>9.0034219830462696</v>
      </c>
      <c r="Z233" s="207">
        <v>1221</v>
      </c>
      <c r="AA233" s="207">
        <v>848</v>
      </c>
      <c r="AB233" s="167">
        <v>7326.79</v>
      </c>
      <c r="AC233" s="167"/>
      <c r="AD233" s="195">
        <v>8.6685504139037608E-3</v>
      </c>
      <c r="AE233" s="219">
        <v>6.0204183054794304E-3</v>
      </c>
      <c r="AF233" s="167">
        <v>6.0006470106470102</v>
      </c>
      <c r="AG233" s="222">
        <v>5.2016911127834499E-2</v>
      </c>
      <c r="AH233" s="223">
        <v>0.47094120113195698</v>
      </c>
      <c r="AI233" s="223">
        <v>0.320328057855571</v>
      </c>
      <c r="AJ233" s="167">
        <v>0.47961009272012201</v>
      </c>
      <c r="AK233" s="224">
        <v>0.28393939824215098</v>
      </c>
      <c r="AL233" s="224">
        <v>4.3754525963053903E-2</v>
      </c>
      <c r="AM233" s="82">
        <v>0</v>
      </c>
    </row>
    <row r="234" spans="1:40" ht="16.05" customHeight="1" outlineLevel="1">
      <c r="A234" s="186">
        <v>43575</v>
      </c>
      <c r="B234" s="185" t="s">
        <v>41</v>
      </c>
      <c r="C234" s="188">
        <v>39728</v>
      </c>
      <c r="D234" s="188">
        <v>143137</v>
      </c>
      <c r="E234" s="189">
        <v>3.6029248892468799</v>
      </c>
      <c r="F234" s="167">
        <v>0.73353048163647405</v>
      </c>
      <c r="G234" s="190">
        <v>13.1</v>
      </c>
      <c r="H234" s="190">
        <v>18.55</v>
      </c>
      <c r="I234" s="219">
        <v>0.29299999999999998</v>
      </c>
      <c r="J234" s="219">
        <v>0.14399999999999999</v>
      </c>
      <c r="K234" s="219">
        <v>7.9000000000000001E-2</v>
      </c>
      <c r="L234" s="167">
        <v>9.8146251493324606</v>
      </c>
      <c r="M234" s="220">
        <v>11.7257941692225</v>
      </c>
      <c r="N234" s="167">
        <v>18.724146009504899</v>
      </c>
      <c r="O234" s="193">
        <v>0.62623919741226897</v>
      </c>
      <c r="P234" s="167">
        <v>2.52251277360048</v>
      </c>
      <c r="Q234" s="167">
        <v>3.5848412503625702</v>
      </c>
      <c r="R234" s="167">
        <v>1.0265623954126599</v>
      </c>
      <c r="S234" s="167">
        <v>6.5844619469421399</v>
      </c>
      <c r="T234" s="167">
        <v>1.46270554898592</v>
      </c>
      <c r="U234" s="167">
        <v>0.46642049130948898</v>
      </c>
      <c r="V234" s="167">
        <v>2.1178741158883501</v>
      </c>
      <c r="W234" s="167">
        <v>0.95876748700327996</v>
      </c>
      <c r="X234" s="167">
        <v>1.61523575315956E-2</v>
      </c>
      <c r="Y234" s="189">
        <v>11.7419465267541</v>
      </c>
      <c r="Z234" s="207">
        <v>1643</v>
      </c>
      <c r="AA234" s="207">
        <v>1045</v>
      </c>
      <c r="AB234" s="167">
        <v>14042.57</v>
      </c>
      <c r="AC234" s="167"/>
      <c r="AD234" s="195">
        <v>1.1478513591873501E-2</v>
      </c>
      <c r="AE234" s="219">
        <v>7.3006979327497404E-3</v>
      </c>
      <c r="AF234" s="167">
        <v>8.5469080949482592</v>
      </c>
      <c r="AG234" s="222">
        <v>9.8105800736357496E-2</v>
      </c>
      <c r="AH234" s="223">
        <v>0.464005235602094</v>
      </c>
      <c r="AI234" s="223">
        <v>0.32382702376157901</v>
      </c>
      <c r="AJ234" s="167">
        <v>0.39838057245855402</v>
      </c>
      <c r="AK234" s="224">
        <v>0.24259974709543999</v>
      </c>
      <c r="AL234" s="224">
        <v>3.6140201345563998E-2</v>
      </c>
      <c r="AM234" s="82">
        <v>0.31607480944829103</v>
      </c>
    </row>
    <row r="235" spans="1:40" ht="16.05" customHeight="1" outlineLevel="1">
      <c r="A235" s="186">
        <v>43576</v>
      </c>
      <c r="B235" s="185" t="s">
        <v>41</v>
      </c>
      <c r="C235" s="188">
        <v>35901</v>
      </c>
      <c r="D235" s="188">
        <v>140739</v>
      </c>
      <c r="E235" s="189">
        <v>3.9201972089913899</v>
      </c>
      <c r="F235" s="167">
        <v>0.73728323997612599</v>
      </c>
      <c r="G235" s="190">
        <v>13.49</v>
      </c>
      <c r="H235" s="190">
        <v>18.97</v>
      </c>
      <c r="I235" s="219">
        <v>0.30099999999999999</v>
      </c>
      <c r="J235" s="219">
        <v>0.14799999999999999</v>
      </c>
      <c r="K235" s="219">
        <v>8.4000000000000005E-2</v>
      </c>
      <c r="L235" s="167">
        <v>9.4854660044479502</v>
      </c>
      <c r="M235" s="220">
        <v>11.539679832882101</v>
      </c>
      <c r="N235" s="167">
        <v>18.314797690468701</v>
      </c>
      <c r="O235" s="193">
        <v>0.63007410881134596</v>
      </c>
      <c r="P235" s="167">
        <v>2.43418737877216</v>
      </c>
      <c r="Q235" s="167">
        <v>3.70533176958816</v>
      </c>
      <c r="R235" s="167">
        <v>1.05335152690694</v>
      </c>
      <c r="S235" s="167">
        <v>6.1780865172087198</v>
      </c>
      <c r="T235" s="167">
        <v>1.45486941224232</v>
      </c>
      <c r="U235" s="167">
        <v>0.46998060354549098</v>
      </c>
      <c r="V235" s="167">
        <v>2.0418489783030398</v>
      </c>
      <c r="W235" s="167">
        <v>0.97714150390184495</v>
      </c>
      <c r="X235" s="167">
        <v>1.2953054945679599E-2</v>
      </c>
      <c r="Y235" s="189">
        <v>11.5526328878278</v>
      </c>
      <c r="Z235" s="207">
        <v>1570</v>
      </c>
      <c r="AA235" s="207">
        <v>1002</v>
      </c>
      <c r="AB235" s="167">
        <v>13621.3</v>
      </c>
      <c r="AC235" s="167"/>
      <c r="AD235" s="195">
        <v>1.1155401132593E-2</v>
      </c>
      <c r="AE235" s="219">
        <v>7.1195617419478599E-3</v>
      </c>
      <c r="AF235" s="167">
        <v>8.6759872611464992</v>
      </c>
      <c r="AG235" s="222">
        <v>9.6784118119355694E-2</v>
      </c>
      <c r="AH235" s="223">
        <v>0.47658839586641</v>
      </c>
      <c r="AI235" s="223">
        <v>0.34327734603492899</v>
      </c>
      <c r="AJ235" s="167">
        <v>0.40712950923340402</v>
      </c>
      <c r="AK235" s="224">
        <v>0.24696779144373601</v>
      </c>
      <c r="AL235" s="224">
        <v>3.7452305331144901E-2</v>
      </c>
      <c r="AM235" s="82">
        <v>0.30973646252993098</v>
      </c>
    </row>
    <row r="236" spans="1:40" ht="16.05" customHeight="1" outlineLevel="1">
      <c r="A236" s="186">
        <v>43577</v>
      </c>
      <c r="B236" s="185" t="s">
        <v>41</v>
      </c>
      <c r="C236" s="188">
        <v>41567</v>
      </c>
      <c r="D236" s="188">
        <v>149169</v>
      </c>
      <c r="E236" s="189">
        <v>3.5886400269444501</v>
      </c>
      <c r="F236" s="167">
        <v>0.66838182523178402</v>
      </c>
      <c r="G236" s="190">
        <v>13.28</v>
      </c>
      <c r="H236" s="190">
        <v>19</v>
      </c>
      <c r="I236" s="219">
        <v>0.29599999999999999</v>
      </c>
      <c r="J236" s="219">
        <v>0.152</v>
      </c>
      <c r="K236" s="219">
        <v>8.5000000000000006E-2</v>
      </c>
      <c r="L236" s="167">
        <v>9.3958530257627295</v>
      </c>
      <c r="M236" s="220">
        <v>11.1989555470641</v>
      </c>
      <c r="N236" s="167">
        <v>17.893498286203901</v>
      </c>
      <c r="O236" s="193">
        <v>0.62586730486897402</v>
      </c>
      <c r="P236" s="167">
        <v>2.4211975149957201</v>
      </c>
      <c r="Q236" s="167">
        <v>3.7066945158526101</v>
      </c>
      <c r="R236" s="167">
        <v>1.0132069408740401</v>
      </c>
      <c r="S236" s="167">
        <v>5.8474614395886899</v>
      </c>
      <c r="T236" s="167">
        <v>1.43763924592973</v>
      </c>
      <c r="U236" s="167">
        <v>0.48092330762639302</v>
      </c>
      <c r="V236" s="167">
        <v>2.0194301628106301</v>
      </c>
      <c r="W236" s="167">
        <v>0.96694515852613505</v>
      </c>
      <c r="X236" s="167">
        <v>1.0907091956103499E-2</v>
      </c>
      <c r="Y236" s="189">
        <v>11.2098626390202</v>
      </c>
      <c r="Z236" s="207">
        <v>1550</v>
      </c>
      <c r="AA236" s="207">
        <v>1036</v>
      </c>
      <c r="AB236" s="167">
        <v>11468.5</v>
      </c>
      <c r="AC236" s="167"/>
      <c r="AD236" s="195">
        <v>1.03908989133131E-2</v>
      </c>
      <c r="AE236" s="219">
        <v>6.9451427575434599E-3</v>
      </c>
      <c r="AF236" s="167">
        <v>7.3990322580645103</v>
      </c>
      <c r="AG236" s="222">
        <v>7.6882596249890994E-2</v>
      </c>
      <c r="AH236" s="223">
        <v>0.46224168210359201</v>
      </c>
      <c r="AI236" s="223">
        <v>0.321120119325426</v>
      </c>
      <c r="AJ236" s="167">
        <v>0.41882696806977299</v>
      </c>
      <c r="AK236" s="224">
        <v>0.24635815752602799</v>
      </c>
      <c r="AL236" s="224">
        <v>3.7340198030421899E-2</v>
      </c>
      <c r="AM236" s="82">
        <v>0.29334513203145401</v>
      </c>
      <c r="AN236" s="260"/>
    </row>
    <row r="237" spans="1:40" ht="16.05" customHeight="1" outlineLevel="1">
      <c r="A237" s="186">
        <v>43578</v>
      </c>
      <c r="B237" s="185" t="s">
        <v>41</v>
      </c>
      <c r="C237" s="188">
        <v>38710</v>
      </c>
      <c r="D237" s="188">
        <v>147447</v>
      </c>
      <c r="E237" s="189">
        <v>3.8090157582020101</v>
      </c>
      <c r="F237" s="167">
        <v>0.62382662947364098</v>
      </c>
      <c r="G237" s="190">
        <v>13.63</v>
      </c>
      <c r="H237" s="190">
        <v>18.59</v>
      </c>
      <c r="I237" s="219">
        <v>0.30299999999999999</v>
      </c>
      <c r="J237" s="219">
        <v>0.156</v>
      </c>
      <c r="K237" s="219">
        <v>8.4000000000000005E-2</v>
      </c>
      <c r="L237" s="167">
        <v>9.3005758001180094</v>
      </c>
      <c r="M237" s="220">
        <v>10.5358806893324</v>
      </c>
      <c r="N237" s="167">
        <v>16.7264309401783</v>
      </c>
      <c r="O237" s="193">
        <v>0.62989413145062301</v>
      </c>
      <c r="P237" s="167">
        <v>2.2837977518411599</v>
      </c>
      <c r="Q237" s="167">
        <v>3.4592144364528998</v>
      </c>
      <c r="R237" s="167">
        <v>0.96541625392997099</v>
      </c>
      <c r="S237" s="167">
        <v>5.3552693914466598</v>
      </c>
      <c r="T237" s="167">
        <v>1.33711615487316</v>
      </c>
      <c r="U237" s="167">
        <v>0.50101210215771597</v>
      </c>
      <c r="V237" s="167">
        <v>1.9008247555880999</v>
      </c>
      <c r="W237" s="167">
        <v>0.92378009388862603</v>
      </c>
      <c r="X237" s="167">
        <v>1.0885267248570699E-2</v>
      </c>
      <c r="Y237" s="189">
        <v>10.546765956581</v>
      </c>
      <c r="Z237" s="207">
        <v>1378</v>
      </c>
      <c r="AA237" s="207">
        <v>952</v>
      </c>
      <c r="AB237" s="167">
        <v>9570.2199999999993</v>
      </c>
      <c r="AC237" s="167"/>
      <c r="AD237" s="195">
        <v>9.3457310084301502E-3</v>
      </c>
      <c r="AE237" s="219">
        <v>6.4565572714263397E-3</v>
      </c>
      <c r="AF237" s="167">
        <v>6.9450072568940504</v>
      </c>
      <c r="AG237" s="222">
        <v>6.4906169674527101E-2</v>
      </c>
      <c r="AH237" s="223">
        <v>0.46657194523378998</v>
      </c>
      <c r="AI237" s="223">
        <v>0.334048049599587</v>
      </c>
      <c r="AJ237" s="167">
        <v>0.45057546101311002</v>
      </c>
      <c r="AK237" s="224">
        <v>0.26501047834136998</v>
      </c>
      <c r="AL237" s="224">
        <v>4.1994750656167999E-2</v>
      </c>
      <c r="AM237" s="82">
        <v>0.24150372676283699</v>
      </c>
      <c r="AN237" s="260"/>
    </row>
    <row r="238" spans="1:40" s="166" customFormat="1" ht="16.05" customHeight="1" outlineLevel="1">
      <c r="A238" s="196">
        <v>43579</v>
      </c>
      <c r="B238" s="197" t="s">
        <v>41</v>
      </c>
      <c r="C238" s="198">
        <v>38260</v>
      </c>
      <c r="D238" s="198">
        <v>145029</v>
      </c>
      <c r="E238" s="200">
        <v>3.7906168322007301</v>
      </c>
      <c r="F238" s="166">
        <v>0.58463374949837599</v>
      </c>
      <c r="G238" s="217">
        <v>14.96</v>
      </c>
      <c r="H238" s="217">
        <v>20.81</v>
      </c>
      <c r="I238" s="203">
        <v>0.29399999999999998</v>
      </c>
      <c r="J238" s="203">
        <v>0.14699999999999999</v>
      </c>
      <c r="K238" s="203">
        <v>7.6999999999999999E-2</v>
      </c>
      <c r="L238" s="166">
        <v>8.8173675609705704</v>
      </c>
      <c r="M238" s="204">
        <v>9.4130622151431798</v>
      </c>
      <c r="N238" s="166">
        <v>15.139756684521601</v>
      </c>
      <c r="O238" s="205">
        <v>0.62174461659392299</v>
      </c>
      <c r="P238" s="166">
        <v>2.1523771500815099</v>
      </c>
      <c r="Q238" s="166">
        <v>3.0894966230828098</v>
      </c>
      <c r="R238" s="166">
        <v>0.86796198334275998</v>
      </c>
      <c r="S238" s="166">
        <v>4.6725998380854197</v>
      </c>
      <c r="T238" s="166">
        <v>1.2401991771190299</v>
      </c>
      <c r="U238" s="166">
        <v>0.53510552173093295</v>
      </c>
      <c r="V238" s="166">
        <v>1.7144314690975999</v>
      </c>
      <c r="W238" s="166">
        <v>0.867584921981568</v>
      </c>
      <c r="X238" s="166">
        <v>1.17286887450096E-2</v>
      </c>
      <c r="Y238" s="200">
        <v>9.4247909038881907</v>
      </c>
      <c r="Z238" s="206">
        <v>1144</v>
      </c>
      <c r="AA238" s="206">
        <v>826</v>
      </c>
      <c r="AB238" s="166">
        <v>7529.56</v>
      </c>
      <c r="AD238" s="210">
        <v>7.8880775569024099E-3</v>
      </c>
      <c r="AE238" s="203">
        <v>5.6954126416096096E-3</v>
      </c>
      <c r="AF238" s="166">
        <v>6.5817832167832204</v>
      </c>
      <c r="AG238" s="211">
        <v>5.1917616476704703E-2</v>
      </c>
      <c r="AH238" s="212">
        <v>0.45603763721902801</v>
      </c>
      <c r="AI238" s="212">
        <v>0.32854155776267602</v>
      </c>
      <c r="AJ238" s="166">
        <v>0.51004971419509204</v>
      </c>
      <c r="AK238" s="213">
        <v>0.287590757710527</v>
      </c>
      <c r="AL238" s="213">
        <v>4.4735880410124898E-2</v>
      </c>
      <c r="AM238" s="214">
        <v>0</v>
      </c>
      <c r="AN238" s="260"/>
    </row>
    <row r="239" spans="1:40" s="167" customFormat="1" ht="16.05" customHeight="1" outlineLevel="1">
      <c r="A239" s="186">
        <v>43580</v>
      </c>
      <c r="B239" s="187" t="s">
        <v>41</v>
      </c>
      <c r="C239" s="188">
        <v>34917</v>
      </c>
      <c r="D239" s="188">
        <v>141463</v>
      </c>
      <c r="E239" s="189">
        <v>4.0514076237935699</v>
      </c>
      <c r="F239" s="167">
        <v>0.58206444122491396</v>
      </c>
      <c r="G239" s="190">
        <v>15.21</v>
      </c>
      <c r="H239" s="190">
        <v>21.72</v>
      </c>
      <c r="I239" s="219">
        <v>0.30299999999999999</v>
      </c>
      <c r="J239" s="219">
        <v>0.14899999999999999</v>
      </c>
      <c r="K239" s="219">
        <v>7.9000000000000001E-2</v>
      </c>
      <c r="L239" s="167">
        <v>8.5624580278942197</v>
      </c>
      <c r="M239" s="220">
        <v>9.3239433632822699</v>
      </c>
      <c r="N239" s="167">
        <v>14.908424038972299</v>
      </c>
      <c r="O239" s="193">
        <v>0.62541441931812602</v>
      </c>
      <c r="P239" s="167">
        <v>2.1686390198139498</v>
      </c>
      <c r="Q239" s="167">
        <v>3.0705865066178402</v>
      </c>
      <c r="R239" s="167">
        <v>0.83798446983825603</v>
      </c>
      <c r="S239" s="167">
        <v>4.5169599764899999</v>
      </c>
      <c r="T239" s="167">
        <v>1.2564624235642501</v>
      </c>
      <c r="U239" s="167">
        <v>0.52680478790139396</v>
      </c>
      <c r="V239" s="167">
        <v>1.6695602048082501</v>
      </c>
      <c r="W239" s="167">
        <v>0.86142664993839901</v>
      </c>
      <c r="X239" s="167">
        <v>9.8470978277005305E-3</v>
      </c>
      <c r="Y239" s="189">
        <v>9.3337904611099702</v>
      </c>
      <c r="Z239" s="207">
        <v>1156</v>
      </c>
      <c r="AA239" s="207">
        <v>827</v>
      </c>
      <c r="AB239" s="167">
        <v>6985.44</v>
      </c>
      <c r="AD239" s="195">
        <v>8.1717480896064693E-3</v>
      </c>
      <c r="AE239" s="219">
        <v>5.8460516177374997E-3</v>
      </c>
      <c r="AF239" s="167">
        <v>6.0427681660899601</v>
      </c>
      <c r="AG239" s="222">
        <v>4.93799792171805E-2</v>
      </c>
      <c r="AH239" s="223">
        <v>0.45548013861442799</v>
      </c>
      <c r="AI239" s="223">
        <v>0.32852192341839198</v>
      </c>
      <c r="AJ239" s="167">
        <v>0.49756473424146203</v>
      </c>
      <c r="AK239" s="224">
        <v>0.29320741112517101</v>
      </c>
      <c r="AL239" s="224">
        <v>4.4082198171960199E-2</v>
      </c>
      <c r="AM239" s="82">
        <v>0</v>
      </c>
      <c r="AN239" s="260"/>
    </row>
    <row r="240" spans="1:40" s="167" customFormat="1" ht="16.05" customHeight="1" outlineLevel="1">
      <c r="A240" s="186">
        <v>43581</v>
      </c>
      <c r="B240" s="187" t="s">
        <v>41</v>
      </c>
      <c r="C240" s="188">
        <v>33605</v>
      </c>
      <c r="D240" s="188">
        <v>138973</v>
      </c>
      <c r="E240" s="189">
        <v>4.1354857908049398</v>
      </c>
      <c r="F240" s="167">
        <v>0.55896953937095695</v>
      </c>
      <c r="G240" s="190">
        <v>14.37</v>
      </c>
      <c r="H240" s="190">
        <v>20.28</v>
      </c>
      <c r="I240" s="219">
        <v>0.29399999999999998</v>
      </c>
      <c r="J240" s="219">
        <v>0.152</v>
      </c>
      <c r="K240" s="219">
        <v>8.2000000000000003E-2</v>
      </c>
      <c r="L240" s="167">
        <v>8.4591251538068502</v>
      </c>
      <c r="M240" s="220">
        <v>9.2535600440373305</v>
      </c>
      <c r="N240" s="167">
        <v>14.847597935644799</v>
      </c>
      <c r="O240" s="193">
        <v>0.62323616817655203</v>
      </c>
      <c r="P240" s="167">
        <v>2.1780564118550299</v>
      </c>
      <c r="Q240" s="167">
        <v>3.0569198619144902</v>
      </c>
      <c r="R240" s="167">
        <v>0.82269405285580699</v>
      </c>
      <c r="S240" s="167">
        <v>4.4925819449736197</v>
      </c>
      <c r="T240" s="167">
        <v>1.2414533615046199</v>
      </c>
      <c r="U240" s="167">
        <v>0.52916998602981102</v>
      </c>
      <c r="V240" s="167">
        <v>1.66575456340272</v>
      </c>
      <c r="W240" s="167">
        <v>0.86096775310865603</v>
      </c>
      <c r="X240" s="167">
        <v>1.1376310506357399E-2</v>
      </c>
      <c r="Y240" s="189">
        <v>9.2649363545436891</v>
      </c>
      <c r="Z240" s="207">
        <v>1221</v>
      </c>
      <c r="AA240" s="207">
        <v>850</v>
      </c>
      <c r="AB240" s="167">
        <v>7228.79</v>
      </c>
      <c r="AD240" s="195">
        <v>8.7858792715131695E-3</v>
      </c>
      <c r="AE240" s="219">
        <v>6.1162959711598703E-3</v>
      </c>
      <c r="AF240" s="167">
        <v>5.9203849303849303</v>
      </c>
      <c r="AG240" s="222">
        <v>5.20157872392479E-2</v>
      </c>
      <c r="AH240" s="223">
        <v>0.46284779050736502</v>
      </c>
      <c r="AI240" s="223">
        <v>0.34057431929772403</v>
      </c>
      <c r="AJ240" s="167">
        <v>0.48551876983298897</v>
      </c>
      <c r="AK240" s="224">
        <v>0.292970577018558</v>
      </c>
      <c r="AL240" s="224">
        <v>4.3145071344793597E-2</v>
      </c>
      <c r="AM240" s="82">
        <v>0</v>
      </c>
      <c r="AN240" s="260"/>
    </row>
    <row r="241" spans="1:40" ht="16.05" customHeight="1" outlineLevel="1">
      <c r="A241" s="186">
        <v>43582</v>
      </c>
      <c r="B241" s="185" t="s">
        <v>41</v>
      </c>
      <c r="C241" s="188">
        <v>28872</v>
      </c>
      <c r="D241" s="188">
        <v>132079</v>
      </c>
      <c r="E241" s="189">
        <v>4.5746397894153503</v>
      </c>
      <c r="F241" s="167">
        <v>0.78364273144860297</v>
      </c>
      <c r="G241" s="190">
        <v>13.39</v>
      </c>
      <c r="H241" s="190">
        <v>19.34</v>
      </c>
      <c r="I241" s="219">
        <v>0.29599999999999999</v>
      </c>
      <c r="J241" s="219">
        <v>0.14699999999999999</v>
      </c>
      <c r="K241" s="219">
        <v>8.2000000000000003E-2</v>
      </c>
      <c r="L241" s="167">
        <v>9.9237426085903095</v>
      </c>
      <c r="M241" s="220">
        <v>11.920297700618599</v>
      </c>
      <c r="N241" s="167">
        <v>18.8582773365913</v>
      </c>
      <c r="O241" s="193">
        <v>0.63209897107034396</v>
      </c>
      <c r="P241" s="167">
        <v>2.5562303113059501</v>
      </c>
      <c r="Q241" s="167">
        <v>3.7475295554996602</v>
      </c>
      <c r="R241" s="167">
        <v>1.1230131637260901</v>
      </c>
      <c r="S241" s="167">
        <v>6.3652185370177401</v>
      </c>
      <c r="T241" s="167">
        <v>1.5067136200845599</v>
      </c>
      <c r="U241" s="167">
        <v>0.461580844921964</v>
      </c>
      <c r="V241" s="167">
        <v>2.1370512774443902</v>
      </c>
      <c r="W241" s="167">
        <v>0.960940026590966</v>
      </c>
      <c r="X241" s="167">
        <v>1.23940974719675E-2</v>
      </c>
      <c r="Y241" s="189">
        <v>11.932691798090501</v>
      </c>
      <c r="Z241" s="207">
        <v>1704</v>
      </c>
      <c r="AA241" s="207">
        <v>1061</v>
      </c>
      <c r="AB241" s="167">
        <v>14689.96</v>
      </c>
      <c r="AC241" s="167"/>
      <c r="AD241" s="195">
        <v>1.29013696348398E-2</v>
      </c>
      <c r="AE241" s="219">
        <v>8.0330711165287408E-3</v>
      </c>
      <c r="AF241" s="167">
        <v>8.6208685446009401</v>
      </c>
      <c r="AG241" s="222">
        <v>0.11122101166726001</v>
      </c>
      <c r="AH241" s="223">
        <v>0.47471598780825702</v>
      </c>
      <c r="AI241" s="223">
        <v>0.35809781102798599</v>
      </c>
      <c r="AJ241" s="167">
        <v>0.40273624118898499</v>
      </c>
      <c r="AK241" s="224">
        <v>0.26040475775861399</v>
      </c>
      <c r="AL241" s="224">
        <v>3.7772848068201602E-2</v>
      </c>
      <c r="AM241" s="82">
        <v>0.32907578040415197</v>
      </c>
      <c r="AN241" s="260"/>
    </row>
    <row r="242" spans="1:40" ht="16.05" customHeight="1" outlineLevel="1">
      <c r="A242" s="186">
        <v>43583</v>
      </c>
      <c r="B242" s="185" t="s">
        <v>41</v>
      </c>
      <c r="C242" s="188">
        <v>31247</v>
      </c>
      <c r="D242" s="188">
        <v>133773</v>
      </c>
      <c r="E242" s="189">
        <v>4.2811469901110497</v>
      </c>
      <c r="F242" s="167">
        <v>0.75072740425197904</v>
      </c>
      <c r="G242" s="190">
        <v>13.63</v>
      </c>
      <c r="H242" s="190">
        <v>19.96</v>
      </c>
      <c r="I242" s="219">
        <v>0.28799999999999998</v>
      </c>
      <c r="J242" s="219">
        <v>0.14399999999999999</v>
      </c>
      <c r="K242" s="219">
        <v>8.5000000000000006E-2</v>
      </c>
      <c r="L242" s="167">
        <v>9.3281753418103808</v>
      </c>
      <c r="M242" s="220">
        <v>11.694669327891299</v>
      </c>
      <c r="N242" s="167">
        <v>18.553278542711801</v>
      </c>
      <c r="O242" s="193">
        <v>0.63032899015496402</v>
      </c>
      <c r="P242" s="167">
        <v>2.4680328743729301</v>
      </c>
      <c r="Q242" s="167">
        <v>3.7504892019781599</v>
      </c>
      <c r="R242" s="167">
        <v>1.16254551060827</v>
      </c>
      <c r="S242" s="167">
        <v>6.1949455058644904</v>
      </c>
      <c r="T242" s="167">
        <v>1.4843751853037801</v>
      </c>
      <c r="U242" s="167">
        <v>0.46438016626937501</v>
      </c>
      <c r="V242" s="167">
        <v>2.0561663168131301</v>
      </c>
      <c r="W242" s="167">
        <v>0.97234378150164302</v>
      </c>
      <c r="X242" s="167">
        <v>1.27604225067839E-2</v>
      </c>
      <c r="Y242" s="189">
        <v>11.7074297503981</v>
      </c>
      <c r="Z242" s="207">
        <v>1479</v>
      </c>
      <c r="AA242" s="207">
        <v>1007</v>
      </c>
      <c r="AB242" s="167">
        <v>13013.21</v>
      </c>
      <c r="AC242" s="167"/>
      <c r="AD242" s="195">
        <v>1.10560426991994E-2</v>
      </c>
      <c r="AE242" s="219">
        <v>7.5276774834981703E-3</v>
      </c>
      <c r="AF242" s="167">
        <v>8.7986544962812694</v>
      </c>
      <c r="AG242" s="222">
        <v>9.7278299806388399E-2</v>
      </c>
      <c r="AH242" s="223">
        <v>0.45693986622715799</v>
      </c>
      <c r="AI242" s="223">
        <v>0.333632028674753</v>
      </c>
      <c r="AJ242" s="167">
        <v>0.40311572589386502</v>
      </c>
      <c r="AK242" s="224">
        <v>0.25351902102815999</v>
      </c>
      <c r="AL242" s="224">
        <v>3.6816098913831599E-2</v>
      </c>
      <c r="AM242" s="82">
        <v>0.31736598566227903</v>
      </c>
      <c r="AN242" s="260"/>
    </row>
    <row r="243" spans="1:40" ht="16.05" customHeight="1" outlineLevel="1">
      <c r="A243" s="186">
        <v>43584</v>
      </c>
      <c r="B243" s="185" t="s">
        <v>41</v>
      </c>
      <c r="C243" s="188">
        <v>31526</v>
      </c>
      <c r="D243" s="188">
        <v>136325</v>
      </c>
      <c r="E243" s="189">
        <v>4.3242085897354601</v>
      </c>
      <c r="F243" s="167">
        <v>0.685699358620942</v>
      </c>
      <c r="G243" s="190">
        <v>13.36</v>
      </c>
      <c r="H243" s="190">
        <v>19.170000000000002</v>
      </c>
      <c r="I243" s="219">
        <v>0.28699999999999998</v>
      </c>
      <c r="J243" s="219">
        <v>0.157</v>
      </c>
      <c r="K243" s="219">
        <v>9.0999999999999998E-2</v>
      </c>
      <c r="L243" s="167">
        <v>9.3118796992481201</v>
      </c>
      <c r="M243" s="220">
        <v>11.3996185585916</v>
      </c>
      <c r="N243" s="167">
        <v>18.052331389540701</v>
      </c>
      <c r="O243" s="193">
        <v>0.63147625160462095</v>
      </c>
      <c r="P243" s="167">
        <v>2.4403851961991498</v>
      </c>
      <c r="Q243" s="167">
        <v>3.7296308342820002</v>
      </c>
      <c r="R243" s="167">
        <v>1.0855423646121301</v>
      </c>
      <c r="S243" s="167">
        <v>5.93233510675371</v>
      </c>
      <c r="T243" s="167">
        <v>1.4649304184187899</v>
      </c>
      <c r="U243" s="167">
        <v>0.46585972167367501</v>
      </c>
      <c r="V243" s="167">
        <v>1.9893130125688301</v>
      </c>
      <c r="W243" s="167">
        <v>0.94433473503240895</v>
      </c>
      <c r="X243" s="167">
        <v>1.51329543370622E-2</v>
      </c>
      <c r="Y243" s="189">
        <v>11.414751512928699</v>
      </c>
      <c r="Z243" s="207">
        <v>1456</v>
      </c>
      <c r="AA243" s="207">
        <v>987</v>
      </c>
      <c r="AB243" s="167">
        <v>10806.44</v>
      </c>
      <c r="AC243" s="167"/>
      <c r="AD243" s="195">
        <v>1.0680359435173301E-2</v>
      </c>
      <c r="AE243" s="219">
        <v>7.2400513478819003E-3</v>
      </c>
      <c r="AF243" s="167">
        <v>7.4220054945054903</v>
      </c>
      <c r="AG243" s="222">
        <v>7.9269686411149801E-2</v>
      </c>
      <c r="AH243" s="223">
        <v>0.44639345302290201</v>
      </c>
      <c r="AI243" s="223">
        <v>0.32734885491340499</v>
      </c>
      <c r="AJ243" s="167">
        <v>0.40612506876948501</v>
      </c>
      <c r="AK243" s="224">
        <v>0.25812580231065502</v>
      </c>
      <c r="AL243" s="224">
        <v>3.7931413900605199E-2</v>
      </c>
      <c r="AM243" s="82">
        <v>0.30730240234733203</v>
      </c>
      <c r="AN243" s="260"/>
    </row>
    <row r="244" spans="1:40" ht="16.05" customHeight="1" outlineLevel="1">
      <c r="A244" s="186">
        <v>43585</v>
      </c>
      <c r="B244" s="185" t="s">
        <v>41</v>
      </c>
      <c r="C244" s="188">
        <v>27559</v>
      </c>
      <c r="D244" s="188">
        <v>130103</v>
      </c>
      <c r="E244" s="189">
        <v>4.7208897274937396</v>
      </c>
      <c r="F244" s="167">
        <v>0.71324392980945905</v>
      </c>
      <c r="G244" s="190">
        <v>14.92</v>
      </c>
      <c r="H244" s="190">
        <v>21.56</v>
      </c>
      <c r="I244" s="219">
        <v>0.29799999999999999</v>
      </c>
      <c r="J244" s="219">
        <v>0.16300000000000001</v>
      </c>
      <c r="K244" s="219">
        <v>9.1999999999999998E-2</v>
      </c>
      <c r="L244" s="167">
        <v>9.2391182370890697</v>
      </c>
      <c r="M244" s="220">
        <v>10.9538212032005</v>
      </c>
      <c r="N244" s="167">
        <v>17.13261282489</v>
      </c>
      <c r="O244" s="193">
        <v>0.63935497259863305</v>
      </c>
      <c r="P244" s="167">
        <v>2.34539924502897</v>
      </c>
      <c r="Q244" s="167">
        <v>3.5181770094491598</v>
      </c>
      <c r="R244" s="167">
        <v>1.0495419682142799</v>
      </c>
      <c r="S244" s="167">
        <v>5.4854896492029503</v>
      </c>
      <c r="T244" s="167">
        <v>1.39589093794331</v>
      </c>
      <c r="U244" s="167">
        <v>0.49520328917313799</v>
      </c>
      <c r="V244" s="167">
        <v>1.9096920006732201</v>
      </c>
      <c r="W244" s="167">
        <v>0.93321872520497196</v>
      </c>
      <c r="X244" s="167">
        <v>1.5510787606742399E-2</v>
      </c>
      <c r="Y244" s="189">
        <v>10.9693319908073</v>
      </c>
      <c r="Z244" s="207">
        <v>1245</v>
      </c>
      <c r="AA244" s="207">
        <v>851</v>
      </c>
      <c r="AB244" s="167">
        <v>9795.5499999999993</v>
      </c>
      <c r="AC244" s="167"/>
      <c r="AD244" s="195">
        <v>9.5693412142687003E-3</v>
      </c>
      <c r="AE244" s="219">
        <v>6.5409713842109699E-3</v>
      </c>
      <c r="AF244" s="167">
        <v>7.8679116465863403</v>
      </c>
      <c r="AG244" s="222">
        <v>7.5290731189903398E-2</v>
      </c>
      <c r="AH244" s="223">
        <v>0.459958634202983</v>
      </c>
      <c r="AI244" s="223">
        <v>0.33854639137849701</v>
      </c>
      <c r="AJ244" s="167">
        <v>0.45826768022259301</v>
      </c>
      <c r="AK244" s="224">
        <v>0.28012420928033899</v>
      </c>
      <c r="AL244" s="224">
        <v>4.5056608994412099E-2</v>
      </c>
      <c r="AM244" s="82">
        <v>0.256996379791396</v>
      </c>
      <c r="AN244" s="260"/>
    </row>
    <row r="245" spans="1:40" s="166" customFormat="1" ht="16.05" customHeight="1">
      <c r="A245" s="196">
        <v>43586</v>
      </c>
      <c r="B245" s="197" t="s">
        <v>41</v>
      </c>
      <c r="C245" s="198">
        <v>28807</v>
      </c>
      <c r="D245" s="198">
        <v>127229</v>
      </c>
      <c r="E245" s="200">
        <v>4.4166001319123804</v>
      </c>
      <c r="F245" s="166">
        <v>0.65407149860487801</v>
      </c>
      <c r="G245" s="217">
        <v>16.920000000000002</v>
      </c>
      <c r="H245" s="217">
        <v>24.41</v>
      </c>
      <c r="I245" s="203">
        <v>0.30499999999999999</v>
      </c>
      <c r="J245" s="203">
        <v>0.159</v>
      </c>
      <c r="K245" s="203">
        <v>8.5000000000000006E-2</v>
      </c>
      <c r="L245" s="166">
        <v>8.2983124916489199</v>
      </c>
      <c r="M245" s="204">
        <v>9.6572793938488903</v>
      </c>
      <c r="N245" s="166">
        <v>15.402858217375</v>
      </c>
      <c r="O245" s="205">
        <v>0.62697969802482101</v>
      </c>
      <c r="P245" s="166">
        <v>2.1812711545693899</v>
      </c>
      <c r="Q245" s="166">
        <v>3.0791901717437602</v>
      </c>
      <c r="R245" s="166">
        <v>0.88978312648865499</v>
      </c>
      <c r="S245" s="166">
        <v>4.85045756550082</v>
      </c>
      <c r="T245" s="166">
        <v>1.2714303622915899</v>
      </c>
      <c r="U245" s="166">
        <v>0.53070076469850802</v>
      </c>
      <c r="V245" s="166">
        <v>1.7252350507709699</v>
      </c>
      <c r="W245" s="166">
        <v>0.87479002131127004</v>
      </c>
      <c r="X245" s="166">
        <v>1.66157086827689E-2</v>
      </c>
      <c r="Y245" s="200">
        <v>9.6738951025316595</v>
      </c>
      <c r="Z245" s="206">
        <v>1048</v>
      </c>
      <c r="AA245" s="206">
        <v>765</v>
      </c>
      <c r="AB245" s="166">
        <v>6325.52</v>
      </c>
      <c r="AD245" s="210">
        <v>8.2371157519119092E-3</v>
      </c>
      <c r="AE245" s="203">
        <v>6.0127801051647004E-3</v>
      </c>
      <c r="AF245" s="166">
        <v>6.0358015267175604</v>
      </c>
      <c r="AG245" s="211">
        <v>4.9717595831139098E-2</v>
      </c>
      <c r="AH245" s="212">
        <v>0.451834623529003</v>
      </c>
      <c r="AI245" s="212">
        <v>0.32554587426667098</v>
      </c>
      <c r="AJ245" s="166">
        <v>0.51106272940917596</v>
      </c>
      <c r="AK245" s="213">
        <v>0.299963058736609</v>
      </c>
      <c r="AL245" s="213">
        <v>4.73791352600429E-2</v>
      </c>
      <c r="AM245" s="214">
        <v>0</v>
      </c>
      <c r="AN245" s="260"/>
    </row>
    <row r="246" spans="1:40" s="167" customFormat="1" ht="16.05" customHeight="1">
      <c r="A246" s="186">
        <v>43587</v>
      </c>
      <c r="B246" s="187" t="s">
        <v>41</v>
      </c>
      <c r="C246" s="188">
        <v>28249</v>
      </c>
      <c r="D246" s="188">
        <v>127057</v>
      </c>
      <c r="E246" s="189">
        <v>4.4977521328188601</v>
      </c>
      <c r="F246" s="167">
        <v>0.638240326152829</v>
      </c>
      <c r="G246" s="190">
        <v>16.38</v>
      </c>
      <c r="H246" s="190">
        <v>23.32</v>
      </c>
      <c r="I246" s="219">
        <v>0.29599999999999999</v>
      </c>
      <c r="J246" s="219">
        <v>0.154</v>
      </c>
      <c r="K246" s="219">
        <v>8.3000000000000004E-2</v>
      </c>
      <c r="L246" s="167">
        <v>8.4674830981370608</v>
      </c>
      <c r="M246" s="220">
        <v>9.7509779075533007</v>
      </c>
      <c r="N246" s="167">
        <v>15.5326404473252</v>
      </c>
      <c r="O246" s="193">
        <v>0.62777336156213304</v>
      </c>
      <c r="P246" s="167">
        <v>2.1892230733548099</v>
      </c>
      <c r="Q246" s="167">
        <v>3.1690508130336101</v>
      </c>
      <c r="R246" s="167">
        <v>0.86782091947394202</v>
      </c>
      <c r="S246" s="167">
        <v>4.8701152163283696</v>
      </c>
      <c r="T246" s="167">
        <v>1.2845053470907599</v>
      </c>
      <c r="U246" s="167">
        <v>0.52742499655228603</v>
      </c>
      <c r="V246" s="167">
        <v>1.73833732432331</v>
      </c>
      <c r="W246" s="167">
        <v>0.88616275716811099</v>
      </c>
      <c r="X246" s="167">
        <v>1.77951628009476E-2</v>
      </c>
      <c r="Y246" s="189">
        <v>9.7687730703542499</v>
      </c>
      <c r="Z246" s="207">
        <v>981</v>
      </c>
      <c r="AA246" s="207">
        <v>707</v>
      </c>
      <c r="AB246" s="167">
        <v>6114.19</v>
      </c>
      <c r="AD246" s="195">
        <v>7.7209441431798304E-3</v>
      </c>
      <c r="AE246" s="219">
        <v>5.5644317117514198E-3</v>
      </c>
      <c r="AF246" s="167">
        <v>6.2326095820591201</v>
      </c>
      <c r="AG246" s="222">
        <v>4.8121630449325901E-2</v>
      </c>
      <c r="AH246" s="223">
        <v>0.45403377110694199</v>
      </c>
      <c r="AI246" s="223">
        <v>0.33902085029558598</v>
      </c>
      <c r="AJ246" s="167">
        <v>0.50909434348363303</v>
      </c>
      <c r="AK246" s="224">
        <v>0.301927481366631</v>
      </c>
      <c r="AL246" s="224">
        <v>4.6860857725272903E-2</v>
      </c>
      <c r="AM246" s="82">
        <v>0</v>
      </c>
      <c r="AN246" s="260"/>
    </row>
    <row r="247" spans="1:40" ht="16.05" customHeight="1">
      <c r="A247" s="186">
        <v>43588</v>
      </c>
      <c r="B247" s="187" t="s">
        <v>41</v>
      </c>
      <c r="C247" s="188">
        <v>24965</v>
      </c>
      <c r="D247" s="188">
        <v>122884</v>
      </c>
      <c r="E247" s="189">
        <v>4.9222511516122598</v>
      </c>
      <c r="F247" s="167">
        <v>0.62468913420787098</v>
      </c>
      <c r="G247" s="190">
        <v>15.41</v>
      </c>
      <c r="H247" s="190">
        <v>21.75</v>
      </c>
      <c r="I247" s="219">
        <v>0.30399999999999999</v>
      </c>
      <c r="J247" s="219">
        <v>0.156</v>
      </c>
      <c r="K247" s="219">
        <v>8.2000000000000003E-2</v>
      </c>
      <c r="L247" s="167">
        <v>8.4658295628397493</v>
      </c>
      <c r="M247" s="220">
        <v>9.7655349760749992</v>
      </c>
      <c r="N247" s="167">
        <v>15.4318634826331</v>
      </c>
      <c r="O247" s="193">
        <v>0.63281631457309295</v>
      </c>
      <c r="P247" s="167">
        <v>2.1927523372297899</v>
      </c>
      <c r="Q247" s="167">
        <v>3.1773336934017502</v>
      </c>
      <c r="R247" s="167">
        <v>0.87662513020331001</v>
      </c>
      <c r="S247" s="167">
        <v>4.77468719056621</v>
      </c>
      <c r="T247" s="167">
        <v>1.2880032920540601</v>
      </c>
      <c r="U247" s="167">
        <v>0.52320512325913404</v>
      </c>
      <c r="V247" s="167">
        <v>1.71657472062549</v>
      </c>
      <c r="W247" s="167">
        <v>0.88268199529339197</v>
      </c>
      <c r="X247" s="167">
        <v>1.52664301292276E-2</v>
      </c>
      <c r="Y247" s="189">
        <v>9.7808014062042208</v>
      </c>
      <c r="Z247" s="207">
        <v>1059</v>
      </c>
      <c r="AA247" s="207">
        <v>747</v>
      </c>
      <c r="AB247" s="167">
        <v>7396.41</v>
      </c>
      <c r="AC247" s="167"/>
      <c r="AD247" s="195">
        <v>8.6178835324370994E-3</v>
      </c>
      <c r="AE247" s="219">
        <v>6.07890368152078E-3</v>
      </c>
      <c r="AF247" s="167">
        <v>6.9843342776204</v>
      </c>
      <c r="AG247" s="222">
        <v>6.0190179356140697E-2</v>
      </c>
      <c r="AH247" s="223">
        <v>0.47057881033446802</v>
      </c>
      <c r="AI247" s="223">
        <v>0.35621870618866402</v>
      </c>
      <c r="AJ247" s="167">
        <v>0.51555938934279499</v>
      </c>
      <c r="AK247" s="224">
        <v>0.31096806744572097</v>
      </c>
      <c r="AL247" s="224">
        <v>4.7337326258910802E-2</v>
      </c>
      <c r="AM247" s="82">
        <v>0</v>
      </c>
      <c r="AN247" s="260"/>
    </row>
    <row r="248" spans="1:40" ht="16.05" customHeight="1">
      <c r="A248" s="186">
        <v>43589</v>
      </c>
      <c r="B248" s="185" t="s">
        <v>41</v>
      </c>
      <c r="C248" s="188">
        <v>22523</v>
      </c>
      <c r="D248" s="188">
        <v>119248</v>
      </c>
      <c r="E248" s="189">
        <v>5.2944989566221201</v>
      </c>
      <c r="F248" s="167">
        <v>0.822157603523749</v>
      </c>
      <c r="G248" s="190">
        <v>13.62</v>
      </c>
      <c r="H248" s="190">
        <v>20.51</v>
      </c>
      <c r="I248" s="219">
        <v>0.29199999999999998</v>
      </c>
      <c r="J248" s="219">
        <v>0.151</v>
      </c>
      <c r="K248" s="219">
        <v>8.3000000000000004E-2</v>
      </c>
      <c r="L248" s="167">
        <v>10.0857205152288</v>
      </c>
      <c r="M248" s="220">
        <v>12.8361481953576</v>
      </c>
      <c r="N248" s="167">
        <v>19.856848195521899</v>
      </c>
      <c r="O248" s="193">
        <v>0.646434321749631</v>
      </c>
      <c r="P248" s="167">
        <v>2.5958669537918699</v>
      </c>
      <c r="Q248" s="167">
        <v>3.7883402952546499</v>
      </c>
      <c r="R248" s="167">
        <v>1.1130555483486</v>
      </c>
      <c r="S248" s="167">
        <v>7.0691176089043397</v>
      </c>
      <c r="T248" s="167">
        <v>1.5780167605012601</v>
      </c>
      <c r="U248" s="167">
        <v>0.45106763874114603</v>
      </c>
      <c r="V248" s="167">
        <v>2.2603845056170999</v>
      </c>
      <c r="W248" s="167">
        <v>1.0009988843629201</v>
      </c>
      <c r="X248" s="167">
        <v>1.62853884341876E-2</v>
      </c>
      <c r="Y248" s="189">
        <v>12.8524335837918</v>
      </c>
      <c r="Z248" s="207">
        <v>1705</v>
      </c>
      <c r="AA248" s="207">
        <v>1015</v>
      </c>
      <c r="AB248" s="167">
        <v>12680.95</v>
      </c>
      <c r="AC248" s="167"/>
      <c r="AD248" s="195">
        <v>1.4297933717965901E-2</v>
      </c>
      <c r="AE248" s="219">
        <v>8.5116731517509703E-3</v>
      </c>
      <c r="AF248" s="167">
        <v>7.4375073313783</v>
      </c>
      <c r="AG248" s="222">
        <v>0.106340986850933</v>
      </c>
      <c r="AH248" s="223">
        <v>0.478355458864272</v>
      </c>
      <c r="AI248" s="223">
        <v>0.36651422989832599</v>
      </c>
      <c r="AJ248" s="167">
        <v>0.40759593452301102</v>
      </c>
      <c r="AK248" s="224">
        <v>0.26932107876023098</v>
      </c>
      <c r="AL248" s="224">
        <v>3.99419696766403E-2</v>
      </c>
      <c r="AM248" s="82">
        <v>0.34360324701462502</v>
      </c>
      <c r="AN248" s="260"/>
    </row>
    <row r="249" spans="1:40" ht="16.05" customHeight="1">
      <c r="A249" s="186">
        <v>43590</v>
      </c>
      <c r="B249" s="185" t="s">
        <v>41</v>
      </c>
      <c r="C249" s="188">
        <v>23262</v>
      </c>
      <c r="D249" s="188">
        <v>118735</v>
      </c>
      <c r="E249" s="189">
        <v>5.1042472702261197</v>
      </c>
      <c r="F249" s="167">
        <v>0.81834211749694696</v>
      </c>
      <c r="G249" s="190">
        <v>13.93</v>
      </c>
      <c r="H249" s="190">
        <v>20.66</v>
      </c>
      <c r="I249" s="219">
        <v>0.30099999999999999</v>
      </c>
      <c r="J249" s="219">
        <v>0.14899999999999999</v>
      </c>
      <c r="K249" s="219">
        <v>8.8999999999999996E-2</v>
      </c>
      <c r="L249" s="167">
        <v>9.4678233039962905</v>
      </c>
      <c r="M249" s="220">
        <v>12.4976544405609</v>
      </c>
      <c r="N249" s="167">
        <v>19.327268227877799</v>
      </c>
      <c r="O249" s="193">
        <v>0.64663325893797097</v>
      </c>
      <c r="P249" s="167">
        <v>2.5447654275964502</v>
      </c>
      <c r="Q249" s="167">
        <v>3.8798353695068899</v>
      </c>
      <c r="R249" s="167">
        <v>1.1382427257808201</v>
      </c>
      <c r="S249" s="167">
        <v>6.57420094297846</v>
      </c>
      <c r="T249" s="167">
        <v>1.5604079293547599</v>
      </c>
      <c r="U249" s="167">
        <v>0.45386699314907902</v>
      </c>
      <c r="V249" s="167">
        <v>2.16371877360702</v>
      </c>
      <c r="W249" s="167">
        <v>1.0122300659043</v>
      </c>
      <c r="X249" s="167">
        <v>1.79980629132101E-2</v>
      </c>
      <c r="Y249" s="189">
        <v>12.515652503474101</v>
      </c>
      <c r="Z249" s="207">
        <v>1465</v>
      </c>
      <c r="AA249" s="207">
        <v>952</v>
      </c>
      <c r="AB249" s="167">
        <v>12533.35</v>
      </c>
      <c r="AC249" s="167"/>
      <c r="AD249" s="195">
        <v>1.2338400640080901E-2</v>
      </c>
      <c r="AE249" s="219">
        <v>8.0178548869330908E-3</v>
      </c>
      <c r="AF249" s="167">
        <v>8.5551877133105805</v>
      </c>
      <c r="AG249" s="222">
        <v>0.105557333557923</v>
      </c>
      <c r="AH249" s="223">
        <v>0.48095606568652699</v>
      </c>
      <c r="AI249" s="223">
        <v>0.34446737167913299</v>
      </c>
      <c r="AJ249" s="167">
        <v>0.417214806080768</v>
      </c>
      <c r="AK249" s="224">
        <v>0.26833705310144401</v>
      </c>
      <c r="AL249" s="224">
        <v>4.14957678864699E-2</v>
      </c>
      <c r="AM249" s="82">
        <v>0.329641638943867</v>
      </c>
      <c r="AN249" s="260"/>
    </row>
    <row r="250" spans="1:40" ht="16.05" customHeight="1">
      <c r="A250" s="186">
        <v>43591</v>
      </c>
      <c r="B250" s="185" t="s">
        <v>41</v>
      </c>
      <c r="C250" s="188">
        <v>25806</v>
      </c>
      <c r="D250" s="188">
        <v>123524</v>
      </c>
      <c r="E250" s="189">
        <v>4.7866387661784104</v>
      </c>
      <c r="F250" s="167">
        <v>0.73002769910300802</v>
      </c>
      <c r="G250" s="190">
        <v>13.92</v>
      </c>
      <c r="H250" s="190">
        <v>20.34</v>
      </c>
      <c r="I250" s="219">
        <v>0.307</v>
      </c>
      <c r="J250" s="219">
        <v>0.157</v>
      </c>
      <c r="K250" s="219">
        <v>9.0999999999999998E-2</v>
      </c>
      <c r="L250" s="167">
        <v>9.3457951491208195</v>
      </c>
      <c r="M250" s="220">
        <v>11.8973964573686</v>
      </c>
      <c r="N250" s="167">
        <v>18.501768830809102</v>
      </c>
      <c r="O250" s="193">
        <v>0.64304102846410405</v>
      </c>
      <c r="P250" s="167">
        <v>2.49325829965631</v>
      </c>
      <c r="Q250" s="167">
        <v>3.7708703151162601</v>
      </c>
      <c r="R250" s="167">
        <v>1.0668630635394201</v>
      </c>
      <c r="S250" s="167">
        <v>6.1140109025443499</v>
      </c>
      <c r="T250" s="167">
        <v>1.52446777706437</v>
      </c>
      <c r="U250" s="167">
        <v>0.453903387846055</v>
      </c>
      <c r="V250" s="167">
        <v>2.0795281439236599</v>
      </c>
      <c r="W250" s="167">
        <v>0.998866941118707</v>
      </c>
      <c r="X250" s="167">
        <v>1.53087659078398E-2</v>
      </c>
      <c r="Y250" s="189">
        <v>11.912705223276401</v>
      </c>
      <c r="Z250" s="207">
        <v>1312</v>
      </c>
      <c r="AA250" s="207">
        <v>907</v>
      </c>
      <c r="AB250" s="167">
        <v>9812.8799999999992</v>
      </c>
      <c r="AC250" s="167"/>
      <c r="AD250" s="195">
        <v>1.0621417700204E-2</v>
      </c>
      <c r="AE250" s="219">
        <v>7.3427026326867697E-3</v>
      </c>
      <c r="AF250" s="167">
        <v>7.4793292682926804</v>
      </c>
      <c r="AG250" s="222">
        <v>7.9441080275897802E-2</v>
      </c>
      <c r="AH250" s="223">
        <v>0.470626985972254</v>
      </c>
      <c r="AI250" s="223">
        <v>0.33151205146090101</v>
      </c>
      <c r="AJ250" s="167">
        <v>0.42181276513066301</v>
      </c>
      <c r="AK250" s="224">
        <v>0.2704089893462</v>
      </c>
      <c r="AL250" s="224">
        <v>4.2226611832518399E-2</v>
      </c>
      <c r="AM250" s="82">
        <v>0.31555811016482599</v>
      </c>
      <c r="AN250" s="260"/>
    </row>
    <row r="251" spans="1:40" ht="16.05" customHeight="1">
      <c r="A251" s="186">
        <v>43592</v>
      </c>
      <c r="B251" s="185" t="s">
        <v>41</v>
      </c>
      <c r="C251" s="188">
        <v>27470</v>
      </c>
      <c r="D251" s="188">
        <v>122895</v>
      </c>
      <c r="E251" s="189">
        <v>4.4737895886421599</v>
      </c>
      <c r="F251" s="167">
        <v>0.72355618130111099</v>
      </c>
      <c r="G251" s="190">
        <v>15.13</v>
      </c>
      <c r="H251" s="190">
        <v>21.62</v>
      </c>
      <c r="I251" s="219">
        <v>0.30599999999999999</v>
      </c>
      <c r="J251" s="219">
        <v>0.159</v>
      </c>
      <c r="K251" s="219">
        <v>8.7999999999999995E-2</v>
      </c>
      <c r="L251" s="167">
        <v>9.2560966678872205</v>
      </c>
      <c r="M251" s="220">
        <v>11.151544000976401</v>
      </c>
      <c r="N251" s="167">
        <v>17.444204014612499</v>
      </c>
      <c r="O251" s="193">
        <v>0.63926929492656304</v>
      </c>
      <c r="P251" s="167">
        <v>2.39970469559462</v>
      </c>
      <c r="Q251" s="167">
        <v>3.5263164594020102</v>
      </c>
      <c r="R251" s="167">
        <v>1.0217277853442499</v>
      </c>
      <c r="S251" s="167">
        <v>5.5962985120221997</v>
      </c>
      <c r="T251" s="167">
        <v>1.45299950358311</v>
      </c>
      <c r="U251" s="167">
        <v>0.497727938087904</v>
      </c>
      <c r="V251" s="167">
        <v>1.9832618408156499</v>
      </c>
      <c r="W251" s="167">
        <v>0.96616727976273797</v>
      </c>
      <c r="X251" s="167">
        <v>2.0074046950648902E-2</v>
      </c>
      <c r="Y251" s="189">
        <v>11.171618047927099</v>
      </c>
      <c r="Z251" s="207">
        <v>1258</v>
      </c>
      <c r="AA251" s="207">
        <v>879</v>
      </c>
      <c r="AB251" s="167">
        <v>8872.42</v>
      </c>
      <c r="AC251" s="167"/>
      <c r="AD251" s="195">
        <v>1.0236380650148501E-2</v>
      </c>
      <c r="AE251" s="219">
        <v>7.1524472110338104E-3</v>
      </c>
      <c r="AF251" s="167">
        <v>7.0527980922098603</v>
      </c>
      <c r="AG251" s="222">
        <v>7.2195125920501202E-2</v>
      </c>
      <c r="AH251" s="223">
        <v>0.459628685839097</v>
      </c>
      <c r="AI251" s="223">
        <v>0.32631962140516901</v>
      </c>
      <c r="AJ251" s="167">
        <v>0.46153220228650499</v>
      </c>
      <c r="AK251" s="224">
        <v>0.282501322266976</v>
      </c>
      <c r="AL251" s="224">
        <v>4.7259855974612498E-2</v>
      </c>
      <c r="AM251" s="82">
        <v>0.25509581349932903</v>
      </c>
      <c r="AN251" s="260"/>
    </row>
    <row r="252" spans="1:40" s="166" customFormat="1" ht="16.05" customHeight="1">
      <c r="A252" s="196">
        <v>43593</v>
      </c>
      <c r="B252" s="197" t="s">
        <v>41</v>
      </c>
      <c r="C252" s="198">
        <v>30252</v>
      </c>
      <c r="D252" s="198">
        <v>123753</v>
      </c>
      <c r="E252" s="200">
        <v>4.0907378024593397</v>
      </c>
      <c r="F252" s="166">
        <v>0.61581680444110398</v>
      </c>
      <c r="G252" s="217">
        <v>16</v>
      </c>
      <c r="H252" s="217">
        <v>22.88</v>
      </c>
      <c r="I252" s="203">
        <v>0.3</v>
      </c>
      <c r="J252" s="203">
        <v>0.151</v>
      </c>
      <c r="K252" s="203">
        <v>8.1000000000000003E-2</v>
      </c>
      <c r="L252" s="166">
        <v>8.4185272276227607</v>
      </c>
      <c r="M252" s="204">
        <v>9.6625536350633894</v>
      </c>
      <c r="N252" s="166">
        <v>15.552910878726401</v>
      </c>
      <c r="O252" s="205">
        <v>0.621269787399093</v>
      </c>
      <c r="P252" s="166">
        <v>2.2284870714322902</v>
      </c>
      <c r="Q252" s="166">
        <v>3.1173326049633201</v>
      </c>
      <c r="R252" s="166">
        <v>0.89110868321107095</v>
      </c>
      <c r="S252" s="166">
        <v>4.86000988502159</v>
      </c>
      <c r="T252" s="166">
        <v>1.3102856250975501</v>
      </c>
      <c r="U252" s="166">
        <v>0.52965506477290503</v>
      </c>
      <c r="V252" s="166">
        <v>1.73652515477863</v>
      </c>
      <c r="W252" s="166">
        <v>0.87950678944904004</v>
      </c>
      <c r="X252" s="166">
        <v>1.72359457952534E-2</v>
      </c>
      <c r="Y252" s="200">
        <v>9.6797895808586496</v>
      </c>
      <c r="Z252" s="206">
        <v>990</v>
      </c>
      <c r="AA252" s="206">
        <v>704</v>
      </c>
      <c r="AB252" s="166">
        <v>5659.1</v>
      </c>
      <c r="AD252" s="210">
        <v>7.9998060653075093E-3</v>
      </c>
      <c r="AE252" s="203">
        <v>5.6887509797742299E-3</v>
      </c>
      <c r="AF252" s="166">
        <v>5.7162626262626199</v>
      </c>
      <c r="AG252" s="211">
        <v>4.5728992428466397E-2</v>
      </c>
      <c r="AH252" s="212">
        <v>0.43626867645114398</v>
      </c>
      <c r="AI252" s="212">
        <v>0.29872405130239299</v>
      </c>
      <c r="AJ252" s="166">
        <v>0.50329284946627595</v>
      </c>
      <c r="AK252" s="213">
        <v>0.29600090502856502</v>
      </c>
      <c r="AL252" s="213">
        <v>4.8879623120247601E-2</v>
      </c>
      <c r="AM252" s="214">
        <v>0</v>
      </c>
      <c r="AN252" s="261">
        <v>8.7449999999999992</v>
      </c>
    </row>
    <row r="253" spans="1:40" s="167" customFormat="1" ht="16.05" customHeight="1">
      <c r="A253" s="186">
        <v>43594</v>
      </c>
      <c r="B253" s="187" t="s">
        <v>41</v>
      </c>
      <c r="C253" s="188">
        <v>25882</v>
      </c>
      <c r="D253" s="188">
        <v>119296</v>
      </c>
      <c r="E253" s="189">
        <v>4.60922648945213</v>
      </c>
      <c r="F253" s="167">
        <v>0.61613696657893002</v>
      </c>
      <c r="G253" s="190">
        <v>15.55</v>
      </c>
      <c r="H253" s="190">
        <v>22.09</v>
      </c>
      <c r="I253" s="219">
        <v>0.29799999999999999</v>
      </c>
      <c r="J253" s="219">
        <v>0.155</v>
      </c>
      <c r="K253" s="219">
        <v>8.3000000000000004E-2</v>
      </c>
      <c r="L253" s="167">
        <v>8.4336691925965699</v>
      </c>
      <c r="M253" s="220">
        <v>9.7357078192060094</v>
      </c>
      <c r="N253" s="167">
        <v>15.448053416330801</v>
      </c>
      <c r="O253" s="193">
        <v>0.63022230418454905</v>
      </c>
      <c r="P253" s="167">
        <v>2.2186132503358502</v>
      </c>
      <c r="Q253" s="167">
        <v>3.1477195642632001</v>
      </c>
      <c r="R253" s="167">
        <v>0.88248673237301001</v>
      </c>
      <c r="S253" s="167">
        <v>4.7530691778726597</v>
      </c>
      <c r="T253" s="167">
        <v>1.31346181982629</v>
      </c>
      <c r="U253" s="167">
        <v>0.52832422223108899</v>
      </c>
      <c r="V253" s="167">
        <v>1.72557626059082</v>
      </c>
      <c r="W253" s="167">
        <v>0.87880238883790196</v>
      </c>
      <c r="X253" s="167">
        <v>1.70667918454936E-2</v>
      </c>
      <c r="Y253" s="189">
        <v>9.7527746110514997</v>
      </c>
      <c r="Z253" s="207">
        <v>1002</v>
      </c>
      <c r="AA253" s="207">
        <v>754</v>
      </c>
      <c r="AB253" s="167">
        <v>6018.98</v>
      </c>
      <c r="AD253" s="195">
        <v>8.3992757510729602E-3</v>
      </c>
      <c r="AE253" s="219">
        <v>6.3204130901287599E-3</v>
      </c>
      <c r="AF253" s="167">
        <v>6.00696606786427</v>
      </c>
      <c r="AG253" s="222">
        <v>5.0454164431330502E-2</v>
      </c>
      <c r="AH253" s="223">
        <v>0.470867784560699</v>
      </c>
      <c r="AI253" s="223">
        <v>0.35008886484815699</v>
      </c>
      <c r="AJ253" s="167">
        <v>0.50962312231759699</v>
      </c>
      <c r="AK253" s="224">
        <v>0.30496412285407698</v>
      </c>
      <c r="AL253" s="224">
        <v>4.92472505364807E-2</v>
      </c>
      <c r="AM253" s="82">
        <v>0</v>
      </c>
      <c r="AN253" s="261">
        <v>8.1999999999999993</v>
      </c>
    </row>
    <row r="254" spans="1:40" ht="16.05" customHeight="1">
      <c r="A254" s="186">
        <v>43595</v>
      </c>
      <c r="B254" s="187" t="s">
        <v>41</v>
      </c>
      <c r="C254" s="188">
        <v>22871</v>
      </c>
      <c r="D254" s="188">
        <v>115341</v>
      </c>
      <c r="E254" s="189">
        <v>5.0431113637357399</v>
      </c>
      <c r="F254" s="167">
        <v>0.60998966889484196</v>
      </c>
      <c r="G254" s="190">
        <v>15</v>
      </c>
      <c r="H254" s="190">
        <v>20.92</v>
      </c>
      <c r="I254" s="219">
        <v>0.28899999999999998</v>
      </c>
      <c r="J254" s="219">
        <v>0.152</v>
      </c>
      <c r="K254" s="219">
        <v>0.08</v>
      </c>
      <c r="L254" s="167">
        <v>8.1904093080517804</v>
      </c>
      <c r="M254" s="220">
        <v>9.5349875586304993</v>
      </c>
      <c r="N254" s="167">
        <v>15.2167446107867</v>
      </c>
      <c r="O254" s="193">
        <v>0.62661152582342805</v>
      </c>
      <c r="P254" s="167">
        <v>2.2102139081827499</v>
      </c>
      <c r="Q254" s="167">
        <v>3.0905719899272199</v>
      </c>
      <c r="R254" s="167">
        <v>0.85683648338268203</v>
      </c>
      <c r="S254" s="167">
        <v>4.6534853474278401</v>
      </c>
      <c r="T254" s="167">
        <v>1.3074549630572501</v>
      </c>
      <c r="U254" s="167">
        <v>0.518416027893848</v>
      </c>
      <c r="V254" s="167">
        <v>1.70026565569914</v>
      </c>
      <c r="W254" s="167">
        <v>0.87950023521598397</v>
      </c>
      <c r="X254" s="167">
        <v>1.77213653427662E-2</v>
      </c>
      <c r="Y254" s="189">
        <v>9.5527089239732597</v>
      </c>
      <c r="Z254" s="207">
        <v>1011</v>
      </c>
      <c r="AA254" s="207">
        <v>727</v>
      </c>
      <c r="AB254" s="167">
        <v>6890.89</v>
      </c>
      <c r="AC254" s="167"/>
      <c r="AD254" s="195">
        <v>8.7653132884230201E-3</v>
      </c>
      <c r="AE254" s="219">
        <v>6.3030492192715504E-3</v>
      </c>
      <c r="AF254" s="167">
        <v>6.8159149357072204</v>
      </c>
      <c r="AG254" s="222">
        <v>5.97436297587155E-2</v>
      </c>
      <c r="AH254" s="223">
        <v>0.46036465392855602</v>
      </c>
      <c r="AI254" s="223">
        <v>0.33662716977832202</v>
      </c>
      <c r="AJ254" s="167">
        <v>0.49424749221872499</v>
      </c>
      <c r="AK254" s="224">
        <v>0.30885808168821099</v>
      </c>
      <c r="AL254" s="224">
        <v>4.9271291214745799E-2</v>
      </c>
      <c r="AM254" s="82">
        <v>0</v>
      </c>
      <c r="AN254" s="261">
        <v>7.4779999999999998</v>
      </c>
    </row>
    <row r="255" spans="1:40" ht="16.05" customHeight="1">
      <c r="A255" s="186">
        <v>43596</v>
      </c>
      <c r="B255" s="185" t="s">
        <v>41</v>
      </c>
      <c r="C255" s="188">
        <v>19264</v>
      </c>
      <c r="D255" s="188">
        <v>109077</v>
      </c>
      <c r="E255" s="189">
        <v>5.6622196843853798</v>
      </c>
      <c r="F255" s="167">
        <v>0.872237465276823</v>
      </c>
      <c r="G255" s="190">
        <v>15</v>
      </c>
      <c r="H255" s="190">
        <v>20.350000000000001</v>
      </c>
      <c r="I255" s="219">
        <v>0.28899999999999998</v>
      </c>
      <c r="J255" s="219">
        <v>0.14299999999999999</v>
      </c>
      <c r="K255" s="219">
        <v>8.1000000000000003E-2</v>
      </c>
      <c r="L255" s="167">
        <v>9.8474013770089002</v>
      </c>
      <c r="M255" s="220">
        <v>12.713936026843401</v>
      </c>
      <c r="N255" s="167">
        <v>19.7628398791541</v>
      </c>
      <c r="O255" s="193">
        <v>0.64332535731639096</v>
      </c>
      <c r="P255" s="167">
        <v>2.5961352106253202</v>
      </c>
      <c r="Q255" s="167">
        <v>3.6974149233312401</v>
      </c>
      <c r="R255" s="167">
        <v>1.1445448326968</v>
      </c>
      <c r="S255" s="167">
        <v>7.0979878014022697</v>
      </c>
      <c r="T255" s="167">
        <v>1.59300005700279</v>
      </c>
      <c r="U255" s="167">
        <v>0.437482186627145</v>
      </c>
      <c r="V255" s="167">
        <v>2.2144730091774498</v>
      </c>
      <c r="W255" s="167">
        <v>0.98180185829105604</v>
      </c>
      <c r="X255" s="167">
        <v>1.7565572943883698E-2</v>
      </c>
      <c r="Y255" s="189">
        <v>12.7315015997873</v>
      </c>
      <c r="Z255" s="207">
        <v>1450</v>
      </c>
      <c r="AA255" s="207">
        <v>928</v>
      </c>
      <c r="AB255" s="167">
        <v>11469.5</v>
      </c>
      <c r="AC255" s="167"/>
      <c r="AD255" s="195">
        <v>1.32933615702669E-2</v>
      </c>
      <c r="AE255" s="219">
        <v>8.5077514049708008E-3</v>
      </c>
      <c r="AF255" s="167">
        <v>7.91</v>
      </c>
      <c r="AG255" s="222">
        <v>0.105150490020811</v>
      </c>
      <c r="AH255" s="223">
        <v>0.46631021594684402</v>
      </c>
      <c r="AI255" s="223">
        <v>0.36067275747508298</v>
      </c>
      <c r="AJ255" s="167">
        <v>0.40210126791165901</v>
      </c>
      <c r="AK255" s="224">
        <v>0.27039614217479402</v>
      </c>
      <c r="AL255" s="224">
        <v>4.2997148803139103E-2</v>
      </c>
      <c r="AM255" s="82">
        <v>0.347589317637999</v>
      </c>
      <c r="AN255" s="261">
        <v>8.52</v>
      </c>
    </row>
    <row r="256" spans="1:40" ht="16.05" customHeight="1">
      <c r="A256" s="186">
        <v>43597</v>
      </c>
      <c r="B256" s="185" t="s">
        <v>41</v>
      </c>
      <c r="C256" s="188">
        <v>21309</v>
      </c>
      <c r="D256" s="188">
        <v>110634</v>
      </c>
      <c r="E256" s="189">
        <v>5.1918907503871603</v>
      </c>
      <c r="F256" s="167">
        <v>0.73689277908238004</v>
      </c>
      <c r="G256" s="190">
        <v>13.29</v>
      </c>
      <c r="H256" s="190">
        <v>20.07</v>
      </c>
      <c r="I256" s="219">
        <v>0.29499999999999998</v>
      </c>
      <c r="J256" s="219">
        <v>0.14599999999999999</v>
      </c>
      <c r="K256" s="219">
        <v>8.7999999999999995E-2</v>
      </c>
      <c r="L256" s="167">
        <v>9.3791149194641807</v>
      </c>
      <c r="M256" s="220">
        <v>12.4821754614314</v>
      </c>
      <c r="N256" s="167">
        <v>19.517666845690702</v>
      </c>
      <c r="O256" s="193">
        <v>0.63953215105663697</v>
      </c>
      <c r="P256" s="167">
        <v>2.56331797495548</v>
      </c>
      <c r="Q256" s="167">
        <v>3.8817169347316001</v>
      </c>
      <c r="R256" s="167">
        <v>1.1469740226701</v>
      </c>
      <c r="S256" s="167">
        <v>6.7165813946914703</v>
      </c>
      <c r="T256" s="167">
        <v>1.5914577267716301</v>
      </c>
      <c r="U256" s="167">
        <v>0.45273765440823099</v>
      </c>
      <c r="V256" s="167">
        <v>2.1547898352036601</v>
      </c>
      <c r="W256" s="167">
        <v>1.0100913022585301</v>
      </c>
      <c r="X256" s="167">
        <v>1.5908310284360998E-2</v>
      </c>
      <c r="Y256" s="189">
        <v>12.498083771715701</v>
      </c>
      <c r="Z256" s="207">
        <v>1200</v>
      </c>
      <c r="AA256" s="207">
        <v>816</v>
      </c>
      <c r="AB256" s="167">
        <v>9074</v>
      </c>
      <c r="AC256" s="167"/>
      <c r="AD256" s="195">
        <v>1.0846575193882499E-2</v>
      </c>
      <c r="AE256" s="219">
        <v>7.3756711318401199E-3</v>
      </c>
      <c r="AF256" s="167">
        <v>7.5616666666666701</v>
      </c>
      <c r="AG256" s="222">
        <v>8.2018186091075099E-2</v>
      </c>
      <c r="AH256" s="223">
        <v>0.47820169881270802</v>
      </c>
      <c r="AI256" s="223">
        <v>0.34525317940776201</v>
      </c>
      <c r="AJ256" s="167">
        <v>0.414420521720267</v>
      </c>
      <c r="AK256" s="224">
        <v>0.26651843013901699</v>
      </c>
      <c r="AL256" s="224">
        <v>4.2907243704467003E-2</v>
      </c>
      <c r="AM256" s="82">
        <v>0.33859392230236601</v>
      </c>
      <c r="AN256" s="261">
        <v>8.9060000000000006</v>
      </c>
    </row>
    <row r="257" spans="1:40" ht="16.05" customHeight="1">
      <c r="A257" s="186">
        <v>43598</v>
      </c>
      <c r="B257" s="185" t="s">
        <v>41</v>
      </c>
      <c r="C257" s="188">
        <v>22442</v>
      </c>
      <c r="D257" s="188">
        <v>114170</v>
      </c>
      <c r="E257" s="189">
        <v>5.08733624454148</v>
      </c>
      <c r="F257" s="167">
        <v>0.71170660510642003</v>
      </c>
      <c r="G257" s="190">
        <v>13.33</v>
      </c>
      <c r="H257" s="190">
        <v>19.440000000000001</v>
      </c>
      <c r="I257" s="219">
        <v>0.315</v>
      </c>
      <c r="J257" s="219">
        <v>0.16700000000000001</v>
      </c>
      <c r="K257" s="219">
        <v>0.1</v>
      </c>
      <c r="L257" s="167">
        <v>9.4591048436542007</v>
      </c>
      <c r="M257" s="220">
        <v>12.124419724971499</v>
      </c>
      <c r="N257" s="167">
        <v>18.819950511203</v>
      </c>
      <c r="O257" s="193">
        <v>0.64423228518875397</v>
      </c>
      <c r="P257" s="167">
        <v>2.5377963889493098</v>
      </c>
      <c r="Q257" s="167">
        <v>3.8511801174679099</v>
      </c>
      <c r="R257" s="167">
        <v>1.0946813139003699</v>
      </c>
      <c r="S257" s="167">
        <v>6.2252012181857701</v>
      </c>
      <c r="T257" s="167">
        <v>1.5744779203828601</v>
      </c>
      <c r="U257" s="167">
        <v>0.45669730258864499</v>
      </c>
      <c r="V257" s="167">
        <v>2.0908880791820801</v>
      </c>
      <c r="W257" s="167">
        <v>0.989028170546008</v>
      </c>
      <c r="X257" s="167">
        <v>1.49689060173426E-2</v>
      </c>
      <c r="Y257" s="189">
        <v>12.139388630988901</v>
      </c>
      <c r="Z257" s="207">
        <v>1242</v>
      </c>
      <c r="AA257" s="207">
        <v>840</v>
      </c>
      <c r="AB257" s="167">
        <v>8815.58</v>
      </c>
      <c r="AC257" s="167"/>
      <c r="AD257" s="195">
        <v>1.08785144959271E-2</v>
      </c>
      <c r="AE257" s="219">
        <v>7.3574494175352497E-3</v>
      </c>
      <c r="AF257" s="167">
        <v>7.0978904991948504</v>
      </c>
      <c r="AG257" s="222">
        <v>7.7214504685994598E-2</v>
      </c>
      <c r="AH257" s="223">
        <v>0.48854825773103999</v>
      </c>
      <c r="AI257" s="223">
        <v>0.35014704571784999</v>
      </c>
      <c r="AJ257" s="167">
        <v>0.43338004729788898</v>
      </c>
      <c r="AK257" s="224">
        <v>0.27332924586143498</v>
      </c>
      <c r="AL257" s="224">
        <v>4.4854164841902397E-2</v>
      </c>
      <c r="AM257" s="82">
        <v>0.32873784707015902</v>
      </c>
      <c r="AN257" s="261">
        <v>9.0190000000000001</v>
      </c>
    </row>
    <row r="258" spans="1:40" ht="16.05" customHeight="1">
      <c r="A258" s="186">
        <v>43599</v>
      </c>
      <c r="B258" s="185" t="s">
        <v>41</v>
      </c>
      <c r="C258" s="188">
        <v>20940</v>
      </c>
      <c r="D258" s="188">
        <v>110223</v>
      </c>
      <c r="E258" s="189">
        <v>5.2637535816618897</v>
      </c>
      <c r="F258" s="167">
        <v>0.69656422005389096</v>
      </c>
      <c r="G258" s="190">
        <v>14.09</v>
      </c>
      <c r="H258" s="190">
        <v>20.21</v>
      </c>
      <c r="I258" s="219">
        <v>0.318</v>
      </c>
      <c r="J258" s="219">
        <v>0.16900000000000001</v>
      </c>
      <c r="K258" s="219">
        <v>9.2999999999999999E-2</v>
      </c>
      <c r="L258" s="167">
        <v>9.2736089563884097</v>
      </c>
      <c r="M258" s="220">
        <v>11.4503415802509</v>
      </c>
      <c r="N258" s="167">
        <v>17.786451140111101</v>
      </c>
      <c r="O258" s="193">
        <v>0.64376763470419096</v>
      </c>
      <c r="P258" s="167">
        <v>2.4014769300149399</v>
      </c>
      <c r="Q258" s="167">
        <v>3.64719975196595</v>
      </c>
      <c r="R258" s="167">
        <v>1.03337185377265</v>
      </c>
      <c r="S258" s="167">
        <v>5.7835480143183302</v>
      </c>
      <c r="T258" s="167">
        <v>1.4785365991149699</v>
      </c>
      <c r="U258" s="167">
        <v>0.487880154457566</v>
      </c>
      <c r="V258" s="167">
        <v>1.9965331604611201</v>
      </c>
      <c r="W258" s="167">
        <v>0.95790467600552398</v>
      </c>
      <c r="X258" s="167">
        <v>1.3772080237337E-2</v>
      </c>
      <c r="Y258" s="189">
        <v>11.4641136604883</v>
      </c>
      <c r="Z258" s="207">
        <v>1112</v>
      </c>
      <c r="AA258" s="207">
        <v>795</v>
      </c>
      <c r="AB258" s="167">
        <v>7832.88</v>
      </c>
      <c r="AC258" s="167"/>
      <c r="AD258" s="195">
        <v>1.008863848743E-2</v>
      </c>
      <c r="AE258" s="219">
        <v>7.2126507171824403E-3</v>
      </c>
      <c r="AF258" s="167">
        <v>7.0439568345323798</v>
      </c>
      <c r="AG258" s="222">
        <v>7.1063934024659103E-2</v>
      </c>
      <c r="AH258" s="223">
        <v>0.47244508118433598</v>
      </c>
      <c r="AI258" s="223">
        <v>0.35324737344794599</v>
      </c>
      <c r="AJ258" s="167">
        <v>0.46858641118459798</v>
      </c>
      <c r="AK258" s="224">
        <v>0.29031145949574999</v>
      </c>
      <c r="AL258" s="224">
        <v>5.16044745651996E-2</v>
      </c>
      <c r="AM258" s="82">
        <v>0.273010170291137</v>
      </c>
      <c r="AN258" s="261">
        <v>7.7910000000000004</v>
      </c>
    </row>
    <row r="259" spans="1:40" s="166" customFormat="1" ht="16.05" customHeight="1">
      <c r="A259" s="196">
        <v>43600</v>
      </c>
      <c r="B259" s="197" t="s">
        <v>41</v>
      </c>
      <c r="C259" s="198">
        <v>21561</v>
      </c>
      <c r="D259" s="198">
        <v>108660</v>
      </c>
      <c r="E259" s="200">
        <v>5.0396549325170401</v>
      </c>
      <c r="F259" s="166">
        <v>0.61230423202650497</v>
      </c>
      <c r="G259" s="217">
        <v>15.28</v>
      </c>
      <c r="H259" s="217">
        <v>21.8</v>
      </c>
      <c r="I259" s="203">
        <v>0.30499999999999999</v>
      </c>
      <c r="J259" s="203">
        <v>0.156</v>
      </c>
      <c r="K259" s="203">
        <v>8.5999999999999993E-2</v>
      </c>
      <c r="L259" s="166">
        <v>8.4433830296337202</v>
      </c>
      <c r="M259" s="204">
        <v>9.8382385422418608</v>
      </c>
      <c r="N259" s="166">
        <v>15.7038370009108</v>
      </c>
      <c r="O259" s="205">
        <v>0.62648628750230095</v>
      </c>
      <c r="P259" s="166">
        <v>2.2566471780709199</v>
      </c>
      <c r="Q259" s="166">
        <v>3.12295443194171</v>
      </c>
      <c r="R259" s="166">
        <v>0.90411904691952905</v>
      </c>
      <c r="S259" s="166">
        <v>4.9165320092840101</v>
      </c>
      <c r="T259" s="166">
        <v>1.34613802626553</v>
      </c>
      <c r="U259" s="166">
        <v>0.51997825895349203</v>
      </c>
      <c r="V259" s="166">
        <v>1.7450127802097699</v>
      </c>
      <c r="W259" s="166">
        <v>0.89245526926579899</v>
      </c>
      <c r="X259" s="166">
        <v>1.36480765691147E-2</v>
      </c>
      <c r="Y259" s="200">
        <v>9.8518866188109708</v>
      </c>
      <c r="Z259" s="206">
        <v>909</v>
      </c>
      <c r="AA259" s="206">
        <v>629</v>
      </c>
      <c r="AB259" s="166">
        <v>5466.91</v>
      </c>
      <c r="AD259" s="210">
        <v>8.3655438983986693E-3</v>
      </c>
      <c r="AE259" s="203">
        <v>5.7886986931713598E-3</v>
      </c>
      <c r="AF259" s="166">
        <v>6.0142024202420199</v>
      </c>
      <c r="AG259" s="211">
        <v>5.0312074360390202E-2</v>
      </c>
      <c r="AH259" s="212">
        <v>0.45916237651314901</v>
      </c>
      <c r="AI259" s="212">
        <v>0.33282315291498499</v>
      </c>
      <c r="AJ259" s="166">
        <v>0.52238174121111702</v>
      </c>
      <c r="AK259" s="213">
        <v>0.31190870605558602</v>
      </c>
      <c r="AL259" s="213">
        <v>5.4353027793116099E-2</v>
      </c>
      <c r="AM259" s="214">
        <v>0</v>
      </c>
      <c r="AN259" s="261">
        <v>8.4809999999999999</v>
      </c>
    </row>
    <row r="260" spans="1:40" ht="16.05" customHeight="1">
      <c r="A260" s="186">
        <v>43601</v>
      </c>
      <c r="B260" s="187" t="s">
        <v>41</v>
      </c>
      <c r="C260" s="188">
        <v>17554</v>
      </c>
      <c r="D260" s="188">
        <v>102267</v>
      </c>
      <c r="E260" s="189">
        <v>5.82585165774183</v>
      </c>
      <c r="F260" s="167">
        <v>0.62218464407873497</v>
      </c>
      <c r="G260" s="190">
        <v>15.78</v>
      </c>
      <c r="H260" s="190">
        <v>22.55</v>
      </c>
      <c r="I260" s="219">
        <v>0.311</v>
      </c>
      <c r="J260" s="219">
        <v>0.157</v>
      </c>
      <c r="K260" s="219">
        <v>8.5999999999999993E-2</v>
      </c>
      <c r="L260" s="167">
        <v>8.1568736738146193</v>
      </c>
      <c r="M260" s="220">
        <v>9.6815590561960398</v>
      </c>
      <c r="N260" s="167">
        <v>15.2565449866712</v>
      </c>
      <c r="O260" s="193">
        <v>0.63458398114738901</v>
      </c>
      <c r="P260" s="167">
        <v>2.22540333143289</v>
      </c>
      <c r="Q260" s="167">
        <v>3.07678321031789</v>
      </c>
      <c r="R260" s="167">
        <v>0.87997904371542601</v>
      </c>
      <c r="S260" s="167">
        <v>4.6455768371419301</v>
      </c>
      <c r="T260" s="167">
        <v>1.3447771083409099</v>
      </c>
      <c r="U260" s="167">
        <v>0.51443055919379899</v>
      </c>
      <c r="V260" s="167">
        <v>1.69229702451577</v>
      </c>
      <c r="W260" s="167">
        <v>0.87729787201257403</v>
      </c>
      <c r="X260" s="167">
        <v>1.42959116821653E-2</v>
      </c>
      <c r="Y260" s="189">
        <v>9.6958549678781996</v>
      </c>
      <c r="Z260" s="207">
        <v>877</v>
      </c>
      <c r="AA260" s="207">
        <v>632</v>
      </c>
      <c r="AB260" s="167">
        <v>5225.2299999999996</v>
      </c>
      <c r="AC260" s="167"/>
      <c r="AD260" s="195">
        <v>8.5755913442263892E-3</v>
      </c>
      <c r="AE260" s="219">
        <v>6.17990163004684E-3</v>
      </c>
      <c r="AF260" s="167">
        <v>5.95807297605473</v>
      </c>
      <c r="AG260" s="222">
        <v>5.1093999041724097E-2</v>
      </c>
      <c r="AH260" s="223">
        <v>0.48997379514640499</v>
      </c>
      <c r="AI260" s="223">
        <v>0.37723595761649797</v>
      </c>
      <c r="AJ260" s="167">
        <v>0.51269715548515205</v>
      </c>
      <c r="AK260" s="224">
        <v>0.32245005720320302</v>
      </c>
      <c r="AL260" s="224">
        <v>5.55897796943296E-2</v>
      </c>
      <c r="AM260" s="82">
        <v>0</v>
      </c>
      <c r="AN260" s="261">
        <v>7.7629999999999999</v>
      </c>
    </row>
    <row r="261" spans="1:40" ht="16.05" customHeight="1">
      <c r="A261" s="186">
        <v>43602</v>
      </c>
      <c r="B261" s="187" t="s">
        <v>41</v>
      </c>
      <c r="C261" s="188">
        <v>16396</v>
      </c>
      <c r="D261" s="188">
        <v>99152</v>
      </c>
      <c r="E261" s="189">
        <v>6.0473286167357898</v>
      </c>
      <c r="F261" s="167">
        <v>0.60653016143900296</v>
      </c>
      <c r="G261" s="190">
        <v>14.83</v>
      </c>
      <c r="H261" s="190">
        <v>20.61</v>
      </c>
      <c r="I261" s="219">
        <v>0.30199999999999999</v>
      </c>
      <c r="J261" s="219">
        <v>0.161</v>
      </c>
      <c r="K261" s="219">
        <v>8.4000000000000005E-2</v>
      </c>
      <c r="L261" s="167">
        <v>7.9665967403582396</v>
      </c>
      <c r="M261" s="220">
        <v>9.4839539293206396</v>
      </c>
      <c r="N261" s="167">
        <v>15.145487050637801</v>
      </c>
      <c r="O261" s="193">
        <v>0.62619009197998998</v>
      </c>
      <c r="P261" s="167">
        <v>2.22746746553279</v>
      </c>
      <c r="Q261" s="167">
        <v>3.0533758536271098</v>
      </c>
      <c r="R261" s="167">
        <v>0.86490143022806298</v>
      </c>
      <c r="S261" s="167">
        <v>4.5795967014560004</v>
      </c>
      <c r="T261" s="167">
        <v>1.3385839453678601</v>
      </c>
      <c r="U261" s="167">
        <v>0.51480157196237597</v>
      </c>
      <c r="V261" s="167">
        <v>1.69572220074733</v>
      </c>
      <c r="W261" s="167">
        <v>0.87103788171627405</v>
      </c>
      <c r="X261" s="167">
        <v>1.8022833629175401E-2</v>
      </c>
      <c r="Y261" s="189">
        <v>9.5019767629498109</v>
      </c>
      <c r="Z261" s="207">
        <v>899</v>
      </c>
      <c r="AA261" s="207">
        <v>632</v>
      </c>
      <c r="AB261" s="167">
        <v>6112.01</v>
      </c>
      <c r="AC261" s="167"/>
      <c r="AD261" s="195">
        <v>9.0668872034855592E-3</v>
      </c>
      <c r="AE261" s="219">
        <v>6.3740519606261103E-3</v>
      </c>
      <c r="AF261" s="167">
        <v>6.7986763070077902</v>
      </c>
      <c r="AG261" s="222">
        <v>6.1642831208649301E-2</v>
      </c>
      <c r="AH261" s="223">
        <v>0.46743108075140299</v>
      </c>
      <c r="AI261" s="223">
        <v>0.34392534764576699</v>
      </c>
      <c r="AJ261" s="167">
        <v>0.49930409875746301</v>
      </c>
      <c r="AK261" s="224">
        <v>0.32307971599160901</v>
      </c>
      <c r="AL261" s="224">
        <v>5.4703888978538E-2</v>
      </c>
      <c r="AM261" s="82">
        <v>0</v>
      </c>
      <c r="AN261" s="261">
        <v>8.4120000000000008</v>
      </c>
    </row>
    <row r="262" spans="1:40" ht="16.05" customHeight="1">
      <c r="A262" s="186">
        <v>43603</v>
      </c>
      <c r="B262" s="185" t="s">
        <v>41</v>
      </c>
      <c r="C262" s="188">
        <v>20839</v>
      </c>
      <c r="D262" s="188">
        <v>101167</v>
      </c>
      <c r="E262" s="189">
        <v>4.8546955228177904</v>
      </c>
      <c r="F262" s="167">
        <v>0.74044556920735005</v>
      </c>
      <c r="G262" s="190">
        <v>12.61</v>
      </c>
      <c r="H262" s="190">
        <v>18.23</v>
      </c>
      <c r="I262" s="219">
        <v>0.26400000000000001</v>
      </c>
      <c r="J262" s="219">
        <v>0.128</v>
      </c>
      <c r="K262" s="219">
        <v>7.1999999999999995E-2</v>
      </c>
      <c r="L262" s="167">
        <v>9.4309606887621396</v>
      </c>
      <c r="M262" s="220">
        <v>12.2372413929443</v>
      </c>
      <c r="N262" s="167">
        <v>19.529665094414</v>
      </c>
      <c r="O262" s="193">
        <v>0.62659760593869496</v>
      </c>
      <c r="P262" s="167">
        <v>2.6618920666971602</v>
      </c>
      <c r="Q262" s="167">
        <v>3.6198040731334098</v>
      </c>
      <c r="R262" s="167">
        <v>1.08963417519837</v>
      </c>
      <c r="S262" s="167">
        <v>6.9156978119922403</v>
      </c>
      <c r="T262" s="167">
        <v>1.63392279661151</v>
      </c>
      <c r="U262" s="167">
        <v>0.43622911769809603</v>
      </c>
      <c r="V262" s="167">
        <v>2.1934343992049299</v>
      </c>
      <c r="W262" s="167">
        <v>0.97905065387831103</v>
      </c>
      <c r="X262" s="167">
        <v>1.71103225360048E-2</v>
      </c>
      <c r="Y262" s="189">
        <v>12.254351715480301</v>
      </c>
      <c r="Z262" s="207">
        <v>1210</v>
      </c>
      <c r="AA262" s="207">
        <v>819</v>
      </c>
      <c r="AB262" s="167">
        <v>10143.9</v>
      </c>
      <c r="AC262" s="167"/>
      <c r="AD262" s="195">
        <v>1.19604218766989E-2</v>
      </c>
      <c r="AE262" s="219">
        <v>8.0955252206747295E-3</v>
      </c>
      <c r="AF262" s="167">
        <v>8.3833884297520704</v>
      </c>
      <c r="AG262" s="222">
        <v>0.10026886237607099</v>
      </c>
      <c r="AH262" s="223">
        <v>0.41988579106482998</v>
      </c>
      <c r="AI262" s="223">
        <v>0.28446662507797899</v>
      </c>
      <c r="AJ262" s="167">
        <v>0.38137930352783</v>
      </c>
      <c r="AK262" s="224">
        <v>0.26031215712633599</v>
      </c>
      <c r="AL262" s="224">
        <v>4.5321102731127702E-2</v>
      </c>
      <c r="AM262" s="82">
        <v>0.32724109640495402</v>
      </c>
      <c r="AN262" s="261">
        <v>8.8279999999999994</v>
      </c>
    </row>
    <row r="263" spans="1:40" ht="16.05" customHeight="1">
      <c r="A263" s="186">
        <v>43604</v>
      </c>
      <c r="B263" s="185" t="s">
        <v>41</v>
      </c>
      <c r="C263" s="188">
        <v>20349</v>
      </c>
      <c r="D263" s="188">
        <v>101220</v>
      </c>
      <c r="E263" s="189">
        <v>4.9742002063983497</v>
      </c>
      <c r="F263" s="167">
        <v>0.67735130675755795</v>
      </c>
      <c r="G263" s="190">
        <v>12.34</v>
      </c>
      <c r="H263" s="190">
        <v>18.170000000000002</v>
      </c>
      <c r="I263" s="219">
        <v>0.27600000000000002</v>
      </c>
      <c r="J263" s="219">
        <v>0.13700000000000001</v>
      </c>
      <c r="K263" s="219">
        <v>7.8E-2</v>
      </c>
      <c r="L263" s="167">
        <v>9.2314957518276994</v>
      </c>
      <c r="M263" s="220">
        <v>12.242985575973099</v>
      </c>
      <c r="N263" s="167">
        <v>19.320481439329001</v>
      </c>
      <c r="O263" s="193">
        <v>0.63367911479944705</v>
      </c>
      <c r="P263" s="167">
        <v>2.6307665923512298</v>
      </c>
      <c r="Q263" s="167">
        <v>3.5774777443444901</v>
      </c>
      <c r="R263" s="167">
        <v>1.0768930949002999</v>
      </c>
      <c r="S263" s="167">
        <v>6.8348326343524404</v>
      </c>
      <c r="T263" s="167">
        <v>1.61481735551363</v>
      </c>
      <c r="U263" s="167">
        <v>0.43112829547403397</v>
      </c>
      <c r="V263" s="167">
        <v>2.1677865951575401</v>
      </c>
      <c r="W263" s="167">
        <v>0.96760262546577103</v>
      </c>
      <c r="X263" s="167">
        <v>1.6360403082394798E-2</v>
      </c>
      <c r="Y263" s="189">
        <v>12.259345979055499</v>
      </c>
      <c r="Z263" s="207">
        <v>1264</v>
      </c>
      <c r="AA263" s="207">
        <v>789</v>
      </c>
      <c r="AB263" s="167">
        <v>7834.36</v>
      </c>
      <c r="AC263" s="167"/>
      <c r="AD263" s="195">
        <v>1.2487650661924501E-2</v>
      </c>
      <c r="AE263" s="219">
        <v>7.7949021932424397E-3</v>
      </c>
      <c r="AF263" s="167">
        <v>6.1980696202531602</v>
      </c>
      <c r="AG263" s="222">
        <v>7.7399328196008699E-2</v>
      </c>
      <c r="AH263" s="223">
        <v>0.44164332399626499</v>
      </c>
      <c r="AI263" s="223">
        <v>0.315642046292201</v>
      </c>
      <c r="AJ263" s="167">
        <v>0.39547520252914398</v>
      </c>
      <c r="AK263" s="224">
        <v>0.26187512349338099</v>
      </c>
      <c r="AL263" s="224">
        <v>4.5840742936178597E-2</v>
      </c>
      <c r="AM263" s="82">
        <v>0.32503457814661102</v>
      </c>
      <c r="AN263" s="261">
        <v>8.4640000000000004</v>
      </c>
    </row>
    <row r="264" spans="1:40" ht="16.05" customHeight="1">
      <c r="A264" s="186">
        <v>43605</v>
      </c>
      <c r="B264" s="185" t="s">
        <v>41</v>
      </c>
      <c r="C264" s="188">
        <v>17547</v>
      </c>
      <c r="D264" s="188">
        <v>101400</v>
      </c>
      <c r="E264" s="189">
        <v>5.7787656009574304</v>
      </c>
      <c r="F264" s="167">
        <v>0.63841570627218902</v>
      </c>
      <c r="G264" s="190">
        <v>11.98</v>
      </c>
      <c r="H264" s="190">
        <v>17.16</v>
      </c>
      <c r="I264" s="219">
        <v>0.27600000000000002</v>
      </c>
      <c r="J264" s="219">
        <v>0.13900000000000001</v>
      </c>
      <c r="K264" s="219">
        <v>7.9000000000000001E-2</v>
      </c>
      <c r="L264" s="167">
        <v>9.1962820512820507</v>
      </c>
      <c r="M264" s="220">
        <v>11.995798816568</v>
      </c>
      <c r="N264" s="167">
        <v>18.840985130111498</v>
      </c>
      <c r="O264" s="193">
        <v>0.63668639053254406</v>
      </c>
      <c r="P264" s="167">
        <v>2.5439591078066899</v>
      </c>
      <c r="Q264" s="167">
        <v>3.8050340768277602</v>
      </c>
      <c r="R264" s="167">
        <v>1.12854708798017</v>
      </c>
      <c r="S264" s="167">
        <v>6.1974132589838904</v>
      </c>
      <c r="T264" s="167">
        <v>1.62433395291202</v>
      </c>
      <c r="U264" s="167">
        <v>0.44158921933085499</v>
      </c>
      <c r="V264" s="167">
        <v>2.10336121437423</v>
      </c>
      <c r="W264" s="167">
        <v>0.99674721189591098</v>
      </c>
      <c r="X264" s="167">
        <v>1.56903353057199E-2</v>
      </c>
      <c r="Y264" s="189">
        <v>12.0114891518738</v>
      </c>
      <c r="Z264" s="207">
        <v>1041</v>
      </c>
      <c r="AA264" s="207">
        <v>709</v>
      </c>
      <c r="AB264" s="167">
        <v>7206.59</v>
      </c>
      <c r="AC264" s="167"/>
      <c r="AD264" s="195">
        <v>1.0266272189349101E-2</v>
      </c>
      <c r="AE264" s="219">
        <v>6.9921104536489198E-3</v>
      </c>
      <c r="AF264" s="167">
        <v>6.9227569644572498</v>
      </c>
      <c r="AG264" s="222">
        <v>7.1070907297830402E-2</v>
      </c>
      <c r="AH264" s="223">
        <v>0.44970650253604599</v>
      </c>
      <c r="AI264" s="223">
        <v>0.33812047643471799</v>
      </c>
      <c r="AJ264" s="167">
        <v>0.41126232741617402</v>
      </c>
      <c r="AK264" s="224">
        <v>0.277781065088757</v>
      </c>
      <c r="AL264" s="224">
        <v>4.8274161735700198E-2</v>
      </c>
      <c r="AM264" s="82">
        <v>0.32365877712031599</v>
      </c>
      <c r="AN264" s="261">
        <v>8.5749999999999993</v>
      </c>
    </row>
    <row r="265" spans="1:40" ht="16.05" customHeight="1">
      <c r="A265" s="186">
        <v>43606</v>
      </c>
      <c r="B265" s="185" t="s">
        <v>41</v>
      </c>
      <c r="C265" s="188">
        <v>17066</v>
      </c>
      <c r="D265" s="188">
        <v>97686</v>
      </c>
      <c r="E265" s="189">
        <v>5.7240126567444003</v>
      </c>
      <c r="F265" s="167">
        <v>0.66194694459799797</v>
      </c>
      <c r="G265" s="190">
        <v>13.07</v>
      </c>
      <c r="H265" s="190">
        <v>18.47</v>
      </c>
      <c r="I265" s="219">
        <v>0.27700000000000002</v>
      </c>
      <c r="J265" s="219">
        <v>0.14099999999999999</v>
      </c>
      <c r="K265" s="219">
        <v>8.1000000000000003E-2</v>
      </c>
      <c r="L265" s="167">
        <v>8.9521835268103906</v>
      </c>
      <c r="M265" s="220">
        <v>11.165520135945799</v>
      </c>
      <c r="N265" s="167">
        <v>17.3730527858303</v>
      </c>
      <c r="O265" s="193">
        <v>0.64269189034252605</v>
      </c>
      <c r="P265" s="167">
        <v>2.4122200630754</v>
      </c>
      <c r="Q265" s="167">
        <v>3.4872893504507698</v>
      </c>
      <c r="R265" s="167">
        <v>1.0540919371794499</v>
      </c>
      <c r="S265" s="167">
        <v>5.5687617469975503</v>
      </c>
      <c r="T265" s="167">
        <v>1.4918447962791901</v>
      </c>
      <c r="U265" s="167">
        <v>0.46710840686821098</v>
      </c>
      <c r="V265" s="167">
        <v>1.95347392564748</v>
      </c>
      <c r="W265" s="167">
        <v>0.93826255933229297</v>
      </c>
      <c r="X265" s="167">
        <v>1.43930552996335E-2</v>
      </c>
      <c r="Y265" s="189">
        <v>11.179913191245401</v>
      </c>
      <c r="Z265" s="207">
        <v>1066</v>
      </c>
      <c r="AA265" s="207">
        <v>702</v>
      </c>
      <c r="AB265" s="167">
        <v>7518.34</v>
      </c>
      <c r="AC265" s="167"/>
      <c r="AD265" s="195">
        <v>1.09125156112442E-2</v>
      </c>
      <c r="AE265" s="219">
        <v>7.18629076838032E-3</v>
      </c>
      <c r="AF265" s="167">
        <v>7.0528517823639802</v>
      </c>
      <c r="AG265" s="222">
        <v>7.6964355178838303E-2</v>
      </c>
      <c r="AH265" s="223">
        <v>0.44251728583147798</v>
      </c>
      <c r="AI265" s="223">
        <v>0.32456345951013699</v>
      </c>
      <c r="AJ265" s="167">
        <v>0.44961406956984601</v>
      </c>
      <c r="AK265" s="224">
        <v>0.29635771758491503</v>
      </c>
      <c r="AL265" s="224">
        <v>5.5944557050140203E-2</v>
      </c>
      <c r="AM265" s="82">
        <v>0.26775587085150399</v>
      </c>
      <c r="AN265" s="261">
        <v>7.8490000000000002</v>
      </c>
    </row>
    <row r="266" spans="1:40" s="166" customFormat="1" ht="16.05" customHeight="1">
      <c r="A266" s="196">
        <v>43607</v>
      </c>
      <c r="B266" s="197" t="s">
        <v>41</v>
      </c>
      <c r="C266" s="198">
        <v>13180</v>
      </c>
      <c r="D266" s="198">
        <v>90590</v>
      </c>
      <c r="E266" s="200">
        <v>6.8732928679817897</v>
      </c>
      <c r="F266" s="166">
        <v>0.56933725055745699</v>
      </c>
      <c r="G266" s="217">
        <v>14.01</v>
      </c>
      <c r="H266" s="217">
        <v>19.41</v>
      </c>
      <c r="I266" s="203">
        <v>0.27200000000000002</v>
      </c>
      <c r="J266" s="203">
        <v>0.13100000000000001</v>
      </c>
      <c r="K266" s="203">
        <v>7.0999999999999994E-2</v>
      </c>
      <c r="L266" s="166">
        <v>7.9174743349155499</v>
      </c>
      <c r="M266" s="204">
        <v>9.7175847223755394</v>
      </c>
      <c r="N266" s="166">
        <v>15.4027960037093</v>
      </c>
      <c r="O266" s="205">
        <v>0.63089745004967401</v>
      </c>
      <c r="P266" s="166">
        <v>2.1687050548527602</v>
      </c>
      <c r="Q266" s="166">
        <v>2.82128672160691</v>
      </c>
      <c r="R266" s="166">
        <v>0.83356954140640005</v>
      </c>
      <c r="S266" s="166">
        <v>4.3792451839798403</v>
      </c>
      <c r="T266" s="166">
        <v>1.3316536314804099</v>
      </c>
      <c r="U266" s="166">
        <v>0.47211869893094</v>
      </c>
      <c r="V266" s="166">
        <v>1.61198887197522</v>
      </c>
      <c r="W266" s="166">
        <v>0.83400696376393202</v>
      </c>
      <c r="X266" s="166">
        <v>1.6381499061706599E-2</v>
      </c>
      <c r="Y266" s="200">
        <v>9.7339662214372407</v>
      </c>
      <c r="Z266" s="206">
        <v>751</v>
      </c>
      <c r="AA266" s="206">
        <v>538</v>
      </c>
      <c r="AB266" s="166">
        <v>4708.49</v>
      </c>
      <c r="AD266" s="210">
        <v>8.2900982448393893E-3</v>
      </c>
      <c r="AE266" s="203">
        <v>5.9388453471685603E-3</v>
      </c>
      <c r="AF266" s="166">
        <v>6.2696271637816201</v>
      </c>
      <c r="AG266" s="211">
        <v>5.1975825146263401E-2</v>
      </c>
      <c r="AH266" s="212">
        <v>0.44628224582701098</v>
      </c>
      <c r="AI266" s="212">
        <v>0.36084977238239802</v>
      </c>
      <c r="AJ266" s="166">
        <v>0.479611436140854</v>
      </c>
      <c r="AK266" s="213">
        <v>0.33027928027376102</v>
      </c>
      <c r="AL266" s="213">
        <v>6.1960481289325499E-2</v>
      </c>
      <c r="AM266" s="214">
        <v>0</v>
      </c>
      <c r="AN266" s="261">
        <v>7.1210000000000004</v>
      </c>
    </row>
    <row r="267" spans="1:40" ht="16.05" customHeight="1">
      <c r="A267" s="186">
        <v>43608</v>
      </c>
      <c r="B267" s="187" t="s">
        <v>41</v>
      </c>
      <c r="C267" s="188">
        <v>13854</v>
      </c>
      <c r="D267" s="188">
        <v>87581</v>
      </c>
      <c r="E267" s="189">
        <v>6.3217121408979402</v>
      </c>
      <c r="F267" s="167">
        <v>0.56045959593975903</v>
      </c>
      <c r="G267" s="190">
        <v>14.23</v>
      </c>
      <c r="H267" s="190">
        <v>19.75</v>
      </c>
      <c r="I267" s="219">
        <v>0.28599999999999998</v>
      </c>
      <c r="J267" s="219">
        <v>0.13800000000000001</v>
      </c>
      <c r="K267" s="219">
        <v>7.1999999999999995E-2</v>
      </c>
      <c r="L267" s="167">
        <v>7.8763316244390902</v>
      </c>
      <c r="M267" s="220">
        <v>9.4313606832532209</v>
      </c>
      <c r="N267" s="167">
        <v>15.0684641625773</v>
      </c>
      <c r="O267" s="193">
        <v>0.62590059487788496</v>
      </c>
      <c r="P267" s="167">
        <v>2.2611233741357601</v>
      </c>
      <c r="Q267" s="167">
        <v>2.9415144936789699</v>
      </c>
      <c r="R267" s="167">
        <v>0.86909170512797096</v>
      </c>
      <c r="S267" s="167">
        <v>4.5658646040461903</v>
      </c>
      <c r="T267" s="167">
        <v>1.38840140832224</v>
      </c>
      <c r="U267" s="167">
        <v>0.49223780943867801</v>
      </c>
      <c r="V267" s="167">
        <v>1.68068299979933</v>
      </c>
      <c r="W267" s="167">
        <v>0.86954776802816602</v>
      </c>
      <c r="X267" s="167">
        <v>1.7789246526072999E-2</v>
      </c>
      <c r="Y267" s="189">
        <v>9.4491499297792902</v>
      </c>
      <c r="Z267" s="207">
        <v>738</v>
      </c>
      <c r="AA267" s="207">
        <v>525</v>
      </c>
      <c r="AB267" s="167">
        <v>4457.62</v>
      </c>
      <c r="AC267" s="167"/>
      <c r="AD267" s="195">
        <v>8.4264851965609004E-3</v>
      </c>
      <c r="AE267" s="219">
        <v>5.9944508512120203E-3</v>
      </c>
      <c r="AF267" s="167">
        <v>6.0401355013550102</v>
      </c>
      <c r="AG267" s="222">
        <v>5.0897112387389899E-2</v>
      </c>
      <c r="AH267" s="223">
        <v>0.461599538039555</v>
      </c>
      <c r="AI267" s="223">
        <v>0.32878591020643899</v>
      </c>
      <c r="AJ267" s="167">
        <v>0.531610737488725</v>
      </c>
      <c r="AK267" s="224">
        <v>0.32773090053778797</v>
      </c>
      <c r="AL267" s="224">
        <v>6.1782806773158602E-2</v>
      </c>
      <c r="AM267" s="82">
        <v>0</v>
      </c>
      <c r="AN267" s="261">
        <v>6.03</v>
      </c>
    </row>
    <row r="268" spans="1:40" ht="16.05" customHeight="1">
      <c r="A268" s="186">
        <v>43609</v>
      </c>
      <c r="B268" s="187" t="s">
        <v>41</v>
      </c>
      <c r="C268" s="188">
        <v>15495</v>
      </c>
      <c r="D268" s="188">
        <v>87659</v>
      </c>
      <c r="E268" s="189">
        <v>5.6572442723459204</v>
      </c>
      <c r="F268" s="167">
        <v>0.47734755427280701</v>
      </c>
      <c r="G268" s="190">
        <v>11.8</v>
      </c>
      <c r="H268" s="190">
        <v>16.55</v>
      </c>
      <c r="I268" s="219">
        <v>0.28000000000000003</v>
      </c>
      <c r="J268" s="219">
        <v>0.13900000000000001</v>
      </c>
      <c r="K268" s="219">
        <v>6.9000000000000006E-2</v>
      </c>
      <c r="L268" s="167">
        <v>7.7392509611106703</v>
      </c>
      <c r="M268" s="220">
        <v>9.0754970967042805</v>
      </c>
      <c r="N268" s="167">
        <v>14.691036342147999</v>
      </c>
      <c r="O268" s="193">
        <v>0.61775744646870301</v>
      </c>
      <c r="P268" s="167">
        <v>2.2888905303589899</v>
      </c>
      <c r="Q268" s="167">
        <v>2.9776370217166499</v>
      </c>
      <c r="R268" s="167">
        <v>0.87976436696705596</v>
      </c>
      <c r="S268" s="167">
        <v>4.6219345545870896</v>
      </c>
      <c r="T268" s="167">
        <v>1.40545132220417</v>
      </c>
      <c r="U268" s="167">
        <v>0.498282611907224</v>
      </c>
      <c r="V268" s="167">
        <v>1.7013222041660501</v>
      </c>
      <c r="W268" s="167">
        <v>0.88022603043285597</v>
      </c>
      <c r="X268" s="167">
        <v>1.6815158740117998E-2</v>
      </c>
      <c r="Y268" s="189">
        <v>9.0923122554443907</v>
      </c>
      <c r="Z268" s="207">
        <v>748</v>
      </c>
      <c r="AA268" s="207">
        <v>549</v>
      </c>
      <c r="AB268" s="167">
        <v>4703.5200000000004</v>
      </c>
      <c r="AC268" s="167"/>
      <c r="AD268" s="195">
        <v>8.5330656293135902E-3</v>
      </c>
      <c r="AE268" s="219">
        <v>6.26290512098016E-3</v>
      </c>
      <c r="AF268" s="167">
        <v>6.2881283422459902</v>
      </c>
      <c r="AG268" s="222">
        <v>5.3657011829931898E-2</v>
      </c>
      <c r="AH268" s="223">
        <v>0.44620845434010997</v>
      </c>
      <c r="AI268" s="223">
        <v>0.318683446272991</v>
      </c>
      <c r="AJ268" s="167">
        <v>0.48052111021115901</v>
      </c>
      <c r="AK268" s="224">
        <v>0.31805062800168798</v>
      </c>
      <c r="AL268" s="224">
        <v>5.8590675230153197E-2</v>
      </c>
      <c r="AM268" s="82">
        <v>0</v>
      </c>
      <c r="AN268" s="261">
        <v>6.5060000000000002</v>
      </c>
    </row>
    <row r="269" spans="1:40" ht="16.05" customHeight="1">
      <c r="A269" s="186">
        <v>43610</v>
      </c>
      <c r="B269" s="185" t="s">
        <v>41</v>
      </c>
      <c r="C269" s="188">
        <v>16665</v>
      </c>
      <c r="D269" s="188">
        <v>86958</v>
      </c>
      <c r="E269" s="189">
        <v>5.2180018001800201</v>
      </c>
      <c r="F269" s="167">
        <v>0.71072384544262701</v>
      </c>
      <c r="G269" s="190">
        <v>11.76</v>
      </c>
      <c r="H269" s="190">
        <v>16.5</v>
      </c>
      <c r="I269" s="219">
        <v>0.27600000000000002</v>
      </c>
      <c r="J269" s="219">
        <v>0.13200000000000001</v>
      </c>
      <c r="K269" s="219">
        <v>6.7000000000000004E-2</v>
      </c>
      <c r="L269" s="167">
        <v>9.6708870949193901</v>
      </c>
      <c r="M269" s="220">
        <v>12.1095126382851</v>
      </c>
      <c r="N269" s="167">
        <v>19.349497436651301</v>
      </c>
      <c r="O269" s="193">
        <v>0.62583086087536499</v>
      </c>
      <c r="P269" s="167">
        <v>2.66358574814869</v>
      </c>
      <c r="Q269" s="167">
        <v>3.56121717719263</v>
      </c>
      <c r="R269" s="167">
        <v>1.1531945388728599</v>
      </c>
      <c r="S269" s="167">
        <v>6.7408904650778201</v>
      </c>
      <c r="T269" s="167">
        <v>1.6737105161610399</v>
      </c>
      <c r="U269" s="167">
        <v>0.43534664927142103</v>
      </c>
      <c r="V269" s="167">
        <v>2.1706326601863299</v>
      </c>
      <c r="W269" s="167">
        <v>0.95091968174050501</v>
      </c>
      <c r="X269" s="167">
        <v>1.65137192667725E-2</v>
      </c>
      <c r="Y269" s="189">
        <v>12.126026357551901</v>
      </c>
      <c r="Z269" s="207">
        <v>1112</v>
      </c>
      <c r="AA269" s="207">
        <v>700</v>
      </c>
      <c r="AB269" s="167">
        <v>9063.8799999999992</v>
      </c>
      <c r="AC269" s="167"/>
      <c r="AD269" s="195">
        <v>1.27877826076957E-2</v>
      </c>
      <c r="AE269" s="219">
        <v>8.0498631523264093E-3</v>
      </c>
      <c r="AF269" s="167">
        <v>8.1509712230215801</v>
      </c>
      <c r="AG269" s="222">
        <v>0.104232848041583</v>
      </c>
      <c r="AH269" s="223">
        <v>0.45502550255025498</v>
      </c>
      <c r="AI269" s="223">
        <v>0.32043204320432001</v>
      </c>
      <c r="AJ269" s="167">
        <f>34203/D269</f>
        <v>0.39332781342717171</v>
      </c>
      <c r="AK269" s="224">
        <v>0.26764645001034998</v>
      </c>
      <c r="AL269" s="224">
        <v>4.9495158582304098E-2</v>
      </c>
      <c r="AM269" s="82">
        <v>0.32139653625888398</v>
      </c>
      <c r="AN269" s="261">
        <v>6.4169999999999998</v>
      </c>
    </row>
    <row r="270" spans="1:40" ht="16.05" customHeight="1">
      <c r="A270" s="186">
        <v>43611</v>
      </c>
      <c r="B270" s="185" t="s">
        <v>41</v>
      </c>
      <c r="C270" s="188">
        <v>16153</v>
      </c>
      <c r="D270" s="188">
        <v>86405</v>
      </c>
      <c r="E270" s="189">
        <v>5.3491611465362503</v>
      </c>
      <c r="F270" s="167">
        <v>0.689022486950987</v>
      </c>
      <c r="G270" s="190">
        <v>11.91</v>
      </c>
      <c r="H270" s="190">
        <v>16.760000000000002</v>
      </c>
      <c r="I270" s="219">
        <v>0.28499999999999998</v>
      </c>
      <c r="J270" s="219">
        <v>0.13800000000000001</v>
      </c>
      <c r="K270" s="219">
        <v>7.0000000000000007E-2</v>
      </c>
      <c r="L270" s="167">
        <v>9.3703026445228907</v>
      </c>
      <c r="M270" s="220">
        <v>11.947167409293399</v>
      </c>
      <c r="N270" s="167">
        <v>19.052008932691098</v>
      </c>
      <c r="O270" s="193">
        <v>0.62708176610149902</v>
      </c>
      <c r="P270" s="167">
        <v>2.5785393942749599</v>
      </c>
      <c r="Q270" s="167">
        <v>3.74139490246018</v>
      </c>
      <c r="R270" s="167">
        <v>1.1766421202222099</v>
      </c>
      <c r="S270" s="167">
        <v>6.3269106546333704</v>
      </c>
      <c r="T270" s="167">
        <v>1.6552424192089801</v>
      </c>
      <c r="U270" s="167">
        <v>0.44144842478268098</v>
      </c>
      <c r="V270" s="167">
        <v>2.1351900042448699</v>
      </c>
      <c r="W270" s="167">
        <v>0.99664101286381301</v>
      </c>
      <c r="X270" s="167">
        <v>1.76841617961923E-2</v>
      </c>
      <c r="Y270" s="189">
        <v>11.9648515710896</v>
      </c>
      <c r="Z270" s="207">
        <v>1004</v>
      </c>
      <c r="AA270" s="207">
        <v>665</v>
      </c>
      <c r="AB270" s="167">
        <v>8208.9599999999991</v>
      </c>
      <c r="AC270" s="167"/>
      <c r="AD270" s="195">
        <v>1.1619697934147299E-2</v>
      </c>
      <c r="AE270" s="219">
        <v>7.6963138707250699E-3</v>
      </c>
      <c r="AF270" s="167">
        <v>8.1762549800796798</v>
      </c>
      <c r="AG270" s="222">
        <v>9.5005613101093705E-2</v>
      </c>
      <c r="AH270" s="223">
        <v>0.47662972822385902</v>
      </c>
      <c r="AI270" s="223">
        <v>0.33783198167523099</v>
      </c>
      <c r="AJ270" s="167">
        <f>36762/D270</f>
        <v>0.42546148949713558</v>
      </c>
      <c r="AK270" s="224">
        <v>0.26506567906949802</v>
      </c>
      <c r="AL270" s="224">
        <v>4.9684624732364999E-2</v>
      </c>
      <c r="AM270" s="82">
        <v>0.31505121231410199</v>
      </c>
      <c r="AN270" s="261">
        <v>8.4559999999999995</v>
      </c>
    </row>
    <row r="271" spans="1:40" ht="16.05" customHeight="1">
      <c r="A271" s="186">
        <v>43612</v>
      </c>
      <c r="B271" s="185" t="s">
        <v>41</v>
      </c>
      <c r="C271" s="188">
        <v>16937</v>
      </c>
      <c r="D271" s="188">
        <v>89603</v>
      </c>
      <c r="E271" s="189">
        <v>5.2903701954301203</v>
      </c>
      <c r="F271" s="167">
        <v>0.68128808517571904</v>
      </c>
      <c r="G271" s="190">
        <v>12.64</v>
      </c>
      <c r="H271" s="190">
        <v>17.36</v>
      </c>
      <c r="I271" s="219">
        <v>0.29399999999999998</v>
      </c>
      <c r="J271" s="219">
        <v>0.14199999999999999</v>
      </c>
      <c r="K271" s="219">
        <v>7.9000000000000001E-2</v>
      </c>
      <c r="L271" s="167">
        <v>9.3225226833923003</v>
      </c>
      <c r="M271" s="220">
        <v>11.6598551387788</v>
      </c>
      <c r="N271" s="167">
        <v>18.439400624790402</v>
      </c>
      <c r="O271" s="193">
        <v>0.63233373882570898</v>
      </c>
      <c r="P271" s="167">
        <v>2.5434617624737501</v>
      </c>
      <c r="Q271" s="167">
        <v>3.7153144248927799</v>
      </c>
      <c r="R271" s="167">
        <v>1.11752766550769</v>
      </c>
      <c r="S271" s="167">
        <v>5.9222188884378504</v>
      </c>
      <c r="T271" s="167">
        <v>1.63054413244145</v>
      </c>
      <c r="U271" s="167">
        <v>0.450819816798743</v>
      </c>
      <c r="V271" s="167">
        <v>2.0776399159886298</v>
      </c>
      <c r="W271" s="167">
        <v>0.98187401824952802</v>
      </c>
      <c r="X271" s="167">
        <v>1.5814202649464901E-2</v>
      </c>
      <c r="Y271" s="189">
        <v>11.6756693414283</v>
      </c>
      <c r="Z271" s="207">
        <v>1074</v>
      </c>
      <c r="AA271" s="207">
        <v>694</v>
      </c>
      <c r="AB271" s="167">
        <v>7561.26</v>
      </c>
      <c r="AC271" s="167"/>
      <c r="AD271" s="195">
        <v>1.1986205819001601E-2</v>
      </c>
      <c r="AE271" s="219">
        <v>7.7452763858353001E-3</v>
      </c>
      <c r="AF271" s="167">
        <v>7.0402793296089401</v>
      </c>
      <c r="AG271" s="222">
        <v>8.4386237067955297E-2</v>
      </c>
      <c r="AH271" s="223">
        <v>0.65731829721910595</v>
      </c>
      <c r="AI271" s="223">
        <v>0.41583515380527802</v>
      </c>
      <c r="AJ271" s="167">
        <v>0.410276441636999</v>
      </c>
      <c r="AK271" s="224">
        <v>0.27457786011629098</v>
      </c>
      <c r="AL271" s="224">
        <v>5.1270604778857899E-2</v>
      </c>
      <c r="AM271" s="82">
        <v>0.310837806769863</v>
      </c>
      <c r="AN271" s="261">
        <v>7.9139999999999997</v>
      </c>
    </row>
    <row r="272" spans="1:40" ht="16.05" customHeight="1">
      <c r="A272" s="186">
        <v>43613</v>
      </c>
      <c r="B272" s="185" t="s">
        <v>41</v>
      </c>
      <c r="C272" s="188">
        <v>17281</v>
      </c>
      <c r="D272" s="188">
        <v>89866</v>
      </c>
      <c r="E272" s="189">
        <v>5.2002777617035996</v>
      </c>
      <c r="F272" s="167">
        <v>0.64772787630471995</v>
      </c>
      <c r="G272" s="190">
        <v>13.23</v>
      </c>
      <c r="H272" s="190">
        <v>17.86</v>
      </c>
      <c r="I272" s="219">
        <v>0.29099999999999998</v>
      </c>
      <c r="J272" s="219">
        <v>0.14199999999999999</v>
      </c>
      <c r="K272" s="219">
        <v>7.6999999999999999E-2</v>
      </c>
      <c r="L272" s="167">
        <v>9.0536465404045998</v>
      </c>
      <c r="M272" s="220">
        <v>10.7732401575679</v>
      </c>
      <c r="N272" s="167">
        <v>17.064687841506</v>
      </c>
      <c r="O272" s="193">
        <v>0.63131773974584404</v>
      </c>
      <c r="P272" s="167">
        <v>2.37021891634646</v>
      </c>
      <c r="Q272" s="167">
        <v>3.4505763739556499</v>
      </c>
      <c r="R272" s="167">
        <v>1.0266859378855699</v>
      </c>
      <c r="S272" s="167">
        <v>5.3493848485916704</v>
      </c>
      <c r="T272" s="167">
        <v>1.50119857580992</v>
      </c>
      <c r="U272" s="167">
        <v>0.47329643599957699</v>
      </c>
      <c r="V272" s="167">
        <v>1.94962456375366</v>
      </c>
      <c r="W272" s="167">
        <v>0.94370218916346404</v>
      </c>
      <c r="X272" s="167">
        <v>1.5623261300158E-2</v>
      </c>
      <c r="Y272" s="189">
        <v>10.7888634188681</v>
      </c>
      <c r="Z272" s="207">
        <v>942</v>
      </c>
      <c r="AA272" s="207">
        <v>662</v>
      </c>
      <c r="AB272" s="167">
        <v>6900.58</v>
      </c>
      <c r="AC272" s="167"/>
      <c r="AD272" s="195">
        <v>1.0482273607370999E-2</v>
      </c>
      <c r="AE272" s="219">
        <v>7.3665234905303497E-3</v>
      </c>
      <c r="AF272" s="167">
        <v>7.3254564755838603</v>
      </c>
      <c r="AG272" s="222">
        <v>7.6787439075957503E-2</v>
      </c>
      <c r="AH272" s="223">
        <v>0.47150049186968301</v>
      </c>
      <c r="AI272" s="223">
        <v>0.33886927839824099</v>
      </c>
      <c r="AJ272" s="167">
        <v>0.444506264883271</v>
      </c>
      <c r="AK272" s="224">
        <v>0.28817350277079201</v>
      </c>
      <c r="AL272" s="224">
        <v>5.6317183361894403E-2</v>
      </c>
      <c r="AM272" s="82">
        <v>0.25276522822869602</v>
      </c>
      <c r="AN272" s="261">
        <v>9.125</v>
      </c>
    </row>
    <row r="273" spans="1:40" s="166" customFormat="1" ht="16.05" customHeight="1">
      <c r="A273" s="196">
        <v>43614</v>
      </c>
      <c r="B273" s="197" t="s">
        <v>41</v>
      </c>
      <c r="C273" s="198">
        <v>14964</v>
      </c>
      <c r="D273" s="198">
        <v>85021</v>
      </c>
      <c r="E273" s="200">
        <v>5.6817027532745303</v>
      </c>
      <c r="F273" s="166">
        <v>0.55702853436209898</v>
      </c>
      <c r="G273" s="217">
        <v>13.9</v>
      </c>
      <c r="H273" s="217">
        <v>18.2</v>
      </c>
      <c r="I273" s="203">
        <v>0.29099999999999998</v>
      </c>
      <c r="J273" s="203">
        <v>0.13900000000000001</v>
      </c>
      <c r="K273" s="203">
        <v>7.0000000000000007E-2</v>
      </c>
      <c r="L273" s="166">
        <v>8.2352007151174398</v>
      </c>
      <c r="M273" s="204">
        <v>9.7765493231084104</v>
      </c>
      <c r="N273" s="166">
        <v>15.7001303288442</v>
      </c>
      <c r="O273" s="205">
        <v>0.62270497876995101</v>
      </c>
      <c r="P273" s="166">
        <v>2.2939954290463298</v>
      </c>
      <c r="Q273" s="166">
        <v>3.0696975993049098</v>
      </c>
      <c r="R273" s="166">
        <v>0.912679674366772</v>
      </c>
      <c r="S273" s="166">
        <v>4.8252460193037798</v>
      </c>
      <c r="T273" s="166">
        <v>1.4249853616153201</v>
      </c>
      <c r="U273" s="166">
        <v>0.51026575751279701</v>
      </c>
      <c r="V273" s="166">
        <v>1.7563795024838</v>
      </c>
      <c r="W273" s="166">
        <v>0.90688098521050897</v>
      </c>
      <c r="X273" s="166">
        <v>1.5737288434622E-2</v>
      </c>
      <c r="Y273" s="200">
        <v>9.7922866115430303</v>
      </c>
      <c r="Z273" s="206">
        <v>736</v>
      </c>
      <c r="AA273" s="206">
        <v>542</v>
      </c>
      <c r="AB273" s="166">
        <v>4530.6400000000003</v>
      </c>
      <c r="AD273" s="210">
        <v>8.6566848190447101E-3</v>
      </c>
      <c r="AE273" s="203">
        <v>6.3748956140247696E-3</v>
      </c>
      <c r="AF273" s="166">
        <v>6.1557608695652197</v>
      </c>
      <c r="AG273" s="211">
        <v>5.3288481669234701E-2</v>
      </c>
      <c r="AH273" s="212">
        <v>0.46832397754611099</v>
      </c>
      <c r="AI273" s="212">
        <v>0.35658914728682201</v>
      </c>
      <c r="AJ273" s="166">
        <v>0.51243810352736396</v>
      </c>
      <c r="AK273" s="213">
        <v>0.32015619670434398</v>
      </c>
      <c r="AL273" s="213">
        <v>6.3254960539160895E-2</v>
      </c>
      <c r="AM273" s="214">
        <v>0</v>
      </c>
      <c r="AN273" s="261">
        <v>8.2530000000000001</v>
      </c>
    </row>
    <row r="274" spans="1:40" s="167" customFormat="1" ht="16.05" customHeight="1">
      <c r="A274" s="186">
        <v>43615</v>
      </c>
      <c r="B274" s="187" t="s">
        <v>41</v>
      </c>
      <c r="C274" s="188">
        <v>15029</v>
      </c>
      <c r="D274" s="188">
        <v>82834</v>
      </c>
      <c r="E274" s="189">
        <v>5.5116108856211303</v>
      </c>
      <c r="F274" s="167">
        <v>0.56090722599415699</v>
      </c>
      <c r="G274" s="190">
        <v>13.58</v>
      </c>
      <c r="H274" s="190">
        <v>18.87</v>
      </c>
      <c r="I274" s="219">
        <v>0.28499999999999998</v>
      </c>
      <c r="J274" s="219">
        <v>0.13600000000000001</v>
      </c>
      <c r="K274" s="219">
        <v>6.7000000000000004E-2</v>
      </c>
      <c r="L274" s="167">
        <v>8.0133520052152498</v>
      </c>
      <c r="M274" s="220">
        <v>9.4357027307627295</v>
      </c>
      <c r="N274" s="167">
        <v>15.2909517754084</v>
      </c>
      <c r="O274" s="193">
        <v>0.617077528551078</v>
      </c>
      <c r="P274" s="167">
        <v>2.2914017411718701</v>
      </c>
      <c r="Q274" s="167">
        <v>2.9920962535459301</v>
      </c>
      <c r="R274" s="167">
        <v>0.86782744791157196</v>
      </c>
      <c r="S274" s="167">
        <v>4.62048322410251</v>
      </c>
      <c r="T274" s="167">
        <v>1.41316638951384</v>
      </c>
      <c r="U274" s="167">
        <v>0.50224004695294899</v>
      </c>
      <c r="V274" s="167">
        <v>1.7228602171573899</v>
      </c>
      <c r="W274" s="167">
        <v>0.88087645505233303</v>
      </c>
      <c r="X274" s="167">
        <v>1.5923413091242698E-2</v>
      </c>
      <c r="Y274" s="189">
        <v>9.4516261438539697</v>
      </c>
      <c r="Z274" s="207">
        <v>748</v>
      </c>
      <c r="AA274" s="207">
        <v>503</v>
      </c>
      <c r="AB274" s="167">
        <v>4950.5200000000004</v>
      </c>
      <c r="AD274" s="195">
        <v>9.0301084095902595E-3</v>
      </c>
      <c r="AE274" s="219">
        <v>6.0723857353260696E-3</v>
      </c>
      <c r="AF274" s="167">
        <v>6.61834224598931</v>
      </c>
      <c r="AG274" s="222">
        <v>5.97643479730545E-2</v>
      </c>
      <c r="AH274" s="223">
        <v>0.45472087297890701</v>
      </c>
      <c r="AI274" s="223">
        <v>0.34074123361501102</v>
      </c>
      <c r="AJ274" s="167">
        <v>0.49309462298090201</v>
      </c>
      <c r="AK274" s="224">
        <v>0.31851655117463801</v>
      </c>
      <c r="AL274" s="224">
        <v>6.2075959147210098E-2</v>
      </c>
      <c r="AM274" s="82">
        <v>0</v>
      </c>
      <c r="AN274" s="261">
        <v>7.2770000000000001</v>
      </c>
    </row>
    <row r="275" spans="1:40" s="167" customFormat="1" ht="16.05" customHeight="1">
      <c r="A275" s="186">
        <v>43616</v>
      </c>
      <c r="B275" s="187" t="s">
        <v>41</v>
      </c>
      <c r="C275" s="188">
        <v>16075</v>
      </c>
      <c r="D275" s="188">
        <v>82392</v>
      </c>
      <c r="E275" s="189">
        <v>5.1254743390357698</v>
      </c>
      <c r="F275" s="167">
        <v>0.50546578065831604</v>
      </c>
      <c r="G275" s="190">
        <v>12.94</v>
      </c>
      <c r="H275" s="190">
        <v>18.09</v>
      </c>
      <c r="I275" s="219">
        <v>0.27400000000000002</v>
      </c>
      <c r="J275" s="219">
        <v>0.13200000000000001</v>
      </c>
      <c r="K275" s="219">
        <v>6.7000000000000004E-2</v>
      </c>
      <c r="L275" s="167">
        <v>7.7689460141761302</v>
      </c>
      <c r="M275" s="220">
        <v>9.0474803378968804</v>
      </c>
      <c r="N275" s="167">
        <v>14.8207646579319</v>
      </c>
      <c r="O275" s="193">
        <v>0.61045975337411396</v>
      </c>
      <c r="P275" s="167">
        <v>2.2619838161321701</v>
      </c>
      <c r="Q275" s="167">
        <v>2.93417102411675</v>
      </c>
      <c r="R275" s="167">
        <v>0.81772272700160997</v>
      </c>
      <c r="S275" s="167">
        <v>4.4338230908404102</v>
      </c>
      <c r="T275" s="167">
        <v>1.37187108575064</v>
      </c>
      <c r="U275" s="167">
        <v>0.493548322961608</v>
      </c>
      <c r="V275" s="167">
        <v>1.6499791240034201</v>
      </c>
      <c r="W275" s="167">
        <v>0.85766546712527603</v>
      </c>
      <c r="X275" s="167">
        <v>1.5317021070006801E-2</v>
      </c>
      <c r="Y275" s="189">
        <v>9.0627973589668898</v>
      </c>
      <c r="Z275" s="207">
        <v>694</v>
      </c>
      <c r="AA275" s="207">
        <v>498</v>
      </c>
      <c r="AB275" s="167">
        <v>4451.0600000000004</v>
      </c>
      <c r="AD275" s="195">
        <v>8.4231478784347995E-3</v>
      </c>
      <c r="AE275" s="219">
        <v>6.0442761433148803E-3</v>
      </c>
      <c r="AF275" s="167">
        <v>6.41363112391931</v>
      </c>
      <c r="AG275" s="222">
        <v>5.4022963394504298E-2</v>
      </c>
      <c r="AH275" s="223">
        <v>0.43620528771384098</v>
      </c>
      <c r="AI275" s="223">
        <v>0.29629860031104199</v>
      </c>
      <c r="AJ275" s="167">
        <v>0.46397708515389802</v>
      </c>
      <c r="AK275" s="224">
        <v>0.31115885037382301</v>
      </c>
      <c r="AL275" s="224">
        <v>5.9945140304884001E-2</v>
      </c>
      <c r="AM275" s="82">
        <v>0</v>
      </c>
      <c r="AN275" s="261">
        <v>6.35</v>
      </c>
    </row>
    <row r="276" spans="1:40" s="167" customFormat="1" ht="16.05" customHeight="1">
      <c r="A276" s="186">
        <v>43617</v>
      </c>
      <c r="B276" s="185" t="s">
        <v>41</v>
      </c>
      <c r="C276" s="188">
        <v>17066</v>
      </c>
      <c r="D276" s="188">
        <v>81669</v>
      </c>
      <c r="E276" s="189">
        <v>4.7854799015586504</v>
      </c>
      <c r="F276" s="167">
        <v>0.72797519035374503</v>
      </c>
      <c r="G276" s="190">
        <v>11.22</v>
      </c>
      <c r="H276" s="190">
        <v>16.11</v>
      </c>
      <c r="I276" s="219">
        <v>0.26800000000000002</v>
      </c>
      <c r="J276" s="219">
        <v>0.123</v>
      </c>
      <c r="K276" s="219">
        <v>6.6000000000000003E-2</v>
      </c>
      <c r="L276" s="167">
        <v>9.6593321823458105</v>
      </c>
      <c r="M276" s="220">
        <v>12.0440681286657</v>
      </c>
      <c r="N276" s="167">
        <v>19.667033230695399</v>
      </c>
      <c r="O276" s="193">
        <v>0.61239882942120005</v>
      </c>
      <c r="P276" s="167">
        <v>2.6982244971407998</v>
      </c>
      <c r="Q276" s="167">
        <v>3.60553045147359</v>
      </c>
      <c r="R276" s="167">
        <v>1.2731035310113199</v>
      </c>
      <c r="S276" s="167">
        <v>6.8030351501579602</v>
      </c>
      <c r="T276" s="167">
        <v>1.6987443515815599</v>
      </c>
      <c r="U276" s="167">
        <v>0.435757987763426</v>
      </c>
      <c r="V276" s="167">
        <v>2.19264605910345</v>
      </c>
      <c r="W276" s="167">
        <v>0.95999120246331004</v>
      </c>
      <c r="X276" s="167">
        <v>1.4044496687849699E-2</v>
      </c>
      <c r="Y276" s="189">
        <v>12.0581126253536</v>
      </c>
      <c r="Z276" s="207">
        <v>1137</v>
      </c>
      <c r="AA276" s="207">
        <v>706</v>
      </c>
      <c r="AB276" s="167">
        <v>9844.6299999999992</v>
      </c>
      <c r="AD276" s="195">
        <v>1.39220512067002E-2</v>
      </c>
      <c r="AE276" s="219">
        <v>8.6446509691559797E-3</v>
      </c>
      <c r="AF276" s="167">
        <v>8.6584256816182901</v>
      </c>
      <c r="AG276" s="222">
        <v>0.120543045708898</v>
      </c>
      <c r="AH276" s="223">
        <v>0.44474393530997303</v>
      </c>
      <c r="AI276" s="223">
        <v>0.30024610336341301</v>
      </c>
      <c r="AJ276" s="167">
        <v>0.37459746048072101</v>
      </c>
      <c r="AK276" s="224">
        <v>0.25860485618778201</v>
      </c>
      <c r="AL276" s="224">
        <v>4.90639042966119E-2</v>
      </c>
      <c r="AM276" s="82">
        <v>0.31494202206467597</v>
      </c>
      <c r="AN276" s="261">
        <v>6.8440000000000003</v>
      </c>
    </row>
    <row r="277" spans="1:40" s="167" customFormat="1" ht="16.05" customHeight="1">
      <c r="A277" s="186">
        <v>43618</v>
      </c>
      <c r="B277" s="185" t="s">
        <v>41</v>
      </c>
      <c r="C277" s="188">
        <v>17795</v>
      </c>
      <c r="D277" s="188">
        <v>82225</v>
      </c>
      <c r="E277" s="189">
        <v>4.6206799662826601</v>
      </c>
      <c r="F277" s="167">
        <v>0.667275505685619</v>
      </c>
      <c r="G277" s="190">
        <v>11.4</v>
      </c>
      <c r="H277" s="190">
        <v>16.48</v>
      </c>
      <c r="I277" s="219">
        <v>0.28299999999999997</v>
      </c>
      <c r="J277" s="219">
        <v>0.13200000000000001</v>
      </c>
      <c r="K277" s="219">
        <v>7.1999999999999995E-2</v>
      </c>
      <c r="L277" s="167">
        <v>9.2374581939799292</v>
      </c>
      <c r="M277" s="220">
        <v>11.8006080875646</v>
      </c>
      <c r="N277" s="167">
        <v>19.165004246578</v>
      </c>
      <c r="O277" s="193">
        <v>0.61573730617208899</v>
      </c>
      <c r="P277" s="167">
        <v>2.6131071125244398</v>
      </c>
      <c r="Q277" s="167">
        <v>3.7685516206126901</v>
      </c>
      <c r="R277" s="167">
        <v>1.22574018842956</v>
      </c>
      <c r="S277" s="167">
        <v>6.3759110391277698</v>
      </c>
      <c r="T277" s="167">
        <v>1.66712753560213</v>
      </c>
      <c r="U277" s="167">
        <v>0.44474510655948202</v>
      </c>
      <c r="V277" s="167">
        <v>2.0971775069624101</v>
      </c>
      <c r="W277" s="167">
        <v>0.97264413675956496</v>
      </c>
      <c r="X277" s="167">
        <v>1.1821222256004901E-2</v>
      </c>
      <c r="Y277" s="189">
        <v>11.812429309820599</v>
      </c>
      <c r="Z277" s="207">
        <v>931</v>
      </c>
      <c r="AA277" s="207">
        <v>625</v>
      </c>
      <c r="AB277" s="167">
        <v>7852.69</v>
      </c>
      <c r="AD277" s="195">
        <v>1.1322590453025199E-2</v>
      </c>
      <c r="AE277" s="219">
        <v>7.6010945576162996E-3</v>
      </c>
      <c r="AF277" s="167">
        <v>8.4346831364124597</v>
      </c>
      <c r="AG277" s="222">
        <v>9.5502462754636697E-2</v>
      </c>
      <c r="AH277" s="223">
        <v>0.45630795167181798</v>
      </c>
      <c r="AI277" s="223">
        <v>0.30783928069682498</v>
      </c>
      <c r="AJ277" s="167">
        <v>0.37666159927029502</v>
      </c>
      <c r="AK277" s="224">
        <v>0.25377926421404701</v>
      </c>
      <c r="AL277" s="224">
        <v>4.8683490422620899E-2</v>
      </c>
      <c r="AM277" s="82">
        <v>0.30883551231377299</v>
      </c>
      <c r="AN277" s="261">
        <v>7.45</v>
      </c>
    </row>
    <row r="278" spans="1:40" s="167" customFormat="1" ht="16.05" customHeight="1">
      <c r="A278" s="186">
        <v>43619</v>
      </c>
      <c r="B278" s="185" t="s">
        <v>41</v>
      </c>
      <c r="C278" s="188">
        <v>19544</v>
      </c>
      <c r="D278" s="188">
        <v>87483</v>
      </c>
      <c r="E278" s="189">
        <v>4.4762075317232899</v>
      </c>
      <c r="F278" s="167">
        <v>0.60682718672199198</v>
      </c>
      <c r="G278" s="190">
        <v>10.95</v>
      </c>
      <c r="H278" s="190">
        <v>16.39</v>
      </c>
      <c r="I278" s="219">
        <v>0.29399999999999998</v>
      </c>
      <c r="J278" s="219">
        <v>0.14099999999999999</v>
      </c>
      <c r="K278" s="219">
        <v>8.1000000000000003E-2</v>
      </c>
      <c r="L278" s="167">
        <v>9.2702239292205295</v>
      </c>
      <c r="M278" s="220">
        <v>11.4895008173016</v>
      </c>
      <c r="N278" s="167">
        <v>18.5840328365936</v>
      </c>
      <c r="O278" s="193">
        <v>0.61824583061852001</v>
      </c>
      <c r="P278" s="167">
        <v>2.5950338350035098</v>
      </c>
      <c r="Q278" s="167">
        <v>3.73174204045409</v>
      </c>
      <c r="R278" s="167">
        <v>1.16623525496432</v>
      </c>
      <c r="S278" s="167">
        <v>5.9968938357430801</v>
      </c>
      <c r="T278" s="167">
        <v>1.6482268979033401</v>
      </c>
      <c r="U278" s="167">
        <v>0.44732463114299498</v>
      </c>
      <c r="V278" s="167">
        <v>2.0424509115112999</v>
      </c>
      <c r="W278" s="167">
        <v>0.95612542987094595</v>
      </c>
      <c r="X278" s="167">
        <v>1.2859641301738599E-2</v>
      </c>
      <c r="Y278" s="189">
        <v>11.5023604586034</v>
      </c>
      <c r="Z278" s="207">
        <v>930</v>
      </c>
      <c r="AA278" s="207">
        <v>601</v>
      </c>
      <c r="AB278" s="167">
        <v>7157.7</v>
      </c>
      <c r="AD278" s="195">
        <v>1.0630636809437301E-2</v>
      </c>
      <c r="AE278" s="219">
        <v>6.86990615319548E-3</v>
      </c>
      <c r="AF278" s="167">
        <v>7.6964516129032203</v>
      </c>
      <c r="AG278" s="222">
        <v>8.1818181818181804E-2</v>
      </c>
      <c r="AH278" s="223">
        <v>0.44801473598035202</v>
      </c>
      <c r="AI278" s="223">
        <v>0.29865943512075299</v>
      </c>
      <c r="AJ278" s="167">
        <v>0.388406890481579</v>
      </c>
      <c r="AK278" s="224">
        <v>0.25451802064401102</v>
      </c>
      <c r="AL278" s="224">
        <v>4.93467302218717E-2</v>
      </c>
      <c r="AM278" s="82">
        <v>0.30065269823851498</v>
      </c>
      <c r="AN278" s="261">
        <v>6.7939999999999996</v>
      </c>
    </row>
    <row r="279" spans="1:40" s="167" customFormat="1" ht="16.05" customHeight="1">
      <c r="A279" s="186">
        <v>43620</v>
      </c>
      <c r="B279" s="185" t="s">
        <v>41</v>
      </c>
      <c r="C279" s="188">
        <v>19841</v>
      </c>
      <c r="D279" s="188">
        <v>86634</v>
      </c>
      <c r="E279" s="189">
        <v>4.3664129832165699</v>
      </c>
      <c r="F279" s="167">
        <v>0.56521119599695302</v>
      </c>
      <c r="G279" s="190">
        <v>12</v>
      </c>
      <c r="H279" s="190">
        <v>17.55</v>
      </c>
      <c r="I279" s="219">
        <v>0.28899999999999998</v>
      </c>
      <c r="J279" s="219">
        <v>0.14199999999999999</v>
      </c>
      <c r="K279" s="219">
        <v>7.4999999999999997E-2</v>
      </c>
      <c r="L279" s="167">
        <v>8.9685227508830305</v>
      </c>
      <c r="M279" s="220">
        <v>10.551076944386701</v>
      </c>
      <c r="N279" s="167">
        <v>17.0435933770883</v>
      </c>
      <c r="O279" s="193">
        <v>0.61906410877946305</v>
      </c>
      <c r="P279" s="167">
        <v>2.4129064737470198</v>
      </c>
      <c r="Q279" s="167">
        <v>3.4424783711217199</v>
      </c>
      <c r="R279" s="167">
        <v>1.0343638126491601</v>
      </c>
      <c r="S279" s="167">
        <v>5.3642787887828201</v>
      </c>
      <c r="T279" s="167">
        <v>1.51021778042959</v>
      </c>
      <c r="U279" s="167">
        <v>0.47904236276849599</v>
      </c>
      <c r="V279" s="167">
        <v>1.8849753878281601</v>
      </c>
      <c r="W279" s="167">
        <v>0.91533039976133601</v>
      </c>
      <c r="X279" s="167">
        <v>1.24316088371771E-2</v>
      </c>
      <c r="Y279" s="189">
        <v>10.563508553223899</v>
      </c>
      <c r="Z279" s="207">
        <v>888</v>
      </c>
      <c r="AA279" s="207">
        <v>626</v>
      </c>
      <c r="AB279" s="167">
        <v>5410.12</v>
      </c>
      <c r="AD279" s="195">
        <v>1.02500173142184E-2</v>
      </c>
      <c r="AE279" s="219">
        <v>7.2258004940323698E-3</v>
      </c>
      <c r="AF279" s="167">
        <v>6.0924774774774804</v>
      </c>
      <c r="AG279" s="222">
        <v>6.2447999630629997E-2</v>
      </c>
      <c r="AH279" s="223">
        <v>0.45143893956957798</v>
      </c>
      <c r="AI279" s="223">
        <v>0.3159618970818</v>
      </c>
      <c r="AJ279" s="167">
        <v>0.417480434933167</v>
      </c>
      <c r="AK279" s="224">
        <v>0.26583096705681403</v>
      </c>
      <c r="AL279" s="224">
        <v>5.4724473070618902E-2</v>
      </c>
      <c r="AM279" s="82">
        <v>0.24866680518041401</v>
      </c>
      <c r="AN279" s="261">
        <v>6.556</v>
      </c>
    </row>
    <row r="280" spans="1:40" s="166" customFormat="1" ht="16.05" customHeight="1">
      <c r="A280" s="196">
        <v>43621</v>
      </c>
      <c r="B280" s="197" t="s">
        <v>41</v>
      </c>
      <c r="C280" s="198">
        <v>19093</v>
      </c>
      <c r="D280" s="198">
        <v>84097</v>
      </c>
      <c r="E280" s="200">
        <v>4.4045985439689899</v>
      </c>
      <c r="F280" s="166">
        <v>0.47885616942340398</v>
      </c>
      <c r="G280" s="217">
        <v>12.74</v>
      </c>
      <c r="H280" s="217">
        <v>18.63</v>
      </c>
      <c r="I280" s="203">
        <v>0.27700000000000002</v>
      </c>
      <c r="J280" s="203">
        <v>0.13600000000000001</v>
      </c>
      <c r="K280" s="203">
        <v>7.0999999999999994E-2</v>
      </c>
      <c r="L280" s="166">
        <v>8.0660546749586803</v>
      </c>
      <c r="M280" s="204">
        <v>8.90566845428493</v>
      </c>
      <c r="N280" s="166">
        <v>14.740301915015101</v>
      </c>
      <c r="O280" s="205">
        <v>0.60417137353294403</v>
      </c>
      <c r="P280" s="166">
        <v>2.2304119348934202</v>
      </c>
      <c r="Q280" s="166">
        <v>2.9682733374008499</v>
      </c>
      <c r="R280" s="166">
        <v>0.838394772579661</v>
      </c>
      <c r="S280" s="166">
        <v>4.3608022200791199</v>
      </c>
      <c r="T280" s="166">
        <v>1.3495837351650299</v>
      </c>
      <c r="U280" s="166">
        <v>0.51136609655769605</v>
      </c>
      <c r="V280" s="166">
        <v>1.6360880946289</v>
      </c>
      <c r="W280" s="166">
        <v>0.84538172371036602</v>
      </c>
      <c r="X280" s="166">
        <v>1.0701927536059599E-2</v>
      </c>
      <c r="Y280" s="200">
        <v>8.9163703818209896</v>
      </c>
      <c r="Z280" s="206">
        <v>664</v>
      </c>
      <c r="AA280" s="206">
        <v>471</v>
      </c>
      <c r="AB280" s="166">
        <v>3695.36</v>
      </c>
      <c r="AD280" s="210">
        <v>7.8956443154928196E-3</v>
      </c>
      <c r="AE280" s="203">
        <v>5.6006754105378297E-3</v>
      </c>
      <c r="AF280" s="166">
        <v>5.5653012048192796</v>
      </c>
      <c r="AG280" s="211">
        <v>4.3941638821836701E-2</v>
      </c>
      <c r="AH280" s="212">
        <v>0.42848164248677501</v>
      </c>
      <c r="AI280" s="212">
        <v>0.30780914471272203</v>
      </c>
      <c r="AJ280" s="166">
        <v>0.47357218450123101</v>
      </c>
      <c r="AK280" s="213">
        <v>0.29091406352188498</v>
      </c>
      <c r="AL280" s="213">
        <v>5.8016338276038401E-2</v>
      </c>
      <c r="AM280" s="214">
        <v>0</v>
      </c>
      <c r="AN280" s="261">
        <v>6.202</v>
      </c>
    </row>
    <row r="281" spans="1:40" s="167" customFormat="1" ht="16.05" customHeight="1">
      <c r="A281" s="186">
        <v>43622</v>
      </c>
      <c r="B281" s="187" t="s">
        <v>41</v>
      </c>
      <c r="C281" s="188">
        <v>20484</v>
      </c>
      <c r="D281" s="188">
        <v>84284</v>
      </c>
      <c r="E281" s="189">
        <v>4.11462604959969</v>
      </c>
      <c r="F281" s="167">
        <v>0.500265526576812</v>
      </c>
      <c r="G281" s="190">
        <v>13.37</v>
      </c>
      <c r="H281" s="190">
        <v>19.95</v>
      </c>
      <c r="I281" s="219">
        <v>0.314</v>
      </c>
      <c r="J281" s="219">
        <v>0.14699999999999999</v>
      </c>
      <c r="K281" s="219">
        <v>7.2999999999999995E-2</v>
      </c>
      <c r="L281" s="167">
        <v>8.1519149542024607</v>
      </c>
      <c r="M281" s="220">
        <v>8.8902045465331501</v>
      </c>
      <c r="N281" s="167">
        <v>14.635090529111899</v>
      </c>
      <c r="O281" s="193">
        <v>0.60745811779222603</v>
      </c>
      <c r="P281" s="167">
        <v>2.2209418152698301</v>
      </c>
      <c r="Q281" s="167">
        <v>2.96019453504951</v>
      </c>
      <c r="R281" s="167">
        <v>0.80939080841422695</v>
      </c>
      <c r="S281" s="167">
        <v>4.3117053067442699</v>
      </c>
      <c r="T281" s="167">
        <v>1.3430926385280999</v>
      </c>
      <c r="U281" s="167">
        <v>0.51036153049864297</v>
      </c>
      <c r="V281" s="167">
        <v>1.6335865934881499</v>
      </c>
      <c r="W281" s="167">
        <v>0.84581730111916198</v>
      </c>
      <c r="X281" s="167">
        <v>9.7408760856153003E-3</v>
      </c>
      <c r="Y281" s="189">
        <v>8.8999454226187709</v>
      </c>
      <c r="Z281" s="207">
        <v>669</v>
      </c>
      <c r="AA281" s="207">
        <v>494</v>
      </c>
      <c r="AB281" s="167">
        <v>3941.31</v>
      </c>
      <c r="AD281" s="195">
        <v>7.9374495752456004E-3</v>
      </c>
      <c r="AE281" s="219">
        <v>5.8611361587015296E-3</v>
      </c>
      <c r="AF281" s="167">
        <v>5.8913452914798201</v>
      </c>
      <c r="AG281" s="222">
        <v>4.67622561814817E-2</v>
      </c>
      <c r="AH281" s="223">
        <v>0.47642062097246601</v>
      </c>
      <c r="AI281" s="223">
        <v>0.31756492872485798</v>
      </c>
      <c r="AJ281" s="167">
        <v>0.466494233781026</v>
      </c>
      <c r="AK281" s="224">
        <v>0.28847705377058502</v>
      </c>
      <c r="AL281" s="224">
        <v>5.5218072231977597E-2</v>
      </c>
      <c r="AM281" s="82">
        <v>4.4017844430734197E-3</v>
      </c>
      <c r="AN281" s="261">
        <v>5.593</v>
      </c>
    </row>
    <row r="282" spans="1:40" s="167" customFormat="1" ht="16.05" customHeight="1">
      <c r="A282" s="186">
        <v>43623</v>
      </c>
      <c r="B282" s="187" t="s">
        <v>41</v>
      </c>
      <c r="C282" s="188">
        <v>24707</v>
      </c>
      <c r="D282" s="188">
        <v>88908</v>
      </c>
      <c r="E282" s="189">
        <v>3.5984943538268501</v>
      </c>
      <c r="F282" s="167">
        <v>0.49721066371979999</v>
      </c>
      <c r="G282" s="190">
        <v>13.8</v>
      </c>
      <c r="H282" s="190">
        <v>19.93</v>
      </c>
      <c r="I282" s="219">
        <v>0.28999999999999998</v>
      </c>
      <c r="J282" s="219">
        <v>0.13800000000000001</v>
      </c>
      <c r="K282" s="219">
        <v>7.0000000000000007E-2</v>
      </c>
      <c r="L282" s="167">
        <v>8.1585571602105507</v>
      </c>
      <c r="M282" s="220">
        <v>8.5619966707158</v>
      </c>
      <c r="N282" s="167">
        <v>14.4673774635574</v>
      </c>
      <c r="O282" s="193">
        <v>0.59181400998785305</v>
      </c>
      <c r="P282" s="167">
        <v>2.22190546781458</v>
      </c>
      <c r="Q282" s="167">
        <v>2.939449227436</v>
      </c>
      <c r="R282" s="167">
        <v>0.78149647452344295</v>
      </c>
      <c r="S282" s="167">
        <v>4.2330805633160402</v>
      </c>
      <c r="T282" s="167">
        <v>1.3260543170458201</v>
      </c>
      <c r="U282" s="167">
        <v>0.523861109527339</v>
      </c>
      <c r="V282" s="167">
        <v>1.6041773571279201</v>
      </c>
      <c r="W282" s="167">
        <v>0.83735294676625405</v>
      </c>
      <c r="X282" s="167">
        <v>1.3474602960363499E-2</v>
      </c>
      <c r="Y282" s="189">
        <v>8.5754712736761594</v>
      </c>
      <c r="Z282" s="207">
        <v>694</v>
      </c>
      <c r="AA282" s="207">
        <v>505</v>
      </c>
      <c r="AB282" s="167">
        <v>4445.0600000000004</v>
      </c>
      <c r="AD282" s="195">
        <v>7.8058217483241103E-3</v>
      </c>
      <c r="AE282" s="219">
        <v>5.6800287938093301E-3</v>
      </c>
      <c r="AF282" s="167">
        <v>6.4049855907781001</v>
      </c>
      <c r="AG282" s="222">
        <v>4.9996175822198202E-2</v>
      </c>
      <c r="AH282" s="223">
        <v>0.44315376209171498</v>
      </c>
      <c r="AI282" s="223">
        <v>0.29493665762739302</v>
      </c>
      <c r="AJ282" s="167">
        <v>0.44956584334368099</v>
      </c>
      <c r="AK282" s="224">
        <v>0.27269762001169801</v>
      </c>
      <c r="AL282" s="224">
        <v>5.0557880055787999E-2</v>
      </c>
      <c r="AM282" s="82">
        <v>2.3957349169928502E-3</v>
      </c>
      <c r="AN282" s="261">
        <v>5.5640000000000001</v>
      </c>
    </row>
    <row r="283" spans="1:40" s="167" customFormat="1" ht="16.05" customHeight="1">
      <c r="A283" s="186">
        <v>43624</v>
      </c>
      <c r="B283" s="185" t="s">
        <v>41</v>
      </c>
      <c r="C283" s="188">
        <v>25562</v>
      </c>
      <c r="D283" s="188">
        <v>90946</v>
      </c>
      <c r="E283" s="189">
        <v>3.5578593224317299</v>
      </c>
      <c r="F283" s="167">
        <v>0.67472943856794099</v>
      </c>
      <c r="G283" s="190">
        <v>12.15</v>
      </c>
      <c r="H283" s="190">
        <v>17.98</v>
      </c>
      <c r="I283" s="219">
        <v>0.26400000000000001</v>
      </c>
      <c r="J283" s="219">
        <v>0.128</v>
      </c>
      <c r="K283" s="219">
        <v>6.6000000000000003E-2</v>
      </c>
      <c r="L283" s="167">
        <v>9.7495986629428408</v>
      </c>
      <c r="M283" s="220">
        <v>11.277791216765999</v>
      </c>
      <c r="N283" s="167">
        <v>18.747052695070501</v>
      </c>
      <c r="O283" s="193">
        <v>0.60157675983550696</v>
      </c>
      <c r="P283" s="167">
        <v>2.6186141726526699</v>
      </c>
      <c r="Q283" s="167">
        <v>3.5398914295114299</v>
      </c>
      <c r="R283" s="167">
        <v>1.0651788488603799</v>
      </c>
      <c r="S283" s="167">
        <v>6.4511158633547199</v>
      </c>
      <c r="T283" s="167">
        <v>1.6003728683445699</v>
      </c>
      <c r="U283" s="167">
        <v>0.45727550218420399</v>
      </c>
      <c r="V283" s="167">
        <v>2.0874412823746602</v>
      </c>
      <c r="W283" s="167">
        <v>0.92716272778783104</v>
      </c>
      <c r="X283" s="167">
        <v>1.83185626635586E-2</v>
      </c>
      <c r="Y283" s="189">
        <v>11.296109779429599</v>
      </c>
      <c r="Z283" s="207">
        <v>1079</v>
      </c>
      <c r="AA283" s="207">
        <v>687</v>
      </c>
      <c r="AB283" s="167">
        <v>8659.2099999999991</v>
      </c>
      <c r="AD283" s="195">
        <v>1.18641831416445E-2</v>
      </c>
      <c r="AE283" s="219">
        <v>7.5539331031601199E-3</v>
      </c>
      <c r="AF283" s="167">
        <v>8.0252177942539404</v>
      </c>
      <c r="AG283" s="222">
        <v>9.5212653662613E-2</v>
      </c>
      <c r="AH283" s="223">
        <v>0.44319693294734402</v>
      </c>
      <c r="AI283" s="223">
        <v>0.29770753462170402</v>
      </c>
      <c r="AJ283" s="167">
        <v>0.35793767730301501</v>
      </c>
      <c r="AK283" s="224">
        <v>0.22897103775867</v>
      </c>
      <c r="AL283" s="224">
        <v>4.0760451256789697E-2</v>
      </c>
      <c r="AM283" s="82">
        <v>0.29912255624216599</v>
      </c>
      <c r="AN283" s="261">
        <v>6.4850000000000003</v>
      </c>
    </row>
    <row r="284" spans="1:40" s="167" customFormat="1" ht="16.05" customHeight="1">
      <c r="A284" s="186">
        <v>43625</v>
      </c>
      <c r="B284" s="185" t="s">
        <v>41</v>
      </c>
      <c r="C284" s="188">
        <v>23259</v>
      </c>
      <c r="D284" s="188">
        <v>89333</v>
      </c>
      <c r="E284" s="189">
        <v>3.8407928113848402</v>
      </c>
      <c r="F284" s="167">
        <v>0.68181669847648696</v>
      </c>
      <c r="G284" s="190">
        <v>12.99</v>
      </c>
      <c r="H284" s="190">
        <v>19.079999999999998</v>
      </c>
      <c r="I284" s="219">
        <v>0.28699999999999998</v>
      </c>
      <c r="J284" s="219">
        <v>0.13400000000000001</v>
      </c>
      <c r="K284" s="219">
        <v>7.1999999999999995E-2</v>
      </c>
      <c r="L284" s="167">
        <v>9.25562781950679</v>
      </c>
      <c r="M284" s="220">
        <v>11.149015481400999</v>
      </c>
      <c r="N284" s="167">
        <v>18.304999081051299</v>
      </c>
      <c r="O284" s="193">
        <v>0.60906943682625703</v>
      </c>
      <c r="P284" s="167">
        <v>2.5517000551369202</v>
      </c>
      <c r="Q284" s="167">
        <v>3.6487410402499498</v>
      </c>
      <c r="R284" s="167">
        <v>1.06476750597317</v>
      </c>
      <c r="S284" s="167">
        <v>5.9862892850578904</v>
      </c>
      <c r="T284" s="167">
        <v>1.6027384671935301</v>
      </c>
      <c r="U284" s="167">
        <v>0.46342584083808103</v>
      </c>
      <c r="V284" s="167">
        <v>2.0295717698952398</v>
      </c>
      <c r="W284" s="167">
        <v>0.95776511670648801</v>
      </c>
      <c r="X284" s="167">
        <v>1.7641856872600298E-2</v>
      </c>
      <c r="Y284" s="189">
        <v>11.1666573382736</v>
      </c>
      <c r="Z284" s="207">
        <v>986</v>
      </c>
      <c r="AA284" s="207">
        <v>670</v>
      </c>
      <c r="AB284" s="167">
        <v>7771.14</v>
      </c>
      <c r="AD284" s="195">
        <v>1.10373546169948E-2</v>
      </c>
      <c r="AE284" s="219">
        <v>7.5000279851790497E-3</v>
      </c>
      <c r="AF284" s="167">
        <v>7.88148073022312</v>
      </c>
      <c r="AG284" s="222">
        <v>8.6990697726484101E-2</v>
      </c>
      <c r="AH284" s="223">
        <v>0.458274216432349</v>
      </c>
      <c r="AI284" s="223">
        <v>0.32279977643062902</v>
      </c>
      <c r="AJ284" s="167">
        <v>0.36994167888686202</v>
      </c>
      <c r="AK284" s="224">
        <v>0.23173967067041301</v>
      </c>
      <c r="AL284" s="224">
        <v>4.17091108548912E-2</v>
      </c>
      <c r="AM284" s="82">
        <v>0.29964290911533298</v>
      </c>
      <c r="AN284" s="261">
        <v>7.4989999999999997</v>
      </c>
    </row>
    <row r="285" spans="1:40" s="167" customFormat="1" ht="16.05" customHeight="1">
      <c r="A285" s="186">
        <v>43626</v>
      </c>
      <c r="B285" s="185" t="s">
        <v>41</v>
      </c>
      <c r="C285" s="188">
        <v>24388</v>
      </c>
      <c r="D285" s="188">
        <v>93583</v>
      </c>
      <c r="E285" s="189">
        <v>3.8372560275545302</v>
      </c>
      <c r="F285" s="167">
        <v>0.67720253259673202</v>
      </c>
      <c r="G285" s="190">
        <v>13.14</v>
      </c>
      <c r="H285" s="190">
        <v>18.52</v>
      </c>
      <c r="I285" s="219">
        <v>0.29599999999999999</v>
      </c>
      <c r="J285" s="219">
        <v>0.14699999999999999</v>
      </c>
      <c r="K285" s="219">
        <v>8.4000000000000005E-2</v>
      </c>
      <c r="L285" s="167">
        <v>9.1952277657266794</v>
      </c>
      <c r="M285" s="220">
        <v>10.945812807881801</v>
      </c>
      <c r="N285" s="167">
        <v>17.758126311044801</v>
      </c>
      <c r="O285" s="193">
        <v>0.616383317482876</v>
      </c>
      <c r="P285" s="167">
        <v>2.5084860357470999</v>
      </c>
      <c r="Q285" s="167">
        <v>3.6274812336390299</v>
      </c>
      <c r="R285" s="167">
        <v>1.0166773572803101</v>
      </c>
      <c r="S285" s="167">
        <v>5.6031933151881796</v>
      </c>
      <c r="T285" s="167">
        <v>1.5717802472132201</v>
      </c>
      <c r="U285" s="167">
        <v>0.47398713659136998</v>
      </c>
      <c r="V285" s="167">
        <v>2.0024964027529801</v>
      </c>
      <c r="W285" s="167">
        <v>0.95402458263266499</v>
      </c>
      <c r="X285" s="167">
        <v>1.8037464069328799E-2</v>
      </c>
      <c r="Y285" s="189">
        <v>10.963850271951101</v>
      </c>
      <c r="Z285" s="207">
        <v>1032</v>
      </c>
      <c r="AA285" s="207">
        <v>691</v>
      </c>
      <c r="AB285" s="167">
        <v>8001.68</v>
      </c>
      <c r="AD285" s="195">
        <v>1.10276439096845E-2</v>
      </c>
      <c r="AE285" s="219">
        <v>7.3838197108449201E-3</v>
      </c>
      <c r="AF285" s="167">
        <v>7.7535658914728698</v>
      </c>
      <c r="AG285" s="222">
        <v>8.5503563681437897E-2</v>
      </c>
      <c r="AH285" s="223">
        <v>0.46219452189601401</v>
      </c>
      <c r="AI285" s="223">
        <v>0.32622601279317698</v>
      </c>
      <c r="AJ285" s="167">
        <v>0.38603165104773302</v>
      </c>
      <c r="AK285" s="224">
        <v>0.23775685754891401</v>
      </c>
      <c r="AL285" s="224">
        <v>4.3351890834873903E-2</v>
      </c>
      <c r="AM285" s="82">
        <v>0.29238216342711798</v>
      </c>
      <c r="AN285" s="261">
        <v>7.7039999999999997</v>
      </c>
    </row>
    <row r="286" spans="1:40" s="167" customFormat="1" ht="16.05" customHeight="1">
      <c r="A286" s="186">
        <v>43627</v>
      </c>
      <c r="B286" s="185" t="s">
        <v>41</v>
      </c>
      <c r="C286" s="188">
        <v>20657</v>
      </c>
      <c r="D286" s="188">
        <v>90394</v>
      </c>
      <c r="E286" s="189">
        <v>4.3759500411482799</v>
      </c>
      <c r="F286" s="167">
        <v>0.63058999214549605</v>
      </c>
      <c r="G286" s="190">
        <v>13.5</v>
      </c>
      <c r="H286" s="190">
        <v>19.670000000000002</v>
      </c>
      <c r="I286" s="219">
        <v>0.29599999999999999</v>
      </c>
      <c r="J286" s="219">
        <v>0.156</v>
      </c>
      <c r="K286" s="219">
        <v>8.3000000000000004E-2</v>
      </c>
      <c r="L286" s="167">
        <v>9.0409982963470998</v>
      </c>
      <c r="M286" s="220">
        <v>10.3124211783968</v>
      </c>
      <c r="N286" s="167">
        <v>16.638661311914301</v>
      </c>
      <c r="O286" s="193">
        <v>0.61978671150740094</v>
      </c>
      <c r="P286" s="167">
        <v>2.3492369477911601</v>
      </c>
      <c r="Q286" s="167">
        <v>3.4423025435073602</v>
      </c>
      <c r="R286" s="167">
        <v>0.97054886211512703</v>
      </c>
      <c r="S286" s="167">
        <v>5.1289424364123102</v>
      </c>
      <c r="T286" s="167">
        <v>1.46070504239179</v>
      </c>
      <c r="U286" s="167">
        <v>0.48917447568049999</v>
      </c>
      <c r="V286" s="167">
        <v>1.88380187416332</v>
      </c>
      <c r="W286" s="167">
        <v>0.91394912985274401</v>
      </c>
      <c r="X286" s="167">
        <v>2.18487952740226E-2</v>
      </c>
      <c r="Y286" s="189">
        <v>10.3342699736708</v>
      </c>
      <c r="Z286" s="207">
        <v>978</v>
      </c>
      <c r="AA286" s="207">
        <v>674</v>
      </c>
      <c r="AB286" s="167">
        <v>6698.22</v>
      </c>
      <c r="AD286" s="195">
        <v>1.0819302166073E-2</v>
      </c>
      <c r="AE286" s="219">
        <v>7.4562470960461997E-3</v>
      </c>
      <c r="AF286" s="167">
        <v>6.8488957055214703</v>
      </c>
      <c r="AG286" s="222">
        <v>7.4100272141956303E-2</v>
      </c>
      <c r="AH286" s="223">
        <v>0.469380839424892</v>
      </c>
      <c r="AI286" s="223">
        <v>0.348598538025851</v>
      </c>
      <c r="AJ286" s="167">
        <v>0.43196451091886601</v>
      </c>
      <c r="AK286" s="224">
        <v>0.26297099365002102</v>
      </c>
      <c r="AL286" s="224">
        <v>4.9627187645197697E-2</v>
      </c>
      <c r="AM286" s="82">
        <v>0.246144655618736</v>
      </c>
      <c r="AN286" s="261">
        <v>7.3620000000000001</v>
      </c>
    </row>
    <row r="287" spans="1:40" s="166" customFormat="1" ht="16.05" customHeight="1">
      <c r="A287" s="196">
        <v>43628</v>
      </c>
      <c r="B287" s="197" t="s">
        <v>41</v>
      </c>
      <c r="C287" s="198">
        <v>15234</v>
      </c>
      <c r="D287" s="198">
        <v>81789</v>
      </c>
      <c r="E287" s="200">
        <v>5.3688460023631404</v>
      </c>
      <c r="F287" s="166">
        <v>0.55945978656053996</v>
      </c>
      <c r="G287" s="217">
        <v>14.08</v>
      </c>
      <c r="H287" s="217">
        <v>20.88</v>
      </c>
      <c r="I287" s="203">
        <v>0.28699999999999998</v>
      </c>
      <c r="J287" s="203">
        <v>0.14199999999999999</v>
      </c>
      <c r="K287" s="203">
        <v>7.3999999999999996E-2</v>
      </c>
      <c r="L287" s="166">
        <v>8.12255926836127</v>
      </c>
      <c r="M287" s="204">
        <v>9.1568670603626394</v>
      </c>
      <c r="N287" s="166">
        <v>14.942459248618301</v>
      </c>
      <c r="O287" s="205">
        <v>0.61280856838939202</v>
      </c>
      <c r="P287" s="166">
        <v>2.2084156341653198</v>
      </c>
      <c r="Q287" s="166">
        <v>3.0224456814508902</v>
      </c>
      <c r="R287" s="166">
        <v>0.85554957004050203</v>
      </c>
      <c r="S287" s="166">
        <v>4.4368627920432502</v>
      </c>
      <c r="T287" s="166">
        <v>1.36272221224636</v>
      </c>
      <c r="U287" s="166">
        <v>0.51850521737395505</v>
      </c>
      <c r="V287" s="166">
        <v>1.67077672033678</v>
      </c>
      <c r="W287" s="166">
        <v>0.86718142096127404</v>
      </c>
      <c r="X287" s="166">
        <v>2.3291640685177702E-2</v>
      </c>
      <c r="Y287" s="200">
        <v>9.1801587010478194</v>
      </c>
      <c r="Z287" s="206">
        <v>779</v>
      </c>
      <c r="AA287" s="206">
        <v>520</v>
      </c>
      <c r="AB287" s="166">
        <v>4605.21</v>
      </c>
      <c r="AD287" s="210">
        <v>9.5245081856973404E-3</v>
      </c>
      <c r="AE287" s="203">
        <v>6.3578231791561199E-3</v>
      </c>
      <c r="AF287" s="166">
        <v>5.9116944801026996</v>
      </c>
      <c r="AG287" s="211">
        <v>5.63059824670799E-2</v>
      </c>
      <c r="AH287" s="212">
        <v>0.48011027963765301</v>
      </c>
      <c r="AI287" s="212">
        <v>0.38177760273073402</v>
      </c>
      <c r="AJ287" s="166">
        <v>0.49049383168885802</v>
      </c>
      <c r="AK287" s="213">
        <v>0.29961241731773203</v>
      </c>
      <c r="AL287" s="213">
        <v>5.5973297142647503E-2</v>
      </c>
      <c r="AM287" s="214">
        <v>0</v>
      </c>
      <c r="AN287" s="261">
        <v>6.3520000000000003</v>
      </c>
    </row>
    <row r="288" spans="1:40" s="167" customFormat="1" ht="16.05" customHeight="1">
      <c r="A288" s="186">
        <v>43629</v>
      </c>
      <c r="B288" s="187" t="s">
        <v>41</v>
      </c>
      <c r="C288" s="188">
        <v>16704</v>
      </c>
      <c r="D288" s="188">
        <v>80772</v>
      </c>
      <c r="E288" s="189">
        <v>4.8354885057471302</v>
      </c>
      <c r="F288" s="167">
        <v>0.53585180563809198</v>
      </c>
      <c r="G288" s="190">
        <v>14.93</v>
      </c>
      <c r="H288" s="190">
        <v>22.46</v>
      </c>
      <c r="I288" s="219">
        <v>0.30499999999999999</v>
      </c>
      <c r="J288" s="219">
        <v>0.14000000000000001</v>
      </c>
      <c r="K288" s="219">
        <v>7.4999999999999997E-2</v>
      </c>
      <c r="L288" s="167">
        <v>7.74028128559402</v>
      </c>
      <c r="M288" s="220">
        <v>8.6301317288169201</v>
      </c>
      <c r="N288" s="167">
        <v>14.213506514691201</v>
      </c>
      <c r="O288" s="193">
        <v>0.60717823007973104</v>
      </c>
      <c r="P288" s="167">
        <v>2.1768244193870698</v>
      </c>
      <c r="Q288" s="167">
        <v>2.8791468711130999</v>
      </c>
      <c r="R288" s="167">
        <v>0.79501661806985702</v>
      </c>
      <c r="S288" s="167">
        <v>4.1104540913076297</v>
      </c>
      <c r="T288" s="167">
        <v>1.3274677323980999</v>
      </c>
      <c r="U288" s="167">
        <v>0.50300756479008202</v>
      </c>
      <c r="V288" s="167">
        <v>1.5876883551169401</v>
      </c>
      <c r="W288" s="167">
        <v>0.833900862508411</v>
      </c>
      <c r="X288" s="167">
        <v>2.1269746942009601E-2</v>
      </c>
      <c r="Y288" s="189">
        <v>8.6514014757589308</v>
      </c>
      <c r="Z288" s="207">
        <v>635</v>
      </c>
      <c r="AA288" s="207">
        <v>449</v>
      </c>
      <c r="AB288" s="167">
        <v>3749.65</v>
      </c>
      <c r="AD288" s="195">
        <v>7.8616352201257896E-3</v>
      </c>
      <c r="AE288" s="219">
        <v>5.5588570296637397E-3</v>
      </c>
      <c r="AF288" s="167">
        <v>5.90496062992126</v>
      </c>
      <c r="AG288" s="222">
        <v>4.6422646461645102E-2</v>
      </c>
      <c r="AH288" s="223">
        <v>0.44043342911877398</v>
      </c>
      <c r="AI288" s="223">
        <v>0.30657327586206901</v>
      </c>
      <c r="AJ288" s="167">
        <v>0.45218640122814802</v>
      </c>
      <c r="AK288" s="224">
        <v>0.29601842222552399</v>
      </c>
      <c r="AL288" s="224">
        <v>5.4672411231614898E-2</v>
      </c>
      <c r="AM288" s="82">
        <v>0</v>
      </c>
      <c r="AN288" s="261">
        <v>6.3070000000000004</v>
      </c>
    </row>
    <row r="289" spans="1:40" s="167" customFormat="1" ht="15" customHeight="1">
      <c r="A289" s="186">
        <v>43630</v>
      </c>
      <c r="B289" s="187" t="s">
        <v>41</v>
      </c>
      <c r="C289" s="188">
        <v>21493</v>
      </c>
      <c r="D289" s="188">
        <v>85426</v>
      </c>
      <c r="E289" s="189">
        <v>3.9745963802168101</v>
      </c>
      <c r="F289" s="167">
        <v>0.49965761936646902</v>
      </c>
      <c r="G289" s="190">
        <v>14.06</v>
      </c>
      <c r="H289" s="190">
        <v>21.77</v>
      </c>
      <c r="I289" s="219">
        <v>0.28699999999999998</v>
      </c>
      <c r="J289" s="219">
        <v>0.13500000000000001</v>
      </c>
      <c r="K289" s="219">
        <v>6.8000000000000005E-2</v>
      </c>
      <c r="L289" s="167">
        <v>7.8024723152201902</v>
      </c>
      <c r="M289" s="220">
        <v>8.5094935967972294</v>
      </c>
      <c r="N289" s="167">
        <v>14.301802156291799</v>
      </c>
      <c r="O289" s="193">
        <v>0.594994498162152</v>
      </c>
      <c r="P289" s="167">
        <v>2.2287715432438802</v>
      </c>
      <c r="Q289" s="167">
        <v>2.8816006925316802</v>
      </c>
      <c r="R289" s="167">
        <v>0.78252144487290498</v>
      </c>
      <c r="S289" s="167">
        <v>4.1254623435901498</v>
      </c>
      <c r="T289" s="167">
        <v>1.3396749822932199</v>
      </c>
      <c r="U289" s="167">
        <v>0.50619737152750499</v>
      </c>
      <c r="V289" s="167">
        <v>1.5954198473282399</v>
      </c>
      <c r="W289" s="167">
        <v>0.84215393090422597</v>
      </c>
      <c r="X289" s="167">
        <v>2.14571676070517E-2</v>
      </c>
      <c r="Y289" s="189">
        <v>8.5309507644042792</v>
      </c>
      <c r="Z289" s="207">
        <v>690</v>
      </c>
      <c r="AA289" s="207">
        <v>498</v>
      </c>
      <c r="AB289" s="167">
        <v>4126.1000000000004</v>
      </c>
      <c r="AD289" s="195">
        <v>8.0771662023271604E-3</v>
      </c>
      <c r="AE289" s="219">
        <v>5.8296069112448202E-3</v>
      </c>
      <c r="AF289" s="167">
        <v>5.9798550724637698</v>
      </c>
      <c r="AG289" s="222">
        <v>4.8300283286119003E-2</v>
      </c>
      <c r="AH289" s="223">
        <v>0.45275205880984498</v>
      </c>
      <c r="AI289" s="223">
        <v>0.30605313357837399</v>
      </c>
      <c r="AJ289" s="167">
        <v>0.444513380001405</v>
      </c>
      <c r="AK289" s="224">
        <v>0.28148338913211401</v>
      </c>
      <c r="AL289" s="224">
        <v>5.0652026315173397E-2</v>
      </c>
      <c r="AM289" s="82">
        <v>0</v>
      </c>
      <c r="AN289" s="261">
        <v>5.6749999999999998</v>
      </c>
    </row>
    <row r="290" spans="1:40" s="167" customFormat="1" ht="15" customHeight="1">
      <c r="A290" s="186">
        <v>43631</v>
      </c>
      <c r="B290" s="185" t="s">
        <v>41</v>
      </c>
      <c r="C290" s="188">
        <v>19115</v>
      </c>
      <c r="D290" s="188">
        <v>81566</v>
      </c>
      <c r="E290" s="189">
        <v>4.26712006277792</v>
      </c>
      <c r="F290" s="167">
        <v>0.71418917433734697</v>
      </c>
      <c r="G290" s="190">
        <v>12.45</v>
      </c>
      <c r="H290" s="190">
        <v>20.149999999999999</v>
      </c>
      <c r="I290" s="219">
        <v>0.26200000000000001</v>
      </c>
      <c r="J290" s="219">
        <v>0.126</v>
      </c>
      <c r="K290" s="219">
        <v>6.4000000000000001E-2</v>
      </c>
      <c r="L290" s="167">
        <v>9.4876664296398001</v>
      </c>
      <c r="M290" s="220">
        <v>11.61339283525</v>
      </c>
      <c r="N290" s="167">
        <v>19.052233552565401</v>
      </c>
      <c r="O290" s="193">
        <v>0.60955545202658001</v>
      </c>
      <c r="P290" s="167">
        <v>2.6080572819244101</v>
      </c>
      <c r="Q290" s="167">
        <v>3.5980611034011099</v>
      </c>
      <c r="R290" s="167">
        <v>1.11748023894286</v>
      </c>
      <c r="S290" s="167">
        <v>6.5884068464772003</v>
      </c>
      <c r="T290" s="167">
        <v>1.6234638669321599</v>
      </c>
      <c r="U290" s="167">
        <v>0.44357287958325797</v>
      </c>
      <c r="V290" s="167">
        <v>2.1251030793057</v>
      </c>
      <c r="W290" s="167">
        <v>0.94808825599871305</v>
      </c>
      <c r="X290" s="167">
        <v>2.2607458990265599E-2</v>
      </c>
      <c r="Y290" s="189">
        <v>11.636000294240199</v>
      </c>
      <c r="Z290" s="207">
        <v>951</v>
      </c>
      <c r="AA290" s="207">
        <v>624</v>
      </c>
      <c r="AB290" s="167">
        <v>8018.49</v>
      </c>
      <c r="AD290" s="195">
        <v>1.1659269793786601E-2</v>
      </c>
      <c r="AE290" s="219">
        <v>7.6502464262069997E-3</v>
      </c>
      <c r="AF290" s="167">
        <v>8.4316403785489005</v>
      </c>
      <c r="AG290" s="222">
        <v>9.8306769977686795E-2</v>
      </c>
      <c r="AH290" s="223">
        <v>0.44190426366727698</v>
      </c>
      <c r="AI290" s="223">
        <v>0.31095997907402601</v>
      </c>
      <c r="AJ290" s="167">
        <v>0.36482112644974601</v>
      </c>
      <c r="AK290" s="224">
        <v>0.240173601745825</v>
      </c>
      <c r="AL290" s="224">
        <v>4.1831155138170303E-2</v>
      </c>
      <c r="AM290" s="82">
        <v>0.31558492509133701</v>
      </c>
      <c r="AN290" s="261">
        <v>5.8170000000000002</v>
      </c>
    </row>
    <row r="291" spans="1:40" s="167" customFormat="1" ht="15" customHeight="1">
      <c r="A291" s="186">
        <v>43632</v>
      </c>
      <c r="B291" s="185" t="s">
        <v>41</v>
      </c>
      <c r="C291" s="188">
        <v>21836</v>
      </c>
      <c r="D291" s="188">
        <v>84475</v>
      </c>
      <c r="E291" s="189">
        <v>3.8686114673017</v>
      </c>
      <c r="F291" s="167">
        <v>0.63998995124001201</v>
      </c>
      <c r="G291" s="190">
        <v>12.29</v>
      </c>
      <c r="H291" s="190">
        <v>19.72</v>
      </c>
      <c r="I291" s="219">
        <v>0.25900000000000001</v>
      </c>
      <c r="J291" s="219">
        <v>0.121</v>
      </c>
      <c r="K291" s="219">
        <v>6.2E-2</v>
      </c>
      <c r="L291" s="167">
        <v>8.9752707901746103</v>
      </c>
      <c r="M291" s="220">
        <v>10.956389464338599</v>
      </c>
      <c r="N291" s="167">
        <v>18.071325367072799</v>
      </c>
      <c r="O291" s="193">
        <v>0.60628588339745504</v>
      </c>
      <c r="P291" s="167">
        <v>2.5375078100593602</v>
      </c>
      <c r="Q291" s="167">
        <v>3.6034247110278002</v>
      </c>
      <c r="R291" s="167">
        <v>1.05769681349578</v>
      </c>
      <c r="S291" s="167">
        <v>5.9259215870040602</v>
      </c>
      <c r="T291" s="167">
        <v>1.5805412371134</v>
      </c>
      <c r="U291" s="167">
        <v>0.44452905342080601</v>
      </c>
      <c r="V291" s="167">
        <v>1.98346219931271</v>
      </c>
      <c r="W291" s="167">
        <v>0.93824195563886303</v>
      </c>
      <c r="X291" s="167">
        <v>1.3317549570879E-2</v>
      </c>
      <c r="Y291" s="189">
        <v>10.9697070139094</v>
      </c>
      <c r="Z291" s="207">
        <v>845</v>
      </c>
      <c r="AA291" s="207">
        <v>558</v>
      </c>
      <c r="AB291" s="167">
        <v>7180.55</v>
      </c>
      <c r="AD291" s="195">
        <v>1.00029594554602E-2</v>
      </c>
      <c r="AE291" s="219">
        <v>6.60550458715596E-3</v>
      </c>
      <c r="AF291" s="167">
        <v>8.4976923076923097</v>
      </c>
      <c r="AG291" s="222">
        <v>8.5002071618822103E-2</v>
      </c>
      <c r="AH291" s="223">
        <v>0.43272577395127299</v>
      </c>
      <c r="AI291" s="223">
        <v>0.28906393112291601</v>
      </c>
      <c r="AJ291" s="167">
        <v>0.35071914767682699</v>
      </c>
      <c r="AK291" s="224">
        <v>0.233548387096774</v>
      </c>
      <c r="AL291" s="224">
        <v>4.1325836046167498E-2</v>
      </c>
      <c r="AM291" s="82">
        <v>0.308493637170761</v>
      </c>
      <c r="AN291" s="261">
        <v>6.8419999999999996</v>
      </c>
    </row>
    <row r="292" spans="1:40" s="167" customFormat="1" ht="15" customHeight="1">
      <c r="A292" s="186">
        <v>43633</v>
      </c>
      <c r="B292" s="185" t="s">
        <v>41</v>
      </c>
      <c r="C292" s="188">
        <v>19036</v>
      </c>
      <c r="D292" s="188">
        <v>84683</v>
      </c>
      <c r="E292" s="189">
        <v>4.4485711283883198</v>
      </c>
      <c r="F292" s="167">
        <v>0.58830307489106404</v>
      </c>
      <c r="G292" s="190">
        <v>12.29</v>
      </c>
      <c r="H292" s="190">
        <v>18.98</v>
      </c>
      <c r="I292" s="219">
        <v>0.27400000000000002</v>
      </c>
      <c r="J292" s="219">
        <v>0.13200000000000001</v>
      </c>
      <c r="K292" s="219">
        <v>7.0999999999999994E-2</v>
      </c>
      <c r="L292" s="167">
        <v>8.9923833591157596</v>
      </c>
      <c r="M292" s="220">
        <v>10.9829717889069</v>
      </c>
      <c r="N292" s="167">
        <v>17.843088729016799</v>
      </c>
      <c r="O292" s="193">
        <v>0.61553086215651298</v>
      </c>
      <c r="P292" s="167">
        <v>2.50467146282974</v>
      </c>
      <c r="Q292" s="167">
        <v>3.6257458033573098</v>
      </c>
      <c r="R292" s="167">
        <v>1.01910791366906</v>
      </c>
      <c r="S292" s="167">
        <v>5.7079904076738597</v>
      </c>
      <c r="T292" s="167">
        <v>1.59395683453237</v>
      </c>
      <c r="U292" s="167">
        <v>0.45594244604316603</v>
      </c>
      <c r="V292" s="167">
        <v>1.99081055155875</v>
      </c>
      <c r="W292" s="167">
        <v>0.94486330935251805</v>
      </c>
      <c r="X292" s="167">
        <v>1.21630079236683E-2</v>
      </c>
      <c r="Y292" s="189">
        <v>10.9951347968305</v>
      </c>
      <c r="Z292" s="207">
        <v>790</v>
      </c>
      <c r="AA292" s="207">
        <v>575</v>
      </c>
      <c r="AB292" s="167">
        <v>5131.1000000000004</v>
      </c>
      <c r="AD292" s="195">
        <v>9.3289089899979902E-3</v>
      </c>
      <c r="AE292" s="219">
        <v>6.7900286952517E-3</v>
      </c>
      <c r="AF292" s="167">
        <v>6.4950632911392399</v>
      </c>
      <c r="AG292" s="222">
        <v>6.0591854327314801E-2</v>
      </c>
      <c r="AH292" s="223">
        <v>0.44857112838831698</v>
      </c>
      <c r="AI292" s="223">
        <v>0.32533095188064698</v>
      </c>
      <c r="AJ292" s="167">
        <v>0.387031635629347</v>
      </c>
      <c r="AK292" s="224">
        <v>0.245220410235821</v>
      </c>
      <c r="AL292" s="224">
        <v>4.3715976051864003E-2</v>
      </c>
      <c r="AM292" s="82">
        <v>0.30903487122563</v>
      </c>
      <c r="AN292" s="261">
        <v>6.2110000000000003</v>
      </c>
    </row>
    <row r="293" spans="1:40" s="167" customFormat="1" ht="13.95" customHeight="1">
      <c r="A293" s="186">
        <v>43634</v>
      </c>
      <c r="B293" s="185" t="s">
        <v>41</v>
      </c>
      <c r="C293" s="188">
        <v>18499</v>
      </c>
      <c r="D293" s="188">
        <v>82750</v>
      </c>
      <c r="E293" s="189">
        <v>4.4732147683658603</v>
      </c>
      <c r="F293" s="167">
        <v>0.59041832396374605</v>
      </c>
      <c r="G293" s="190">
        <v>12.73</v>
      </c>
      <c r="H293" s="190">
        <v>19.22</v>
      </c>
      <c r="I293" s="219">
        <v>0.28599999999999998</v>
      </c>
      <c r="J293" s="219">
        <v>0.14000000000000001</v>
      </c>
      <c r="K293" s="219">
        <v>7.2999999999999995E-2</v>
      </c>
      <c r="L293" s="167">
        <v>8.7497885196374607</v>
      </c>
      <c r="M293" s="220">
        <v>10.286574018126901</v>
      </c>
      <c r="N293" s="167">
        <v>16.746950499724601</v>
      </c>
      <c r="O293" s="193">
        <v>0.61423564954682797</v>
      </c>
      <c r="P293" s="167">
        <v>2.3836861572361698</v>
      </c>
      <c r="Q293" s="167">
        <v>3.4316518454395202</v>
      </c>
      <c r="R293" s="167">
        <v>0.96035649641929599</v>
      </c>
      <c r="S293" s="167">
        <v>5.1990831824978399</v>
      </c>
      <c r="T293" s="167">
        <v>1.4976587707562801</v>
      </c>
      <c r="U293" s="167">
        <v>0.48154560478476399</v>
      </c>
      <c r="V293" s="167">
        <v>1.87249154009601</v>
      </c>
      <c r="W293" s="167">
        <v>0.92047690249468805</v>
      </c>
      <c r="X293" s="167">
        <v>1.21450151057402E-2</v>
      </c>
      <c r="Y293" s="189">
        <v>10.298719033232601</v>
      </c>
      <c r="Z293" s="207">
        <v>743</v>
      </c>
      <c r="AA293" s="207">
        <v>518</v>
      </c>
      <c r="AB293" s="167">
        <v>5536.57</v>
      </c>
      <c r="AD293" s="195">
        <v>8.9788519637462195E-3</v>
      </c>
      <c r="AE293" s="219">
        <v>6.2598187311178203E-3</v>
      </c>
      <c r="AF293" s="167">
        <v>7.4516419919246299</v>
      </c>
      <c r="AG293" s="222">
        <v>6.6907190332326297E-2</v>
      </c>
      <c r="AH293" s="223">
        <v>0.451105465160279</v>
      </c>
      <c r="AI293" s="223">
        <v>0.308881561165468</v>
      </c>
      <c r="AJ293" s="167">
        <v>0.41134743202416901</v>
      </c>
      <c r="AK293" s="224">
        <v>0.26337160120845898</v>
      </c>
      <c r="AL293" s="224">
        <v>5.1093655589123897E-2</v>
      </c>
      <c r="AM293" s="82">
        <v>0.25357099697885199</v>
      </c>
      <c r="AN293" s="261">
        <v>6.319</v>
      </c>
    </row>
    <row r="294" spans="1:40" s="166" customFormat="1" ht="13.95" customHeight="1">
      <c r="A294" s="196">
        <v>43635</v>
      </c>
      <c r="B294" s="197" t="s">
        <v>41</v>
      </c>
      <c r="C294" s="198">
        <v>16383</v>
      </c>
      <c r="D294" s="198">
        <v>77837</v>
      </c>
      <c r="E294" s="200">
        <v>4.7510834401513797</v>
      </c>
      <c r="F294" s="166">
        <v>0.50153891584978905</v>
      </c>
      <c r="G294" s="217">
        <v>13.09</v>
      </c>
      <c r="H294" s="217">
        <v>19.61</v>
      </c>
      <c r="I294" s="203">
        <v>0.29399999999999998</v>
      </c>
      <c r="J294" s="203">
        <v>0.14399999999999999</v>
      </c>
      <c r="K294" s="203">
        <v>0.08</v>
      </c>
      <c r="L294" s="166">
        <v>8.18784125801354</v>
      </c>
      <c r="M294" s="204">
        <v>9.1673497180004393</v>
      </c>
      <c r="N294" s="166">
        <v>15.0565285280216</v>
      </c>
      <c r="O294" s="205">
        <v>0.60886210927964901</v>
      </c>
      <c r="P294" s="166">
        <v>2.2381203578663098</v>
      </c>
      <c r="Q294" s="166">
        <v>2.9761141120864298</v>
      </c>
      <c r="R294" s="166">
        <v>0.85898463875759601</v>
      </c>
      <c r="S294" s="166">
        <v>4.5444167792032397</v>
      </c>
      <c r="T294" s="166">
        <v>1.36550472653612</v>
      </c>
      <c r="U294" s="166">
        <v>0.51856853477380105</v>
      </c>
      <c r="V294" s="166">
        <v>1.68608625928427</v>
      </c>
      <c r="W294" s="166">
        <v>0.86873311951384202</v>
      </c>
      <c r="X294" s="166">
        <v>1.31043077199789E-2</v>
      </c>
      <c r="Y294" s="200">
        <v>9.1804540257204206</v>
      </c>
      <c r="Z294" s="206">
        <v>580</v>
      </c>
      <c r="AA294" s="206">
        <v>417</v>
      </c>
      <c r="AB294" s="166">
        <v>3454.2</v>
      </c>
      <c r="AD294" s="210">
        <v>7.4514690956742902E-3</v>
      </c>
      <c r="AE294" s="203">
        <v>5.3573493325796201E-3</v>
      </c>
      <c r="AF294" s="166">
        <v>5.9555172413793098</v>
      </c>
      <c r="AG294" s="211">
        <v>4.4377352672893298E-2</v>
      </c>
      <c r="AH294" s="212">
        <v>0.47610327778795097</v>
      </c>
      <c r="AI294" s="212">
        <v>0.354696941952023</v>
      </c>
      <c r="AJ294" s="166">
        <v>0.48584863239847398</v>
      </c>
      <c r="AK294" s="213">
        <v>0.29387052430078198</v>
      </c>
      <c r="AL294" s="213">
        <v>5.53464290761463E-2</v>
      </c>
      <c r="AM294" s="214">
        <v>0</v>
      </c>
      <c r="AN294" s="261">
        <v>5.548</v>
      </c>
    </row>
    <row r="295" spans="1:40" s="167" customFormat="1" ht="13.95" customHeight="1">
      <c r="A295" s="186">
        <v>43636</v>
      </c>
      <c r="B295" s="187" t="s">
        <v>41</v>
      </c>
      <c r="C295" s="188">
        <v>14740</v>
      </c>
      <c r="D295" s="188">
        <v>75041</v>
      </c>
      <c r="E295" s="189">
        <v>5.0909769335142503</v>
      </c>
      <c r="F295" s="167">
        <v>0.58054198776668797</v>
      </c>
      <c r="G295" s="190">
        <v>14.65</v>
      </c>
      <c r="H295" s="190">
        <v>21.72</v>
      </c>
      <c r="I295" s="219">
        <v>0.30099999999999999</v>
      </c>
      <c r="J295" s="219">
        <v>0.14299999999999999</v>
      </c>
      <c r="K295" s="219">
        <v>7.9000000000000001E-2</v>
      </c>
      <c r="L295" s="167">
        <v>7.9635799096493898</v>
      </c>
      <c r="M295" s="220">
        <v>9.0016391039564994</v>
      </c>
      <c r="N295" s="167">
        <v>14.8322866804269</v>
      </c>
      <c r="O295" s="193">
        <v>0.60689489745605696</v>
      </c>
      <c r="P295" s="167">
        <v>2.2176013350314001</v>
      </c>
      <c r="Q295" s="167">
        <v>3.0111325809143201</v>
      </c>
      <c r="R295" s="167">
        <v>0.83843485134601003</v>
      </c>
      <c r="S295" s="167">
        <v>4.35990953405648</v>
      </c>
      <c r="T295" s="167">
        <v>1.3678801984980899</v>
      </c>
      <c r="U295" s="167">
        <v>0.51302094769663198</v>
      </c>
      <c r="V295" s="167">
        <v>1.6605331342497001</v>
      </c>
      <c r="W295" s="167">
        <v>0.86377409863422805</v>
      </c>
      <c r="X295" s="167">
        <v>1.5644780853133599E-2</v>
      </c>
      <c r="Y295" s="189">
        <v>9.0172838848096397</v>
      </c>
      <c r="Z295" s="207">
        <v>561</v>
      </c>
      <c r="AA295" s="207">
        <v>407</v>
      </c>
      <c r="AB295" s="167">
        <v>4490.3900000000003</v>
      </c>
      <c r="AD295" s="195">
        <v>7.4759131674684504E-3</v>
      </c>
      <c r="AE295" s="219">
        <v>5.4237017097320097E-3</v>
      </c>
      <c r="AF295" s="167">
        <v>8.0042602495543704</v>
      </c>
      <c r="AG295" s="222">
        <v>5.9839154595487803E-2</v>
      </c>
      <c r="AH295" s="223">
        <v>0.47985074626865698</v>
      </c>
      <c r="AI295" s="223">
        <v>0.34803256445047498</v>
      </c>
      <c r="AJ295" s="167">
        <v>0.472568329313309</v>
      </c>
      <c r="AK295" s="224">
        <v>0.29994269799176398</v>
      </c>
      <c r="AL295" s="224">
        <v>5.4663450646979701E-2</v>
      </c>
      <c r="AM295" s="82">
        <v>0</v>
      </c>
      <c r="AN295" s="261">
        <v>6.0419999999999998</v>
      </c>
    </row>
    <row r="296" spans="1:40" s="167" customFormat="1" ht="16.5" customHeight="1">
      <c r="A296" s="186">
        <v>43637</v>
      </c>
      <c r="B296" s="187" t="s">
        <v>41</v>
      </c>
      <c r="C296" s="188">
        <v>14855</v>
      </c>
      <c r="D296" s="188">
        <v>74296</v>
      </c>
      <c r="E296" s="189">
        <v>5.0014136654325103</v>
      </c>
      <c r="F296" s="167">
        <v>0.579090704290944</v>
      </c>
      <c r="G296" s="190">
        <v>15.45</v>
      </c>
      <c r="H296" s="190">
        <v>23.61</v>
      </c>
      <c r="I296" s="219">
        <v>0.30299999999999999</v>
      </c>
      <c r="J296" s="219">
        <v>0.15</v>
      </c>
      <c r="K296" s="219">
        <v>7.3999999999999996E-2</v>
      </c>
      <c r="L296" s="167">
        <v>7.7860988478518403</v>
      </c>
      <c r="M296" s="220">
        <v>8.9638473134489107</v>
      </c>
      <c r="N296" s="167">
        <v>14.8978368342169</v>
      </c>
      <c r="O296" s="193">
        <v>0.60168784322170799</v>
      </c>
      <c r="P296" s="167">
        <v>2.2187325235442801</v>
      </c>
      <c r="Q296" s="167">
        <v>3.1551350021251401</v>
      </c>
      <c r="R296" s="167">
        <v>0.82072791535243705</v>
      </c>
      <c r="S296" s="167">
        <v>4.3434221416907102</v>
      </c>
      <c r="T296" s="167">
        <v>1.3481869225779</v>
      </c>
      <c r="U296" s="167">
        <v>0.508109075453549</v>
      </c>
      <c r="V296" s="167">
        <v>1.65382636512091</v>
      </c>
      <c r="W296" s="167">
        <v>0.84969688835201196</v>
      </c>
      <c r="X296" s="167">
        <v>1.3540432863142E-2</v>
      </c>
      <c r="Y296" s="189">
        <v>8.9773877463120506</v>
      </c>
      <c r="Z296" s="207">
        <v>612</v>
      </c>
      <c r="AA296" s="207">
        <v>433</v>
      </c>
      <c r="AB296" s="167">
        <v>3792.88</v>
      </c>
      <c r="AD296" s="195">
        <v>8.2373209863249707E-3</v>
      </c>
      <c r="AE296" s="219">
        <v>5.8280391945730601E-3</v>
      </c>
      <c r="AF296" s="167">
        <v>6.1975163398692796</v>
      </c>
      <c r="AG296" s="222">
        <v>5.1050931409497097E-2</v>
      </c>
      <c r="AH296" s="223">
        <v>0.45977785257489101</v>
      </c>
      <c r="AI296" s="223">
        <v>0.33847189498485403</v>
      </c>
      <c r="AJ296" s="167">
        <v>0.45795197588026298</v>
      </c>
      <c r="AK296" s="224">
        <v>0.29872402282760802</v>
      </c>
      <c r="AL296" s="224">
        <v>5.4377086249596203E-2</v>
      </c>
      <c r="AM296" s="82">
        <v>3.3918380531926398E-3</v>
      </c>
      <c r="AN296" s="261">
        <v>6.8710000000000004</v>
      </c>
    </row>
    <row r="297" spans="1:40" s="167" customFormat="1" ht="13.95" customHeight="1">
      <c r="A297" s="186">
        <v>43638</v>
      </c>
      <c r="B297" s="185" t="s">
        <v>41</v>
      </c>
      <c r="C297" s="188">
        <v>17239</v>
      </c>
      <c r="D297" s="188">
        <v>75102</v>
      </c>
      <c r="E297" s="189">
        <v>4.3565171993735099</v>
      </c>
      <c r="F297" s="167">
        <v>0.59049384205480504</v>
      </c>
      <c r="G297" s="190">
        <v>16.079999999999998</v>
      </c>
      <c r="H297" s="190">
        <v>25.3</v>
      </c>
      <c r="I297" s="219">
        <v>0.29099999999999998</v>
      </c>
      <c r="J297" s="219">
        <v>0.14499999999999999</v>
      </c>
      <c r="K297" s="219">
        <v>7.1999999999999995E-2</v>
      </c>
      <c r="L297" s="167">
        <v>7.8607360656174299</v>
      </c>
      <c r="M297" s="220">
        <v>8.7806849351548593</v>
      </c>
      <c r="N297" s="167">
        <v>14.8276970814408</v>
      </c>
      <c r="O297" s="193">
        <v>0.59218130009853298</v>
      </c>
      <c r="P297" s="167">
        <v>2.2204658901830299</v>
      </c>
      <c r="Q297" s="167">
        <v>3.09014255520079</v>
      </c>
      <c r="R297" s="167">
        <v>0.80696586769798095</v>
      </c>
      <c r="S297" s="167">
        <v>4.3732068174663796</v>
      </c>
      <c r="T297" s="167">
        <v>1.3422449071367499</v>
      </c>
      <c r="U297" s="167">
        <v>0.51526734721410306</v>
      </c>
      <c r="V297" s="167">
        <v>1.6348203444709299</v>
      </c>
      <c r="W297" s="167">
        <v>0.84458335207087298</v>
      </c>
      <c r="X297" s="167">
        <v>1.4087507656254199E-2</v>
      </c>
      <c r="Y297" s="189">
        <v>8.7947724428111105</v>
      </c>
      <c r="Z297" s="207">
        <v>606</v>
      </c>
      <c r="AA297" s="207">
        <v>452</v>
      </c>
      <c r="AB297" s="167">
        <v>3879.94</v>
      </c>
      <c r="AD297" s="195">
        <v>8.0690261244707202E-3</v>
      </c>
      <c r="AE297" s="219">
        <v>6.0184815317834402E-3</v>
      </c>
      <c r="AF297" s="167">
        <v>6.4025412541254099</v>
      </c>
      <c r="AG297" s="222">
        <v>5.1662272642539503E-2</v>
      </c>
      <c r="AH297" s="223">
        <v>0.47195312953187502</v>
      </c>
      <c r="AI297" s="223">
        <v>0.33018156505597801</v>
      </c>
      <c r="AJ297" s="167">
        <v>0.45448856222204498</v>
      </c>
      <c r="AK297" s="224">
        <v>0.28284200154456601</v>
      </c>
      <c r="AL297" s="224">
        <v>5.0757636281324098E-2</v>
      </c>
      <c r="AM297" s="82">
        <v>2.2769034113605501E-3</v>
      </c>
      <c r="AN297" s="261">
        <v>7.8449999999999998</v>
      </c>
    </row>
    <row r="298" spans="1:40" s="167" customFormat="1" ht="13.05" customHeight="1">
      <c r="A298" s="186">
        <v>43639</v>
      </c>
      <c r="B298" s="185" t="s">
        <v>41</v>
      </c>
      <c r="C298" s="188">
        <v>17608</v>
      </c>
      <c r="D298" s="188">
        <v>74923</v>
      </c>
      <c r="E298" s="189">
        <v>4.2550545206724202</v>
      </c>
      <c r="F298" s="167">
        <v>0.55499376259626498</v>
      </c>
      <c r="G298" s="190">
        <v>15.12</v>
      </c>
      <c r="H298" s="190">
        <v>23.43</v>
      </c>
      <c r="I298" s="219">
        <v>0.30299999999999999</v>
      </c>
      <c r="J298" s="219">
        <v>0.14599999999999999</v>
      </c>
      <c r="K298" s="219">
        <v>7.5999999999999998E-2</v>
      </c>
      <c r="L298" s="167">
        <v>7.7688960666284004</v>
      </c>
      <c r="M298" s="220">
        <v>8.89258305193332</v>
      </c>
      <c r="N298" s="167">
        <v>15.004143677513801</v>
      </c>
      <c r="O298" s="193">
        <v>0.59267514648372299</v>
      </c>
      <c r="P298" s="167">
        <v>2.21141763314942</v>
      </c>
      <c r="Q298" s="167">
        <v>3.1685846188492302</v>
      </c>
      <c r="R298" s="167">
        <v>0.80033779979732</v>
      </c>
      <c r="S298" s="167">
        <v>4.4380362571782497</v>
      </c>
      <c r="T298" s="167">
        <v>1.3455917126449699</v>
      </c>
      <c r="U298" s="167">
        <v>0.52199076680554002</v>
      </c>
      <c r="V298" s="167">
        <v>1.6600833239500099</v>
      </c>
      <c r="W298" s="167">
        <v>0.858101565139061</v>
      </c>
      <c r="X298" s="167">
        <v>1.1932250443789E-2</v>
      </c>
      <c r="Y298" s="189">
        <v>8.90451530237711</v>
      </c>
      <c r="Z298" s="207">
        <v>615</v>
      </c>
      <c r="AA298" s="207">
        <v>443</v>
      </c>
      <c r="AB298" s="167">
        <v>3485.85</v>
      </c>
      <c r="AD298" s="195">
        <v>8.2084273187138807E-3</v>
      </c>
      <c r="AE298" s="219">
        <v>5.9127370767321098E-3</v>
      </c>
      <c r="AF298" s="167">
        <v>5.6680487804878004</v>
      </c>
      <c r="AG298" s="222">
        <v>4.6525766453558999E-2</v>
      </c>
      <c r="AH298" s="223">
        <v>0.48636983189459299</v>
      </c>
      <c r="AI298" s="223">
        <v>0.33172421626533399</v>
      </c>
      <c r="AJ298" s="167">
        <v>0.45700252258985902</v>
      </c>
      <c r="AK298" s="224">
        <v>0.28294382232425302</v>
      </c>
      <c r="AL298" s="224">
        <v>4.84230476622666E-2</v>
      </c>
      <c r="AM298" s="82">
        <v>1.85523804439224E-3</v>
      </c>
      <c r="AN298" s="261">
        <v>7.391</v>
      </c>
    </row>
    <row r="299" spans="1:40" s="167" customFormat="1" ht="13.05" customHeight="1">
      <c r="A299" s="186">
        <v>43640</v>
      </c>
      <c r="B299" s="185" t="s">
        <v>41</v>
      </c>
      <c r="C299" s="188">
        <v>15688</v>
      </c>
      <c r="D299" s="188">
        <v>75142</v>
      </c>
      <c r="E299" s="189">
        <v>4.7897756246812904</v>
      </c>
      <c r="F299" s="167">
        <v>0.924552381757206</v>
      </c>
      <c r="G299" s="190">
        <v>13.22</v>
      </c>
      <c r="H299" s="190">
        <v>18.559999999999999</v>
      </c>
      <c r="I299" s="219">
        <v>0.30099999999999999</v>
      </c>
      <c r="J299" s="219">
        <v>0.14699999999999999</v>
      </c>
      <c r="K299" s="219">
        <v>8.5000000000000006E-2</v>
      </c>
      <c r="L299" s="167">
        <v>9.8055148918048491</v>
      </c>
      <c r="M299" s="220">
        <v>12.6692129568018</v>
      </c>
      <c r="N299" s="167">
        <v>20.435547923151201</v>
      </c>
      <c r="O299" s="193">
        <v>0.619959543264752</v>
      </c>
      <c r="P299" s="167">
        <v>2.72300096597617</v>
      </c>
      <c r="Q299" s="167">
        <v>4.0920467961790301</v>
      </c>
      <c r="R299" s="167">
        <v>1.09846517119244</v>
      </c>
      <c r="S299" s="167">
        <v>7.0516475260276898</v>
      </c>
      <c r="T299" s="167">
        <v>1.6986798325641299</v>
      </c>
      <c r="U299" s="167">
        <v>0.44791241816035199</v>
      </c>
      <c r="V299" s="167">
        <v>2.3040463668562801</v>
      </c>
      <c r="W299" s="167">
        <v>1.0197488461951301</v>
      </c>
      <c r="X299" s="167">
        <v>1.2935508770062E-2</v>
      </c>
      <c r="Y299" s="189">
        <v>12.6821484655718</v>
      </c>
      <c r="Z299" s="207">
        <v>858</v>
      </c>
      <c r="AA299" s="207">
        <v>586</v>
      </c>
      <c r="AB299" s="167">
        <v>6125.42</v>
      </c>
      <c r="AD299" s="195">
        <v>1.1418381198264599E-2</v>
      </c>
      <c r="AE299" s="219">
        <v>7.7985680445024101E-3</v>
      </c>
      <c r="AF299" s="167">
        <v>7.1391841491841497</v>
      </c>
      <c r="AG299" s="222">
        <v>8.1517926059993098E-2</v>
      </c>
      <c r="AH299" s="223">
        <v>0.48929117797042299</v>
      </c>
      <c r="AI299" s="223">
        <v>0.36397246302906699</v>
      </c>
      <c r="AJ299" s="167">
        <v>0.38991509408852598</v>
      </c>
      <c r="AK299" s="224">
        <v>0.25639455963376001</v>
      </c>
      <c r="AL299" s="224">
        <v>4.28521998349791E-2</v>
      </c>
      <c r="AM299" s="82">
        <v>0.34554576668174902</v>
      </c>
      <c r="AN299" s="261">
        <v>6.76</v>
      </c>
    </row>
    <row r="300" spans="1:40" s="167" customFormat="1" ht="13.05" customHeight="1">
      <c r="A300" s="186">
        <v>43641</v>
      </c>
      <c r="B300" s="185" t="s">
        <v>41</v>
      </c>
      <c r="C300" s="188">
        <v>12889</v>
      </c>
      <c r="D300" s="188">
        <v>72375</v>
      </c>
      <c r="E300" s="189">
        <v>5.6152533167817502</v>
      </c>
      <c r="F300" s="167">
        <v>0.74445372037305702</v>
      </c>
      <c r="G300" s="190">
        <v>13.52</v>
      </c>
      <c r="H300" s="190">
        <v>20.49</v>
      </c>
      <c r="I300" s="219">
        <v>0.29399999999999998</v>
      </c>
      <c r="J300" s="219">
        <v>0.14499999999999999</v>
      </c>
      <c r="K300" s="219">
        <v>0.08</v>
      </c>
      <c r="L300" s="167">
        <v>9.6075854922279795</v>
      </c>
      <c r="M300" s="220">
        <v>12.3846079447323</v>
      </c>
      <c r="N300" s="167">
        <v>19.623355299165901</v>
      </c>
      <c r="O300" s="193">
        <v>0.63111571675302203</v>
      </c>
      <c r="P300" s="167">
        <v>2.6479628697156099</v>
      </c>
      <c r="Q300" s="167">
        <v>4.1165356744094401</v>
      </c>
      <c r="R300" s="167">
        <v>1.15600849442827</v>
      </c>
      <c r="S300" s="167">
        <v>6.3289839525362899</v>
      </c>
      <c r="T300" s="167">
        <v>1.71922411717057</v>
      </c>
      <c r="U300" s="167">
        <v>0.45775773365151001</v>
      </c>
      <c r="V300" s="167">
        <v>2.1755807080149698</v>
      </c>
      <c r="W300" s="167">
        <v>1.02130174923922</v>
      </c>
      <c r="X300" s="167">
        <v>1.45354058721934E-2</v>
      </c>
      <c r="Y300" s="189">
        <v>12.399143350604501</v>
      </c>
      <c r="Z300" s="207">
        <v>807</v>
      </c>
      <c r="AA300" s="207">
        <v>543</v>
      </c>
      <c r="AB300" s="167">
        <v>6050.93</v>
      </c>
      <c r="AD300" s="195">
        <v>1.1150259067357501E-2</v>
      </c>
      <c r="AE300" s="219">
        <v>7.5025906735751297E-3</v>
      </c>
      <c r="AF300" s="167">
        <v>7.4980545229244102</v>
      </c>
      <c r="AG300" s="222">
        <v>8.3605250431778896E-2</v>
      </c>
      <c r="AH300" s="223">
        <v>0.49057335712623201</v>
      </c>
      <c r="AI300" s="223">
        <v>0.380246722011017</v>
      </c>
      <c r="AJ300" s="167">
        <v>0.40151986183074301</v>
      </c>
      <c r="AK300" s="224">
        <v>0.27118480138169299</v>
      </c>
      <c r="AL300" s="224">
        <v>4.8290155440414498E-2</v>
      </c>
      <c r="AM300" s="82">
        <v>0.33740932642486998</v>
      </c>
      <c r="AN300" s="261">
        <v>6.4459999999999997</v>
      </c>
    </row>
    <row r="301" spans="1:40" s="166" customFormat="1" ht="13.95" customHeight="1">
      <c r="A301" s="196">
        <v>43642</v>
      </c>
      <c r="B301" s="197" t="s">
        <v>41</v>
      </c>
      <c r="C301" s="198">
        <v>11107</v>
      </c>
      <c r="D301" s="198">
        <v>68497</v>
      </c>
      <c r="E301" s="200">
        <v>6.1670117943639102</v>
      </c>
      <c r="F301" s="166">
        <v>0.75776309619399396</v>
      </c>
      <c r="G301" s="217">
        <v>13.97</v>
      </c>
      <c r="H301" s="217">
        <v>20.59</v>
      </c>
      <c r="I301" s="203">
        <v>0.28599999999999998</v>
      </c>
      <c r="J301" s="203">
        <v>0.13800000000000001</v>
      </c>
      <c r="K301" s="203">
        <v>7.5999999999999998E-2</v>
      </c>
      <c r="L301" s="166">
        <v>9.2012204914083799</v>
      </c>
      <c r="M301" s="204">
        <v>11.852314699913901</v>
      </c>
      <c r="N301" s="166">
        <v>18.8678999721112</v>
      </c>
      <c r="O301" s="205">
        <v>0.62817349664948796</v>
      </c>
      <c r="P301" s="166">
        <v>2.5644231663103101</v>
      </c>
      <c r="Q301" s="166">
        <v>3.9728084038300602</v>
      </c>
      <c r="R301" s="166">
        <v>1.1268011527377499</v>
      </c>
      <c r="S301" s="166">
        <v>5.9974900065073902</v>
      </c>
      <c r="T301" s="166">
        <v>1.68401970809705</v>
      </c>
      <c r="U301" s="166">
        <v>0.44900994701124802</v>
      </c>
      <c r="V301" s="166">
        <v>2.0874546806730501</v>
      </c>
      <c r="W301" s="166">
        <v>0.98589290694431497</v>
      </c>
      <c r="X301" s="166">
        <v>1.5343737681942299E-2</v>
      </c>
      <c r="Y301" s="200">
        <v>11.8676584375958</v>
      </c>
      <c r="Z301" s="206">
        <v>848</v>
      </c>
      <c r="AA301" s="206">
        <v>531</v>
      </c>
      <c r="AB301" s="166">
        <v>6232.52</v>
      </c>
      <c r="AD301" s="210">
        <v>1.2380104238141801E-2</v>
      </c>
      <c r="AE301" s="203">
        <v>7.7521643283647501E-3</v>
      </c>
      <c r="AF301" s="166">
        <v>7.3496698113207604</v>
      </c>
      <c r="AG301" s="211">
        <v>9.0989678380075004E-2</v>
      </c>
      <c r="AH301" s="212">
        <v>0.47825695507337701</v>
      </c>
      <c r="AI301" s="212">
        <v>0.37003691365805302</v>
      </c>
      <c r="AJ301" s="166">
        <v>0.39219235878943598</v>
      </c>
      <c r="AK301" s="213">
        <v>0.27820196504956402</v>
      </c>
      <c r="AL301" s="213">
        <v>5.1053330802808897E-2</v>
      </c>
      <c r="AM301" s="214">
        <v>0.32359081419624203</v>
      </c>
      <c r="AN301" s="261">
        <v>5.91</v>
      </c>
    </row>
    <row r="302" spans="1:40" s="167" customFormat="1" ht="13.95" customHeight="1">
      <c r="A302" s="186">
        <v>43643</v>
      </c>
      <c r="B302" s="187" t="s">
        <v>41</v>
      </c>
      <c r="C302" s="188">
        <v>11255</v>
      </c>
      <c r="D302" s="188">
        <v>66641</v>
      </c>
      <c r="E302" s="189">
        <v>5.9210128831630398</v>
      </c>
      <c r="F302" s="167">
        <v>0.56127646691976396</v>
      </c>
      <c r="G302" s="190">
        <v>15.45</v>
      </c>
      <c r="H302" s="190">
        <v>22.91</v>
      </c>
      <c r="I302" s="219">
        <v>0.29899999999999999</v>
      </c>
      <c r="J302" s="219">
        <v>0.151</v>
      </c>
      <c r="K302" s="219">
        <v>8.2000000000000003E-2</v>
      </c>
      <c r="L302" s="167">
        <v>7.7771492024429403</v>
      </c>
      <c r="M302" s="220">
        <v>8.9826983388604607</v>
      </c>
      <c r="N302" s="167">
        <v>14.8705999254751</v>
      </c>
      <c r="O302" s="193">
        <v>0.60405756216143203</v>
      </c>
      <c r="P302" s="167">
        <v>2.2388274748478501</v>
      </c>
      <c r="Q302" s="167">
        <v>3.0376102347534499</v>
      </c>
      <c r="R302" s="167">
        <v>0.86096137125822902</v>
      </c>
      <c r="S302" s="167">
        <v>4.3609986337100999</v>
      </c>
      <c r="T302" s="167">
        <v>1.39535461433362</v>
      </c>
      <c r="U302" s="167">
        <v>0.50063346168177902</v>
      </c>
      <c r="V302" s="167">
        <v>1.63552353744876</v>
      </c>
      <c r="W302" s="167">
        <v>0.84069059744131203</v>
      </c>
      <c r="X302" s="167">
        <v>1.56060083132006E-2</v>
      </c>
      <c r="Y302" s="189">
        <v>8.9983043471736597</v>
      </c>
      <c r="Z302" s="207">
        <v>454</v>
      </c>
      <c r="AA302" s="207">
        <v>344</v>
      </c>
      <c r="AB302" s="167">
        <v>2988.46</v>
      </c>
      <c r="AD302" s="195">
        <v>6.8126228598010203E-3</v>
      </c>
      <c r="AE302" s="219">
        <v>5.1619873651355796E-3</v>
      </c>
      <c r="AF302" s="167">
        <v>6.5825110132158597</v>
      </c>
      <c r="AG302" s="222">
        <v>4.48441650035264E-2</v>
      </c>
      <c r="AH302" s="223">
        <v>0.46565970679697899</v>
      </c>
      <c r="AI302" s="223">
        <v>0.337361172812083</v>
      </c>
      <c r="AJ302" s="167">
        <v>0.478789333893549</v>
      </c>
      <c r="AK302" s="224">
        <v>0.31028946144265501</v>
      </c>
      <c r="AL302" s="224">
        <v>5.9557929802974099E-2</v>
      </c>
      <c r="AM302" s="82">
        <v>3.77695412733903E-2</v>
      </c>
      <c r="AN302" s="261">
        <v>6.5019999999999998</v>
      </c>
    </row>
    <row r="303" spans="1:40" s="167" customFormat="1" ht="13.95" customHeight="1">
      <c r="A303" s="186">
        <v>43644</v>
      </c>
      <c r="B303" s="187" t="s">
        <v>41</v>
      </c>
      <c r="C303" s="188">
        <v>12353</v>
      </c>
      <c r="D303" s="188">
        <v>65713</v>
      </c>
      <c r="E303" s="189">
        <v>5.3195984781024901</v>
      </c>
      <c r="F303" s="167">
        <v>0.55717945642414701</v>
      </c>
      <c r="G303" s="190">
        <v>14.7</v>
      </c>
      <c r="H303" s="190">
        <v>20.86</v>
      </c>
      <c r="I303" s="219">
        <v>0.29799999999999999</v>
      </c>
      <c r="J303" s="219">
        <v>0.14699999999999999</v>
      </c>
      <c r="K303" s="219">
        <v>7.6999999999999999E-2</v>
      </c>
      <c r="L303" s="167">
        <v>7.5346126337254402</v>
      </c>
      <c r="M303" s="220">
        <v>8.8615646827872698</v>
      </c>
      <c r="N303" s="167">
        <v>14.8463911480509</v>
      </c>
      <c r="O303" s="193">
        <v>0.59688341728425098</v>
      </c>
      <c r="P303" s="167">
        <v>2.21372663998164</v>
      </c>
      <c r="Q303" s="167">
        <v>3.0800805649746299</v>
      </c>
      <c r="R303" s="167">
        <v>0.82222165566121896</v>
      </c>
      <c r="S303" s="167">
        <v>4.3765902659154099</v>
      </c>
      <c r="T303" s="167">
        <v>1.38327002014124</v>
      </c>
      <c r="U303" s="167">
        <v>0.50432144405068502</v>
      </c>
      <c r="V303" s="167">
        <v>1.6294266119368701</v>
      </c>
      <c r="W303" s="167">
        <v>0.83675394538918502</v>
      </c>
      <c r="X303" s="167">
        <v>1.24176342580616E-2</v>
      </c>
      <c r="Y303" s="189">
        <v>8.8739823170453302</v>
      </c>
      <c r="Z303" s="207">
        <v>601</v>
      </c>
      <c r="AA303" s="207">
        <v>408</v>
      </c>
      <c r="AB303" s="167">
        <v>3895.99</v>
      </c>
      <c r="AD303" s="195">
        <v>9.1458311140870108E-3</v>
      </c>
      <c r="AE303" s="219">
        <v>6.2088171290307897E-3</v>
      </c>
      <c r="AF303" s="167">
        <v>6.48251247920133</v>
      </c>
      <c r="AG303" s="222">
        <v>5.9287964329736903E-2</v>
      </c>
      <c r="AH303" s="223">
        <v>0.46183113413745602</v>
      </c>
      <c r="AI303" s="223">
        <v>0.32137942200275199</v>
      </c>
      <c r="AJ303" s="167">
        <v>0.461324243300412</v>
      </c>
      <c r="AK303" s="224">
        <v>0.30473422306088599</v>
      </c>
      <c r="AL303" s="224">
        <v>5.7309816931200797E-2</v>
      </c>
      <c r="AM303" s="82">
        <v>0</v>
      </c>
      <c r="AN303" s="261">
        <v>6.6660000000000004</v>
      </c>
    </row>
    <row r="304" spans="1:40" s="167" customFormat="1" ht="13.95" customHeight="1">
      <c r="A304" s="186">
        <v>43645</v>
      </c>
      <c r="B304" s="185" t="s">
        <v>41</v>
      </c>
      <c r="C304" s="188">
        <v>10948</v>
      </c>
      <c r="D304" s="188">
        <v>62837</v>
      </c>
      <c r="E304" s="189">
        <v>5.7395871392035103</v>
      </c>
      <c r="F304" s="167">
        <v>0.79102727278514295</v>
      </c>
      <c r="G304" s="190">
        <v>13.26</v>
      </c>
      <c r="H304" s="190">
        <v>19.89</v>
      </c>
      <c r="I304" s="219">
        <v>0.28499999999999998</v>
      </c>
      <c r="J304" s="219">
        <v>0.14499999999999999</v>
      </c>
      <c r="K304" s="219">
        <v>7.1999999999999995E-2</v>
      </c>
      <c r="L304" s="167">
        <v>9.4682750608717807</v>
      </c>
      <c r="M304" s="220">
        <v>12.0636885911167</v>
      </c>
      <c r="N304" s="167">
        <v>19.7943910591184</v>
      </c>
      <c r="O304" s="193">
        <v>0.60944984642805999</v>
      </c>
      <c r="P304" s="167">
        <v>2.6810110716523901</v>
      </c>
      <c r="Q304" s="167">
        <v>3.7549613536661801</v>
      </c>
      <c r="R304" s="167">
        <v>1.30749947775225</v>
      </c>
      <c r="S304" s="167">
        <v>6.7833716315019803</v>
      </c>
      <c r="T304" s="167">
        <v>1.71513996239816</v>
      </c>
      <c r="U304" s="167">
        <v>0.430436599122624</v>
      </c>
      <c r="V304" s="167">
        <v>2.1852935032379399</v>
      </c>
      <c r="W304" s="167">
        <v>0.93667745978692296</v>
      </c>
      <c r="X304" s="167">
        <v>1.2683609975014699E-2</v>
      </c>
      <c r="Y304" s="189">
        <v>12.076372201091701</v>
      </c>
      <c r="Z304" s="207">
        <v>822</v>
      </c>
      <c r="AA304" s="207">
        <v>565</v>
      </c>
      <c r="AB304" s="167">
        <v>7114.78</v>
      </c>
      <c r="AD304" s="195">
        <v>1.3081464742110501E-2</v>
      </c>
      <c r="AE304" s="219">
        <v>8.9915177363655199E-3</v>
      </c>
      <c r="AF304" s="167">
        <v>8.6554501216544999</v>
      </c>
      <c r="AG304" s="222">
        <v>0.11322596559351999</v>
      </c>
      <c r="AH304" s="223">
        <v>0.489769820971867</v>
      </c>
      <c r="AI304" s="223">
        <v>0.35449397150164402</v>
      </c>
      <c r="AJ304" s="167">
        <v>0.37646609481674798</v>
      </c>
      <c r="AK304" s="224">
        <v>0.26067444340118101</v>
      </c>
      <c r="AL304" s="224">
        <v>4.7551601763292303E-2</v>
      </c>
      <c r="AM304" s="82">
        <v>0.31696293584989699</v>
      </c>
      <c r="AN304" s="261">
        <v>6.2169999999999996</v>
      </c>
    </row>
    <row r="305" spans="1:40" s="167" customFormat="1" ht="13.95" customHeight="1">
      <c r="A305" s="186">
        <v>43646</v>
      </c>
      <c r="B305" s="185" t="s">
        <v>41</v>
      </c>
      <c r="C305" s="188">
        <v>10021</v>
      </c>
      <c r="D305" s="188">
        <v>61847</v>
      </c>
      <c r="E305" s="189">
        <v>6.1717393473705204</v>
      </c>
      <c r="F305" s="167">
        <v>0.70118302569243396</v>
      </c>
      <c r="G305" s="190">
        <v>12.78</v>
      </c>
      <c r="H305" s="190">
        <v>19.16</v>
      </c>
      <c r="I305" s="219">
        <v>0.30399999999999999</v>
      </c>
      <c r="J305" s="219">
        <v>0.14299999999999999</v>
      </c>
      <c r="K305" s="219">
        <v>7.4999999999999997E-2</v>
      </c>
      <c r="L305" s="167">
        <v>8.9096318333953093</v>
      </c>
      <c r="M305" s="220">
        <v>11.7517422025321</v>
      </c>
      <c r="N305" s="167">
        <v>19.1346356360573</v>
      </c>
      <c r="O305" s="193">
        <v>0.614160751532006</v>
      </c>
      <c r="P305" s="167">
        <v>2.56850252737995</v>
      </c>
      <c r="Q305" s="167">
        <v>3.8547809604043799</v>
      </c>
      <c r="R305" s="167">
        <v>1.26611204717776</v>
      </c>
      <c r="S305" s="167">
        <v>6.3340880370682404</v>
      </c>
      <c r="T305" s="167">
        <v>1.68678917438922</v>
      </c>
      <c r="U305" s="167">
        <v>0.436104675652906</v>
      </c>
      <c r="V305" s="167">
        <v>2.0468618365627602</v>
      </c>
      <c r="W305" s="167">
        <v>0.94139637742207205</v>
      </c>
      <c r="X305" s="167">
        <v>1.23368958882403E-2</v>
      </c>
      <c r="Y305" s="189">
        <v>11.7640790984203</v>
      </c>
      <c r="Z305" s="207">
        <v>686</v>
      </c>
      <c r="AA305" s="207">
        <v>497</v>
      </c>
      <c r="AB305" s="167">
        <v>5244.14</v>
      </c>
      <c r="AD305" s="195">
        <v>1.1091888046307801E-2</v>
      </c>
      <c r="AE305" s="219">
        <v>8.03595970701893E-3</v>
      </c>
      <c r="AF305" s="167">
        <v>7.6445189504373197</v>
      </c>
      <c r="AG305" s="222">
        <v>8.4792148366129305E-2</v>
      </c>
      <c r="AH305" s="223">
        <v>0.50094800918072002</v>
      </c>
      <c r="AI305" s="223">
        <v>0.35724977547150999</v>
      </c>
      <c r="AJ305" s="167">
        <v>0.36693776577683601</v>
      </c>
      <c r="AK305" s="224">
        <v>0.25981858457160401</v>
      </c>
      <c r="AL305" s="224">
        <v>4.8943360227658599E-2</v>
      </c>
      <c r="AM305" s="82">
        <v>0.32147072614678202</v>
      </c>
      <c r="AN305" s="261">
        <v>7.5170000000000003</v>
      </c>
    </row>
    <row r="306" spans="1:40" s="167" customFormat="1" ht="13.95" customHeight="1">
      <c r="A306" s="186">
        <v>43647</v>
      </c>
      <c r="B306" s="185" t="s">
        <v>41</v>
      </c>
      <c r="C306" s="188">
        <v>14978</v>
      </c>
      <c r="D306" s="188">
        <v>68175</v>
      </c>
      <c r="E306" s="189">
        <v>4.5516757911603696</v>
      </c>
      <c r="F306" s="167">
        <v>0.649018205060506</v>
      </c>
      <c r="G306" s="190">
        <v>12.52</v>
      </c>
      <c r="H306" s="190">
        <v>18.71</v>
      </c>
      <c r="I306" s="219">
        <v>0.3</v>
      </c>
      <c r="J306" s="219">
        <v>0.14699999999999999</v>
      </c>
      <c r="K306" s="219">
        <v>7.6999999999999999E-2</v>
      </c>
      <c r="L306" s="167">
        <v>8.7341547488082103</v>
      </c>
      <c r="M306" s="220">
        <v>11.188778877887801</v>
      </c>
      <c r="N306" s="167">
        <v>18.5000727590221</v>
      </c>
      <c r="O306" s="193">
        <v>0.60479647964796501</v>
      </c>
      <c r="P306" s="167">
        <v>2.5726862630966201</v>
      </c>
      <c r="Q306" s="167">
        <v>3.7733556461001201</v>
      </c>
      <c r="R306" s="167">
        <v>1.1664968956150601</v>
      </c>
      <c r="S306" s="167">
        <v>5.9257130384167596</v>
      </c>
      <c r="T306" s="167">
        <v>1.6686796662786201</v>
      </c>
      <c r="U306" s="167">
        <v>0.45108168412883198</v>
      </c>
      <c r="V306" s="167">
        <v>2.0038562281722898</v>
      </c>
      <c r="W306" s="167">
        <v>0.93820333721381399</v>
      </c>
      <c r="X306" s="167">
        <v>1.1250458379171199E-2</v>
      </c>
      <c r="Y306" s="189">
        <v>11.200029336267001</v>
      </c>
      <c r="Z306" s="207">
        <v>705</v>
      </c>
      <c r="AA306" s="207">
        <v>489</v>
      </c>
      <c r="AB306" s="167">
        <v>5445.95</v>
      </c>
      <c r="AD306" s="195">
        <v>1.03410341034103E-2</v>
      </c>
      <c r="AE306" s="219">
        <v>7.1727172717271697E-3</v>
      </c>
      <c r="AF306" s="167">
        <v>7.7247517730496504</v>
      </c>
      <c r="AG306" s="222">
        <v>7.9881921525485899E-2</v>
      </c>
      <c r="AH306" s="223">
        <v>0.45259714247563099</v>
      </c>
      <c r="AI306" s="223">
        <v>0.30351181733208699</v>
      </c>
      <c r="AJ306" s="167">
        <v>0.372277227722772</v>
      </c>
      <c r="AK306" s="224">
        <v>0.249167583425009</v>
      </c>
      <c r="AL306" s="224">
        <v>4.8610194352768601E-2</v>
      </c>
      <c r="AM306" s="82">
        <v>0.30115144847818098</v>
      </c>
      <c r="AN306" s="261">
        <v>6.431</v>
      </c>
    </row>
    <row r="307" spans="1:40" s="167" customFormat="1" ht="13.95" customHeight="1">
      <c r="A307" s="186">
        <v>43648</v>
      </c>
      <c r="B307" s="185" t="s">
        <v>41</v>
      </c>
      <c r="C307" s="188">
        <v>17357</v>
      </c>
      <c r="D307" s="188">
        <v>70784</v>
      </c>
      <c r="E307" s="189">
        <v>4.0781240997868302</v>
      </c>
      <c r="F307" s="167">
        <v>0.56473697587025296</v>
      </c>
      <c r="G307" s="190">
        <v>13.27</v>
      </c>
      <c r="H307" s="190">
        <v>19.75</v>
      </c>
      <c r="I307" s="219">
        <v>0.29799999999999999</v>
      </c>
      <c r="J307" s="219">
        <v>0.13800000000000001</v>
      </c>
      <c r="K307" s="219">
        <v>7.4999999999999997E-2</v>
      </c>
      <c r="L307" s="167">
        <v>8.7119546790235098</v>
      </c>
      <c r="M307" s="220">
        <v>10.427497739602201</v>
      </c>
      <c r="N307" s="167">
        <v>17.2800486959779</v>
      </c>
      <c r="O307" s="193">
        <v>0.603441455696203</v>
      </c>
      <c r="P307" s="167">
        <v>2.4652338811630798</v>
      </c>
      <c r="Q307" s="167">
        <v>3.58594371868708</v>
      </c>
      <c r="R307" s="167">
        <v>1.0499836119305099</v>
      </c>
      <c r="S307" s="167">
        <v>5.3436344055813096</v>
      </c>
      <c r="T307" s="167">
        <v>1.55262911457602</v>
      </c>
      <c r="U307" s="167">
        <v>0.48677248677248702</v>
      </c>
      <c r="V307" s="167">
        <v>1.8914173338952101</v>
      </c>
      <c r="W307" s="167">
        <v>0.90443414337219596</v>
      </c>
      <c r="X307" s="167">
        <v>1.22061482820976E-2</v>
      </c>
      <c r="Y307" s="189">
        <v>10.439703887884299</v>
      </c>
      <c r="Z307" s="207">
        <v>684</v>
      </c>
      <c r="AA307" s="207">
        <v>494</v>
      </c>
      <c r="AB307" s="167">
        <v>4388.16</v>
      </c>
      <c r="AD307" s="195">
        <v>9.6632007233273098E-3</v>
      </c>
      <c r="AE307" s="219">
        <v>6.9789783001808301E-3</v>
      </c>
      <c r="AF307" s="167">
        <v>6.4154385964912297</v>
      </c>
      <c r="AG307" s="222">
        <v>6.1993670886075901E-2</v>
      </c>
      <c r="AH307" s="223">
        <v>0.45451402892204901</v>
      </c>
      <c r="AI307" s="223">
        <v>0.30610128478423698</v>
      </c>
      <c r="AJ307" s="167">
        <v>0.42570354882459299</v>
      </c>
      <c r="AK307" s="224">
        <v>0.25849061934900502</v>
      </c>
      <c r="AL307" s="224">
        <v>5.09013336347197E-2</v>
      </c>
      <c r="AM307" s="82">
        <v>0.2421875</v>
      </c>
      <c r="AN307" s="261">
        <v>6.03</v>
      </c>
    </row>
    <row r="308" spans="1:40" s="166" customFormat="1" ht="13.95" customHeight="1">
      <c r="A308" s="196">
        <v>43649</v>
      </c>
      <c r="B308" s="197" t="s">
        <v>41</v>
      </c>
      <c r="C308" s="198">
        <v>17689</v>
      </c>
      <c r="D308" s="198">
        <v>70559</v>
      </c>
      <c r="E308" s="200">
        <v>3.98886313528181</v>
      </c>
      <c r="F308" s="166">
        <v>0.51929885283238097</v>
      </c>
      <c r="G308" s="217">
        <v>13.8</v>
      </c>
      <c r="H308" s="217">
        <v>21.36</v>
      </c>
      <c r="I308" s="203">
        <v>0.28899999999999998</v>
      </c>
      <c r="J308" s="203">
        <v>0.13800000000000001</v>
      </c>
      <c r="K308" s="203">
        <v>7.1999999999999995E-2</v>
      </c>
      <c r="L308" s="166">
        <v>7.7668192576425401</v>
      </c>
      <c r="M308" s="204">
        <v>8.8188749840559009</v>
      </c>
      <c r="N308" s="166">
        <v>14.956518603980401</v>
      </c>
      <c r="O308" s="205">
        <v>0.58963420683399703</v>
      </c>
      <c r="P308" s="166">
        <v>2.2348812614171698</v>
      </c>
      <c r="Q308" s="166">
        <v>3.12171906547447</v>
      </c>
      <c r="R308" s="166">
        <v>0.83768387655033205</v>
      </c>
      <c r="S308" s="166">
        <v>4.3732333429477901</v>
      </c>
      <c r="T308" s="166">
        <v>1.35941255648495</v>
      </c>
      <c r="U308" s="166">
        <v>0.53018940486491695</v>
      </c>
      <c r="V308" s="166">
        <v>1.6504663013171801</v>
      </c>
      <c r="W308" s="166">
        <v>0.84893279492356499</v>
      </c>
      <c r="X308" s="166">
        <v>1.09695432191499E-2</v>
      </c>
      <c r="Y308" s="200">
        <v>8.8298445272750499</v>
      </c>
      <c r="Z308" s="206">
        <v>535</v>
      </c>
      <c r="AA308" s="206">
        <v>383</v>
      </c>
      <c r="AB308" s="166">
        <v>3603.65</v>
      </c>
      <c r="AD308" s="210">
        <v>7.5823070054847697E-3</v>
      </c>
      <c r="AE308" s="203">
        <v>5.4280814637395697E-3</v>
      </c>
      <c r="AF308" s="166">
        <v>6.7357943925233599</v>
      </c>
      <c r="AG308" s="211">
        <v>5.1072861009934897E-2</v>
      </c>
      <c r="AH308" s="212">
        <v>0.45553733958957499</v>
      </c>
      <c r="AI308" s="212">
        <v>0.30974051670529701</v>
      </c>
      <c r="AJ308" s="166">
        <v>0.47152028798594098</v>
      </c>
      <c r="AK308" s="213">
        <v>0.276024320072563</v>
      </c>
      <c r="AL308" s="213">
        <v>5.4465057611360702E-2</v>
      </c>
      <c r="AM308" s="214">
        <v>1.1593134823339299E-2</v>
      </c>
      <c r="AN308" s="261">
        <v>5.9</v>
      </c>
    </row>
    <row r="309" spans="1:40" s="167" customFormat="1" ht="13.8" customHeight="1">
      <c r="A309" s="186">
        <v>43650</v>
      </c>
      <c r="B309" s="187" t="s">
        <v>41</v>
      </c>
      <c r="C309" s="188">
        <v>20352</v>
      </c>
      <c r="D309" s="188">
        <v>73845</v>
      </c>
      <c r="E309" s="189">
        <v>3.62839033018868</v>
      </c>
      <c r="F309" s="167">
        <v>0.48099398667479198</v>
      </c>
      <c r="G309" s="190">
        <v>13.58</v>
      </c>
      <c r="H309" s="190">
        <v>21.57</v>
      </c>
      <c r="I309" s="219">
        <v>0.28399999999999997</v>
      </c>
      <c r="J309" s="219">
        <v>0.13400000000000001</v>
      </c>
      <c r="K309" s="219">
        <v>6.7000000000000004E-2</v>
      </c>
      <c r="L309" s="167">
        <v>7.7616087751371099</v>
      </c>
      <c r="M309" s="220">
        <v>8.4810887670119808</v>
      </c>
      <c r="N309" s="167">
        <v>14.608957312806201</v>
      </c>
      <c r="O309" s="193">
        <v>0.58054032094251495</v>
      </c>
      <c r="P309" s="167">
        <v>2.2048518777699999</v>
      </c>
      <c r="Q309" s="167">
        <v>3.09533473291346</v>
      </c>
      <c r="R309" s="167">
        <v>0.79542803825519004</v>
      </c>
      <c r="S309" s="167">
        <v>4.2345229764403998</v>
      </c>
      <c r="T309" s="167">
        <v>1.32206671331934</v>
      </c>
      <c r="U309" s="167">
        <v>0.52043386983904805</v>
      </c>
      <c r="V309" s="167">
        <v>1.6040587823652901</v>
      </c>
      <c r="W309" s="167">
        <v>0.83226032190342902</v>
      </c>
      <c r="X309" s="167">
        <v>1.04678718938317E-2</v>
      </c>
      <c r="Y309" s="189">
        <v>8.4915566389058199</v>
      </c>
      <c r="Z309" s="207">
        <v>528</v>
      </c>
      <c r="AA309" s="207">
        <v>403</v>
      </c>
      <c r="AB309" s="167">
        <v>3145.72</v>
      </c>
      <c r="AD309" s="195">
        <v>7.15011172049563E-3</v>
      </c>
      <c r="AE309" s="219">
        <v>5.4573769381813303E-3</v>
      </c>
      <c r="AF309" s="167">
        <v>5.9578030303030296</v>
      </c>
      <c r="AG309" s="222">
        <v>4.2598957275374098E-2</v>
      </c>
      <c r="AH309" s="223">
        <v>0.43519064465408802</v>
      </c>
      <c r="AI309" s="223">
        <v>0.28483687106918198</v>
      </c>
      <c r="AJ309" s="167">
        <v>0.45231227571264099</v>
      </c>
      <c r="AK309" s="224">
        <v>0.26990317557045201</v>
      </c>
      <c r="AL309" s="224">
        <v>4.8967431782788298E-2</v>
      </c>
      <c r="AM309" s="82">
        <v>4.2656916514320501E-3</v>
      </c>
      <c r="AN309" s="261">
        <v>6.0019999999999998</v>
      </c>
    </row>
    <row r="310" spans="1:40" s="167" customFormat="1" ht="13.8" customHeight="1">
      <c r="A310" s="186">
        <v>43651</v>
      </c>
      <c r="B310" s="187" t="s">
        <v>41</v>
      </c>
      <c r="C310" s="188">
        <v>23634</v>
      </c>
      <c r="D310" s="188">
        <v>74981</v>
      </c>
      <c r="E310" s="189">
        <v>3.1725903359566701</v>
      </c>
      <c r="F310" s="167">
        <v>0.44240563857510601</v>
      </c>
      <c r="G310" s="190">
        <v>12.29</v>
      </c>
      <c r="H310" s="190">
        <v>19.59</v>
      </c>
      <c r="I310" s="219">
        <v>0.27400000000000002</v>
      </c>
      <c r="J310" s="219">
        <v>0.129</v>
      </c>
      <c r="K310" s="219">
        <v>6.5000000000000002E-2</v>
      </c>
      <c r="L310" s="167">
        <v>7.4941785252263902</v>
      </c>
      <c r="M310" s="220">
        <v>8.1021725503794304</v>
      </c>
      <c r="N310" s="167">
        <v>14.2936567690932</v>
      </c>
      <c r="O310" s="193">
        <v>0.56683693202277896</v>
      </c>
      <c r="P310" s="167">
        <v>2.2292597995388501</v>
      </c>
      <c r="Q310" s="167">
        <v>3.0809138393487401</v>
      </c>
      <c r="R310" s="167">
        <v>0.73918874405910295</v>
      </c>
      <c r="S310" s="167">
        <v>4.0439038162910004</v>
      </c>
      <c r="T310" s="167">
        <v>1.3059150157639601</v>
      </c>
      <c r="U310" s="167">
        <v>0.52051668156792597</v>
      </c>
      <c r="V310" s="167">
        <v>1.5543268552068099</v>
      </c>
      <c r="W310" s="167">
        <v>0.819632017316832</v>
      </c>
      <c r="X310" s="167">
        <v>1.00692175351089E-2</v>
      </c>
      <c r="Y310" s="189">
        <v>8.11224176791454</v>
      </c>
      <c r="Z310" s="207">
        <v>605</v>
      </c>
      <c r="AA310" s="207">
        <v>387</v>
      </c>
      <c r="AB310" s="167">
        <v>3615.95</v>
      </c>
      <c r="AD310" s="195">
        <v>8.0687107400541497E-3</v>
      </c>
      <c r="AE310" s="219">
        <v>5.1613075312412502E-3</v>
      </c>
      <c r="AF310" s="167">
        <v>5.9767768595041302</v>
      </c>
      <c r="AG310" s="222">
        <v>4.8224883637188097E-2</v>
      </c>
      <c r="AH310" s="223">
        <v>0.411695015655412</v>
      </c>
      <c r="AI310" s="223">
        <v>0.25772192603875799</v>
      </c>
      <c r="AJ310" s="167">
        <v>0.41603872981155199</v>
      </c>
      <c r="AK310" s="224">
        <v>0.25281071204705202</v>
      </c>
      <c r="AL310" s="224">
        <v>4.4411250850215397E-2</v>
      </c>
      <c r="AM310" s="82">
        <v>0</v>
      </c>
      <c r="AN310" s="261">
        <v>6.8380000000000001</v>
      </c>
    </row>
    <row r="311" spans="1:40" s="167" customFormat="1" ht="13.8" customHeight="1">
      <c r="A311" s="186">
        <v>43652</v>
      </c>
      <c r="B311" s="185" t="s">
        <v>41</v>
      </c>
      <c r="C311" s="188">
        <v>22767</v>
      </c>
      <c r="D311" s="188">
        <v>76490</v>
      </c>
      <c r="E311" s="189">
        <v>3.3596872666578799</v>
      </c>
      <c r="F311" s="167">
        <v>0.66201346594326005</v>
      </c>
      <c r="G311" s="190">
        <v>11.53</v>
      </c>
      <c r="H311" s="190">
        <v>17.98</v>
      </c>
      <c r="I311" s="219">
        <v>0.26700000000000002</v>
      </c>
      <c r="J311" s="219">
        <v>0.125</v>
      </c>
      <c r="K311" s="219">
        <v>6.5000000000000002E-2</v>
      </c>
      <c r="L311" s="167">
        <v>9.3348150084978396</v>
      </c>
      <c r="M311" s="220">
        <v>11.2588573669761</v>
      </c>
      <c r="N311" s="167">
        <v>19.0638420330278</v>
      </c>
      <c r="O311" s="193">
        <v>0.59058700483723403</v>
      </c>
      <c r="P311" s="167">
        <v>2.63952716164165</v>
      </c>
      <c r="Q311" s="167">
        <v>3.7574489750741602</v>
      </c>
      <c r="R311" s="167">
        <v>1.0736264222783001</v>
      </c>
      <c r="S311" s="167">
        <v>6.4868508434054997</v>
      </c>
      <c r="T311" s="167">
        <v>1.6321335281356499</v>
      </c>
      <c r="U311" s="167">
        <v>0.46033116394386198</v>
      </c>
      <c r="V311" s="167">
        <v>2.08476114579183</v>
      </c>
      <c r="W311" s="167">
        <v>0.92916279275689495</v>
      </c>
      <c r="X311" s="167">
        <v>9.4914367891227609E-3</v>
      </c>
      <c r="Y311" s="189">
        <v>11.2683488037652</v>
      </c>
      <c r="Z311" s="207">
        <v>910</v>
      </c>
      <c r="AA311" s="207">
        <v>575</v>
      </c>
      <c r="AB311" s="167">
        <v>7612.9</v>
      </c>
      <c r="AD311" s="195">
        <v>1.18969799973853E-2</v>
      </c>
      <c r="AE311" s="219">
        <v>7.5173225258203698E-3</v>
      </c>
      <c r="AF311" s="167">
        <v>8.3658241758241694</v>
      </c>
      <c r="AG311" s="222">
        <v>9.9528042881422404E-2</v>
      </c>
      <c r="AH311" s="223">
        <v>0.43216058330039098</v>
      </c>
      <c r="AI311" s="223">
        <v>0.303114156454518</v>
      </c>
      <c r="AJ311" s="167">
        <v>0.34322133612236899</v>
      </c>
      <c r="AK311" s="224">
        <v>0.215531442018565</v>
      </c>
      <c r="AL311" s="224">
        <v>3.78088639037783E-2</v>
      </c>
      <c r="AM311" s="82">
        <v>0.291789776441365</v>
      </c>
      <c r="AN311" s="261">
        <v>7.2640000000000002</v>
      </c>
    </row>
    <row r="312" spans="1:40" s="167" customFormat="1" ht="13.8" customHeight="1">
      <c r="A312" s="186">
        <v>43653</v>
      </c>
      <c r="B312" s="185" t="s">
        <v>41</v>
      </c>
      <c r="C312" s="188">
        <v>23809</v>
      </c>
      <c r="D312" s="188">
        <v>78556</v>
      </c>
      <c r="E312" s="189">
        <v>3.29942458734092</v>
      </c>
      <c r="F312" s="167">
        <v>0.61446625922908504</v>
      </c>
      <c r="G312" s="190">
        <v>11.3</v>
      </c>
      <c r="H312" s="190">
        <v>17.86</v>
      </c>
      <c r="I312" s="219">
        <v>0.27500000000000002</v>
      </c>
      <c r="J312" s="219">
        <v>0.127</v>
      </c>
      <c r="K312" s="219">
        <v>6.7000000000000004E-2</v>
      </c>
      <c r="L312" s="167">
        <v>8.9215336829777492</v>
      </c>
      <c r="M312" s="220">
        <v>10.912533733896799</v>
      </c>
      <c r="N312" s="167">
        <v>18.430620055039601</v>
      </c>
      <c r="O312" s="193">
        <v>0.59208717348133799</v>
      </c>
      <c r="P312" s="167">
        <v>2.5447626418988598</v>
      </c>
      <c r="Q312" s="167">
        <v>3.8532636738906101</v>
      </c>
      <c r="R312" s="167">
        <v>1.0529110767113901</v>
      </c>
      <c r="S312" s="167">
        <v>5.95614035087719</v>
      </c>
      <c r="T312" s="167">
        <v>1.6060156518747799</v>
      </c>
      <c r="U312" s="167">
        <v>0.46656776745785999</v>
      </c>
      <c r="V312" s="167">
        <v>2.0066004471964201</v>
      </c>
      <c r="W312" s="167">
        <v>0.94435844513243905</v>
      </c>
      <c r="X312" s="167">
        <v>9.1527063496104708E-3</v>
      </c>
      <c r="Y312" s="189">
        <v>10.9216864402464</v>
      </c>
      <c r="Z312" s="207">
        <v>768</v>
      </c>
      <c r="AA312" s="207">
        <v>516</v>
      </c>
      <c r="AB312" s="167">
        <v>6739.32</v>
      </c>
      <c r="AD312" s="195">
        <v>9.7764651968022791E-3</v>
      </c>
      <c r="AE312" s="219">
        <v>6.5685625541015303E-3</v>
      </c>
      <c r="AF312" s="167">
        <v>8.7751562500000002</v>
      </c>
      <c r="AG312" s="222">
        <v>8.5790009674626994E-2</v>
      </c>
      <c r="AH312" s="223">
        <v>0.43353353773782999</v>
      </c>
      <c r="AI312" s="223">
        <v>0.28720231845100602</v>
      </c>
      <c r="AJ312" s="167">
        <v>0.35414226793624898</v>
      </c>
      <c r="AK312" s="224">
        <v>0.212307143948266</v>
      </c>
      <c r="AL312" s="224">
        <v>3.6954529253017003E-2</v>
      </c>
      <c r="AM312" s="82">
        <v>0.28622893222669199</v>
      </c>
      <c r="AN312" s="261">
        <v>7.2990000000000004</v>
      </c>
    </row>
    <row r="313" spans="1:40" s="167" customFormat="1" ht="13.8" customHeight="1">
      <c r="A313" s="186">
        <v>43654</v>
      </c>
      <c r="B313" s="185" t="s">
        <v>41</v>
      </c>
      <c r="C313" s="188">
        <v>22056</v>
      </c>
      <c r="D313" s="188">
        <v>79859</v>
      </c>
      <c r="E313" s="189">
        <v>3.6207381211461702</v>
      </c>
      <c r="F313" s="167">
        <v>0.574902020360886</v>
      </c>
      <c r="G313" s="190">
        <v>11.5</v>
      </c>
      <c r="H313" s="190">
        <v>17.95</v>
      </c>
      <c r="I313" s="219">
        <v>0.27200000000000002</v>
      </c>
      <c r="J313" s="219">
        <v>0.13100000000000001</v>
      </c>
      <c r="K313" s="219">
        <v>7.1999999999999995E-2</v>
      </c>
      <c r="L313" s="167">
        <v>8.8160132233060793</v>
      </c>
      <c r="M313" s="220">
        <v>10.8232760239923</v>
      </c>
      <c r="N313" s="167">
        <v>17.8914510453322</v>
      </c>
      <c r="O313" s="193">
        <v>0.60494120888065195</v>
      </c>
      <c r="P313" s="167">
        <v>2.51248188780791</v>
      </c>
      <c r="Q313" s="167">
        <v>3.8220658248809798</v>
      </c>
      <c r="R313" s="167">
        <v>1.0097702339060199</v>
      </c>
      <c r="S313" s="167">
        <v>5.5716828813910197</v>
      </c>
      <c r="T313" s="167">
        <v>1.5875802111364099</v>
      </c>
      <c r="U313" s="167">
        <v>0.47443593458911199</v>
      </c>
      <c r="V313" s="167">
        <v>1.9767749948250899</v>
      </c>
      <c r="W313" s="167">
        <v>0.93665907679569405</v>
      </c>
      <c r="X313" s="167">
        <v>9.2287656995454492E-3</v>
      </c>
      <c r="Y313" s="189">
        <v>10.8325047896918</v>
      </c>
      <c r="Z313" s="207">
        <v>739</v>
      </c>
      <c r="AA313" s="207">
        <v>494</v>
      </c>
      <c r="AB313" s="167">
        <v>5514.61</v>
      </c>
      <c r="AD313" s="195">
        <v>9.2538098398427197E-3</v>
      </c>
      <c r="AE313" s="219">
        <v>6.1859026534266601E-3</v>
      </c>
      <c r="AF313" s="167">
        <v>7.4622598105547997</v>
      </c>
      <c r="AG313" s="222">
        <v>6.9054333262374895E-2</v>
      </c>
      <c r="AH313" s="223">
        <v>0.451260428001451</v>
      </c>
      <c r="AI313" s="223">
        <v>0.31741929633659799</v>
      </c>
      <c r="AJ313" s="167">
        <v>0.37060318811906001</v>
      </c>
      <c r="AK313" s="224">
        <v>0.226862344882856</v>
      </c>
      <c r="AL313" s="224">
        <v>4.0371154159205599E-2</v>
      </c>
      <c r="AM313" s="82">
        <v>0.28859615071563599</v>
      </c>
      <c r="AN313" s="261">
        <v>6.3490000000000002</v>
      </c>
    </row>
    <row r="314" spans="1:40" s="167" customFormat="1" ht="13.8" customHeight="1">
      <c r="A314" s="186">
        <v>43655</v>
      </c>
      <c r="B314" s="185" t="s">
        <v>41</v>
      </c>
      <c r="C314" s="188">
        <v>12055</v>
      </c>
      <c r="D314" s="188">
        <v>68682</v>
      </c>
      <c r="E314" s="189">
        <v>5.6973869763583602</v>
      </c>
      <c r="F314" s="167">
        <v>0.60314584126845405</v>
      </c>
      <c r="G314" s="190">
        <v>12.81</v>
      </c>
      <c r="H314" s="190">
        <v>20.399999999999999</v>
      </c>
      <c r="I314" s="219">
        <v>0.3</v>
      </c>
      <c r="J314" s="219">
        <v>0.14799999999999999</v>
      </c>
      <c r="K314" s="219">
        <v>8.1000000000000003E-2</v>
      </c>
      <c r="L314" s="167">
        <v>8.7430622288226907</v>
      </c>
      <c r="M314" s="220">
        <v>10.7540549197752</v>
      </c>
      <c r="N314" s="167">
        <v>17.180572678002399</v>
      </c>
      <c r="O314" s="193">
        <v>0.62594275064791405</v>
      </c>
      <c r="P314" s="167">
        <v>2.3865692819427302</v>
      </c>
      <c r="Q314" s="167">
        <v>3.7159172850131399</v>
      </c>
      <c r="R314" s="167">
        <v>0.99185876113605198</v>
      </c>
      <c r="S314" s="167">
        <v>5.1769440115372998</v>
      </c>
      <c r="T314" s="167">
        <v>1.55583726826545</v>
      </c>
      <c r="U314" s="167">
        <v>0.491312135098044</v>
      </c>
      <c r="V314" s="167">
        <v>1.9246121281198401</v>
      </c>
      <c r="W314" s="167">
        <v>0.93752180688981401</v>
      </c>
      <c r="X314" s="167">
        <v>9.6531842404123294E-3</v>
      </c>
      <c r="Y314" s="189">
        <v>10.763708104015601</v>
      </c>
      <c r="Z314" s="207">
        <v>693</v>
      </c>
      <c r="AA314" s="207">
        <v>458</v>
      </c>
      <c r="AB314" s="167">
        <v>4543.07</v>
      </c>
      <c r="AD314" s="195">
        <v>1.00899799073993E-2</v>
      </c>
      <c r="AE314" s="219">
        <v>6.6684138493346102E-3</v>
      </c>
      <c r="AF314" s="167">
        <v>6.5556565656565704</v>
      </c>
      <c r="AG314" s="222">
        <v>6.6146443027285201E-2</v>
      </c>
      <c r="AH314" s="223">
        <v>0.50078805474906696</v>
      </c>
      <c r="AI314" s="223">
        <v>0.42812111157196198</v>
      </c>
      <c r="AJ314" s="167">
        <v>0.444381351736991</v>
      </c>
      <c r="AK314" s="224">
        <v>0.27224017937742101</v>
      </c>
      <c r="AL314" s="224">
        <v>5.1483649282199097E-2</v>
      </c>
      <c r="AM314" s="82">
        <v>0.264057540549198</v>
      </c>
      <c r="AN314" s="261">
        <v>5.8330000000000002</v>
      </c>
    </row>
    <row r="315" spans="1:40" s="166" customFormat="1" ht="13.95" customHeight="1">
      <c r="A315" s="196">
        <v>43656</v>
      </c>
      <c r="B315" s="197" t="s">
        <v>41</v>
      </c>
      <c r="C315" s="198">
        <v>13037</v>
      </c>
      <c r="D315" s="198">
        <v>66521</v>
      </c>
      <c r="E315" s="200">
        <v>5.1024775638567199</v>
      </c>
      <c r="F315" s="166">
        <v>0.51789002751011004</v>
      </c>
      <c r="G315" s="217">
        <v>14.11</v>
      </c>
      <c r="H315" s="217">
        <v>21.19</v>
      </c>
      <c r="I315" s="203">
        <v>0.31</v>
      </c>
      <c r="J315" s="203">
        <v>0.14199999999999999</v>
      </c>
      <c r="K315" s="203">
        <v>7.8E-2</v>
      </c>
      <c r="L315" s="166">
        <v>7.5614918597134704</v>
      </c>
      <c r="M315" s="204">
        <v>8.8479126892259607</v>
      </c>
      <c r="N315" s="166">
        <v>14.684563758389301</v>
      </c>
      <c r="O315" s="205">
        <v>0.60253153139610005</v>
      </c>
      <c r="P315" s="166">
        <v>2.2146653027619099</v>
      </c>
      <c r="Q315" s="166">
        <v>3.0835557995060001</v>
      </c>
      <c r="R315" s="166">
        <v>0.82193558044958903</v>
      </c>
      <c r="S315" s="166">
        <v>4.2096255083456002</v>
      </c>
      <c r="T315" s="166">
        <v>1.36710660911654</v>
      </c>
      <c r="U315" s="166">
        <v>0.51323569771213295</v>
      </c>
      <c r="V315" s="166">
        <v>1.6321199570869001</v>
      </c>
      <c r="W315" s="166">
        <v>0.842294353933285</v>
      </c>
      <c r="X315" s="166">
        <v>1.16053577065889E-2</v>
      </c>
      <c r="Y315" s="200">
        <v>8.8595180469325499</v>
      </c>
      <c r="Z315" s="206">
        <v>494</v>
      </c>
      <c r="AA315" s="206">
        <v>359</v>
      </c>
      <c r="AB315" s="166">
        <v>2974.06</v>
      </c>
      <c r="AD315" s="210">
        <v>7.4262263044752802E-3</v>
      </c>
      <c r="AE315" s="203">
        <v>5.3967919904992397E-3</v>
      </c>
      <c r="AF315" s="166">
        <v>6.0203643724696301</v>
      </c>
      <c r="AG315" s="211">
        <v>4.4708588265359797E-2</v>
      </c>
      <c r="AH315" s="212">
        <v>0.45992176114136701</v>
      </c>
      <c r="AI315" s="212">
        <v>0.33182480632047301</v>
      </c>
      <c r="AJ315" s="166">
        <v>0.46925031193157002</v>
      </c>
      <c r="AK315" s="213">
        <v>0.29512484779242598</v>
      </c>
      <c r="AL315" s="213">
        <v>5.5155514799837602E-2</v>
      </c>
      <c r="AM315" s="214">
        <v>1.7693660648517E-2</v>
      </c>
      <c r="AN315" s="261">
        <v>5.8049999999999997</v>
      </c>
    </row>
    <row r="316" spans="1:40" s="167" customFormat="1" ht="13.8" customHeight="1">
      <c r="A316" s="186">
        <v>43657</v>
      </c>
      <c r="B316" s="187" t="s">
        <v>41</v>
      </c>
      <c r="C316" s="188">
        <v>11472</v>
      </c>
      <c r="D316" s="188">
        <v>63107</v>
      </c>
      <c r="E316" s="189">
        <v>5.50095885634589</v>
      </c>
      <c r="F316" s="167">
        <v>0.56109869984312399</v>
      </c>
      <c r="G316" s="190">
        <v>15.1</v>
      </c>
      <c r="H316" s="190">
        <v>22.29</v>
      </c>
      <c r="I316" s="219">
        <v>0.3</v>
      </c>
      <c r="J316" s="219">
        <v>0.14899999999999999</v>
      </c>
      <c r="K316" s="225">
        <v>7.6999999999999999E-2</v>
      </c>
      <c r="L316" s="167">
        <v>7.65222558511734</v>
      </c>
      <c r="M316" s="220">
        <v>9.0070356695770695</v>
      </c>
      <c r="N316" s="167">
        <v>14.9797601792067</v>
      </c>
      <c r="O316" s="193">
        <v>0.60128036509420502</v>
      </c>
      <c r="P316" s="167">
        <v>2.24814863618395</v>
      </c>
      <c r="Q316" s="167">
        <v>3.21834233759389</v>
      </c>
      <c r="R316" s="167">
        <v>0.81431018579522996</v>
      </c>
      <c r="S316" s="167">
        <v>4.3064171827645303</v>
      </c>
      <c r="T316" s="167">
        <v>1.3887205165370899</v>
      </c>
      <c r="U316" s="167">
        <v>0.51569376729476901</v>
      </c>
      <c r="V316" s="167">
        <v>1.6469363552510199</v>
      </c>
      <c r="W316" s="167">
        <v>0.84116484385294499</v>
      </c>
      <c r="X316" s="167">
        <v>1.44516456177603E-2</v>
      </c>
      <c r="Y316" s="189">
        <v>9.0214873151948307</v>
      </c>
      <c r="Z316" s="207">
        <v>499</v>
      </c>
      <c r="AA316" s="207">
        <v>352</v>
      </c>
      <c r="AB316" s="167">
        <v>2978.01</v>
      </c>
      <c r="AD316" s="195">
        <v>7.9072052228754304E-3</v>
      </c>
      <c r="AE316" s="219">
        <v>5.5778281331706498E-3</v>
      </c>
      <c r="AF316" s="167">
        <v>5.9679559118236503</v>
      </c>
      <c r="AG316" s="222">
        <v>4.71898521558623E-2</v>
      </c>
      <c r="AH316" s="223">
        <v>0.47594142259414202</v>
      </c>
      <c r="AI316" s="223">
        <v>0.35407949790795001</v>
      </c>
      <c r="AJ316" s="167">
        <v>0.47126309284231499</v>
      </c>
      <c r="AK316" s="224">
        <v>0.30202671652906998</v>
      </c>
      <c r="AL316" s="224">
        <v>5.46373619408307E-2</v>
      </c>
      <c r="AM316" s="82">
        <v>5.7204430570301197E-3</v>
      </c>
      <c r="AN316" s="261">
        <v>5.2469999999999999</v>
      </c>
    </row>
    <row r="317" spans="1:40" s="167" customFormat="1" ht="13.5" customHeight="1">
      <c r="A317" s="186">
        <v>43658</v>
      </c>
      <c r="B317" s="187" t="s">
        <v>41</v>
      </c>
      <c r="C317" s="188">
        <v>10317</v>
      </c>
      <c r="D317" s="188">
        <v>60689</v>
      </c>
      <c r="E317" s="189">
        <v>5.8824270621304597</v>
      </c>
      <c r="F317" s="167">
        <v>0.57586283481355804</v>
      </c>
      <c r="G317" s="190">
        <v>14.92</v>
      </c>
      <c r="H317" s="190">
        <v>21.57</v>
      </c>
      <c r="I317" s="219">
        <v>0.28499999999999998</v>
      </c>
      <c r="J317" s="219">
        <v>0.152</v>
      </c>
      <c r="K317" s="219">
        <v>7.8E-2</v>
      </c>
      <c r="L317" s="167">
        <v>7.5393728682298304</v>
      </c>
      <c r="M317" s="220">
        <v>8.9629751684819308</v>
      </c>
      <c r="N317" s="167">
        <v>14.866192948893101</v>
      </c>
      <c r="O317" s="193">
        <v>0.60290991777752101</v>
      </c>
      <c r="P317" s="167">
        <v>2.2455588958731898</v>
      </c>
      <c r="Q317" s="167">
        <v>3.2188302814976799</v>
      </c>
      <c r="R317" s="167">
        <v>0.79357748018584295</v>
      </c>
      <c r="S317" s="167">
        <v>4.2426072697458297</v>
      </c>
      <c r="T317" s="167">
        <v>1.3894779994533999</v>
      </c>
      <c r="U317" s="167">
        <v>0.51393823449029796</v>
      </c>
      <c r="V317" s="167">
        <v>1.6234763596611099</v>
      </c>
      <c r="W317" s="167">
        <v>0.838726427985788</v>
      </c>
      <c r="X317" s="167">
        <v>1.6362108454579902E-2</v>
      </c>
      <c r="Y317" s="189">
        <v>8.9793372769365103</v>
      </c>
      <c r="Z317" s="207">
        <v>469</v>
      </c>
      <c r="AA317" s="207">
        <v>337</v>
      </c>
      <c r="AB317" s="167">
        <v>3465.31</v>
      </c>
      <c r="AD317" s="195">
        <v>7.7279243355468001E-3</v>
      </c>
      <c r="AE317" s="219">
        <v>5.5529008551796896E-3</v>
      </c>
      <c r="AF317" s="167">
        <v>7.38872068230277</v>
      </c>
      <c r="AG317" s="222">
        <v>5.7099474369325602E-2</v>
      </c>
      <c r="AH317" s="223">
        <v>0.48153533003780202</v>
      </c>
      <c r="AI317" s="223">
        <v>0.37404284191140802</v>
      </c>
      <c r="AJ317" s="167">
        <v>0.475275585361433</v>
      </c>
      <c r="AK317" s="224">
        <v>0.30672774308359002</v>
      </c>
      <c r="AL317" s="224">
        <v>5.5825602662755998E-2</v>
      </c>
      <c r="AM317" s="82">
        <v>3.24605776994183E-3</v>
      </c>
      <c r="AN317" s="261">
        <v>5.1820000000000004</v>
      </c>
    </row>
    <row r="318" spans="1:40" s="167" customFormat="1" ht="13.5" customHeight="1">
      <c r="A318" s="186">
        <v>43659</v>
      </c>
      <c r="B318" s="185" t="s">
        <v>41</v>
      </c>
      <c r="C318" s="188">
        <v>9649</v>
      </c>
      <c r="D318" s="188">
        <v>58458</v>
      </c>
      <c r="E318" s="189">
        <v>6.0584516530210397</v>
      </c>
      <c r="F318" s="167">
        <v>0.82016919018782697</v>
      </c>
      <c r="G318" s="190">
        <v>13.39</v>
      </c>
      <c r="H318" s="190">
        <v>20.29</v>
      </c>
      <c r="I318" s="219">
        <v>0.29299999999999998</v>
      </c>
      <c r="J318" s="219">
        <v>0.151</v>
      </c>
      <c r="K318" s="219">
        <v>7.8E-2</v>
      </c>
      <c r="L318" s="167">
        <v>9.5638920250436197</v>
      </c>
      <c r="M318" s="220">
        <v>12.5346744671388</v>
      </c>
      <c r="N318" s="167">
        <v>20.280424012620699</v>
      </c>
      <c r="O318" s="193">
        <v>0.61806767251702099</v>
      </c>
      <c r="P318" s="167">
        <v>2.7005618443995498</v>
      </c>
      <c r="Q318" s="167">
        <v>3.8576291826963001</v>
      </c>
      <c r="R318" s="167">
        <v>1.2267305084276701</v>
      </c>
      <c r="S318" s="167">
        <v>7.1473526888267704</v>
      </c>
      <c r="T318" s="167">
        <v>1.76109158340483</v>
      </c>
      <c r="U318" s="167">
        <v>0.430212283081011</v>
      </c>
      <c r="V318" s="167">
        <v>2.2197005341673401</v>
      </c>
      <c r="W318" s="167">
        <v>0.93711771055326398</v>
      </c>
      <c r="X318" s="167">
        <v>1.8423483526634501E-2</v>
      </c>
      <c r="Y318" s="189">
        <v>12.5530979506654</v>
      </c>
      <c r="Z318" s="207">
        <v>770</v>
      </c>
      <c r="AA318" s="207">
        <v>498</v>
      </c>
      <c r="AB318" s="167">
        <v>6676.3</v>
      </c>
      <c r="AD318" s="195">
        <v>1.3171849875124E-2</v>
      </c>
      <c r="AE318" s="219">
        <v>8.5189366724828103E-3</v>
      </c>
      <c r="AF318" s="167">
        <v>8.6705194805194807</v>
      </c>
      <c r="AG318" s="222">
        <v>0.114206780936741</v>
      </c>
      <c r="AH318" s="223">
        <v>0.46802777489895298</v>
      </c>
      <c r="AI318" s="223">
        <v>0.35216084568349099</v>
      </c>
      <c r="AJ318" s="167">
        <v>0.370556638954463</v>
      </c>
      <c r="AK318" s="224">
        <v>0.26398439905573201</v>
      </c>
      <c r="AL318" s="224">
        <v>4.8889801224811E-2</v>
      </c>
      <c r="AM318" s="82">
        <v>0.334804475007698</v>
      </c>
      <c r="AN318" s="261">
        <v>6.4089999999999998</v>
      </c>
    </row>
    <row r="319" spans="1:40" s="167" customFormat="1" ht="13.5" customHeight="1">
      <c r="A319" s="186">
        <v>43660</v>
      </c>
      <c r="B319" s="185" t="s">
        <v>41</v>
      </c>
      <c r="C319" s="188">
        <v>10841</v>
      </c>
      <c r="D319" s="188">
        <v>59265</v>
      </c>
      <c r="E319" s="189">
        <v>5.4667466100913202</v>
      </c>
      <c r="F319" s="167">
        <v>0.74003270696026302</v>
      </c>
      <c r="G319" s="190">
        <v>13.22</v>
      </c>
      <c r="H319" s="190">
        <v>19.690000000000001</v>
      </c>
      <c r="I319" s="219">
        <v>0.30499999999999999</v>
      </c>
      <c r="J319" s="219">
        <v>0.14899999999999999</v>
      </c>
      <c r="K319" s="225">
        <v>7.6999999999999999E-2</v>
      </c>
      <c r="L319" s="167">
        <v>8.9505779127647003</v>
      </c>
      <c r="M319" s="220">
        <v>11.9250991310217</v>
      </c>
      <c r="N319" s="167">
        <v>19.2703749147921</v>
      </c>
      <c r="O319" s="193">
        <v>0.61883067577828399</v>
      </c>
      <c r="P319" s="167">
        <v>2.65412406271302</v>
      </c>
      <c r="Q319" s="167">
        <v>3.93597818677573</v>
      </c>
      <c r="R319" s="167">
        <v>1.14753919563736</v>
      </c>
      <c r="S319" s="167">
        <v>6.3170279481935898</v>
      </c>
      <c r="T319" s="167">
        <v>1.7331152010906601</v>
      </c>
      <c r="U319" s="167">
        <v>0.44038173142467602</v>
      </c>
      <c r="V319" s="167">
        <v>2.09605998636673</v>
      </c>
      <c r="W319" s="167">
        <v>0.94614860259032096</v>
      </c>
      <c r="X319" s="167">
        <v>1.5844090103771202E-2</v>
      </c>
      <c r="Y319" s="189">
        <v>11.940943221125501</v>
      </c>
      <c r="Z319" s="207">
        <v>653</v>
      </c>
      <c r="AA319" s="207">
        <v>433</v>
      </c>
      <c r="AB319" s="167">
        <v>5598.47</v>
      </c>
      <c r="AD319" s="195">
        <v>1.10183076014511E-2</v>
      </c>
      <c r="AE319" s="219">
        <v>7.30616721505104E-3</v>
      </c>
      <c r="AF319" s="167">
        <v>8.5734609494640104</v>
      </c>
      <c r="AG319" s="222">
        <v>9.4465029950223503E-2</v>
      </c>
      <c r="AH319" s="223">
        <v>0.48390369892076401</v>
      </c>
      <c r="AI319" s="223">
        <v>0.33354856563047702</v>
      </c>
      <c r="AJ319" s="167">
        <v>0.37291824854467198</v>
      </c>
      <c r="AK319" s="224">
        <v>0.25694760820045598</v>
      </c>
      <c r="AL319" s="224">
        <v>4.8004724542310001E-2</v>
      </c>
      <c r="AM319" s="82">
        <v>0.32997553362018101</v>
      </c>
      <c r="AN319" s="261">
        <v>6.9850000000000003</v>
      </c>
    </row>
    <row r="320" spans="1:40" s="167" customFormat="1" ht="13.5" customHeight="1">
      <c r="A320" s="186">
        <v>43661</v>
      </c>
      <c r="B320" s="185" t="s">
        <v>41</v>
      </c>
      <c r="C320" s="188">
        <v>10711</v>
      </c>
      <c r="D320" s="188">
        <v>60829</v>
      </c>
      <c r="E320" s="189">
        <v>5.6791149285781</v>
      </c>
      <c r="F320" s="167">
        <v>0.65485970410494998</v>
      </c>
      <c r="G320" s="190">
        <v>12.4</v>
      </c>
      <c r="H320" s="190">
        <v>18.61</v>
      </c>
      <c r="I320" s="219">
        <v>0.29899999999999999</v>
      </c>
      <c r="J320" s="225">
        <v>0.14399999999999999</v>
      </c>
      <c r="K320" s="219">
        <v>0.08</v>
      </c>
      <c r="L320" s="167">
        <v>8.9025629222903593</v>
      </c>
      <c r="M320" s="220">
        <v>11.8345032796857</v>
      </c>
      <c r="N320" s="167">
        <v>19.078286910661799</v>
      </c>
      <c r="O320" s="193">
        <v>0.62031267980732896</v>
      </c>
      <c r="P320" s="167">
        <v>2.6484774600482299</v>
      </c>
      <c r="Q320" s="167">
        <v>4.0466965255876799</v>
      </c>
      <c r="R320" s="167">
        <v>1.08517743089603</v>
      </c>
      <c r="S320" s="167">
        <v>6.0650094082103196</v>
      </c>
      <c r="T320" s="167">
        <v>1.75779821376514</v>
      </c>
      <c r="U320" s="167">
        <v>0.440277740969443</v>
      </c>
      <c r="V320" s="167">
        <v>2.0763257625950802</v>
      </c>
      <c r="W320" s="167">
        <v>0.95852436858982903</v>
      </c>
      <c r="X320" s="167">
        <v>1.44339048808956E-2</v>
      </c>
      <c r="Y320" s="189">
        <v>11.8489371845666</v>
      </c>
      <c r="Z320" s="207">
        <v>629</v>
      </c>
      <c r="AA320" s="207">
        <v>458</v>
      </c>
      <c r="AB320" s="167">
        <v>4728.71</v>
      </c>
      <c r="AD320" s="195">
        <v>1.03404626082954E-2</v>
      </c>
      <c r="AE320" s="219">
        <v>7.5293034572325697E-3</v>
      </c>
      <c r="AF320" s="167">
        <v>7.5178219395866401</v>
      </c>
      <c r="AG320" s="222">
        <v>7.7737756662118407E-2</v>
      </c>
      <c r="AH320" s="223">
        <v>0.480067220614322</v>
      </c>
      <c r="AI320" s="223">
        <v>0.36728596769675997</v>
      </c>
      <c r="AJ320" s="167">
        <v>0.393611599730392</v>
      </c>
      <c r="AK320" s="224">
        <v>0.26732315178615501</v>
      </c>
      <c r="AL320" s="224">
        <v>5.16201154054809E-2</v>
      </c>
      <c r="AM320" s="82">
        <v>0.32576567097930298</v>
      </c>
      <c r="AN320" s="261">
        <v>5.5919999999999996</v>
      </c>
    </row>
    <row r="321" spans="1:40" s="167" customFormat="1" ht="13.5" customHeight="1">
      <c r="A321" s="186">
        <v>43662</v>
      </c>
      <c r="B321" s="185" t="s">
        <v>41</v>
      </c>
      <c r="C321" s="188">
        <v>11714</v>
      </c>
      <c r="D321" s="188">
        <v>60315</v>
      </c>
      <c r="E321" s="189">
        <v>5.1489670479767797</v>
      </c>
      <c r="F321" s="167">
        <v>0.67780491459835901</v>
      </c>
      <c r="G321" s="190">
        <v>14.1</v>
      </c>
      <c r="H321" s="190">
        <v>20.77</v>
      </c>
      <c r="I321" s="219">
        <v>0.30199999999999999</v>
      </c>
      <c r="J321" s="219">
        <v>0.14699999999999999</v>
      </c>
      <c r="K321" s="219">
        <v>7.5999999999999998E-2</v>
      </c>
      <c r="L321" s="167">
        <v>8.54905081654646</v>
      </c>
      <c r="M321" s="220">
        <v>10.771383569593</v>
      </c>
      <c r="N321" s="167">
        <v>17.601148709056901</v>
      </c>
      <c r="O321" s="193">
        <v>0.61197048826991596</v>
      </c>
      <c r="P321" s="167">
        <v>2.4633036222264399</v>
      </c>
      <c r="Q321" s="167">
        <v>3.80891875050798</v>
      </c>
      <c r="R321" s="167">
        <v>1.0065834033215</v>
      </c>
      <c r="S321" s="167">
        <v>5.38319200238411</v>
      </c>
      <c r="T321" s="167">
        <v>1.61355693424724</v>
      </c>
      <c r="U321" s="167">
        <v>0.47004957871637199</v>
      </c>
      <c r="V321" s="167">
        <v>1.9397198667064</v>
      </c>
      <c r="W321" s="167">
        <v>0.91582455094687198</v>
      </c>
      <c r="X321" s="167">
        <v>1.43579540744425E-2</v>
      </c>
      <c r="Y321" s="189">
        <v>10.785741523667401</v>
      </c>
      <c r="Z321" s="207">
        <v>564</v>
      </c>
      <c r="AA321" s="207">
        <v>385</v>
      </c>
      <c r="AB321" s="167">
        <v>4444.3599999999997</v>
      </c>
      <c r="AD321" s="195">
        <v>9.3509077343944293E-3</v>
      </c>
      <c r="AE321" s="219">
        <v>6.3831551023791804E-3</v>
      </c>
      <c r="AF321" s="167">
        <v>7.88007092198582</v>
      </c>
      <c r="AG321" s="222">
        <v>7.3685816131973794E-2</v>
      </c>
      <c r="AH321" s="223">
        <v>0.46781628820215099</v>
      </c>
      <c r="AI321" s="223">
        <v>0.32661772238347297</v>
      </c>
      <c r="AJ321" s="167">
        <v>0.43417060432728199</v>
      </c>
      <c r="AK321" s="224">
        <v>0.27867031418386801</v>
      </c>
      <c r="AL321" s="224">
        <v>5.58401724280859E-2</v>
      </c>
      <c r="AM321" s="82">
        <v>0.26660034817209599</v>
      </c>
      <c r="AN321" s="261">
        <v>5.4690000000000003</v>
      </c>
    </row>
    <row r="322" spans="1:40" s="168" customFormat="1" ht="13.95" customHeight="1">
      <c r="A322" s="226">
        <v>43663</v>
      </c>
      <c r="B322" s="227" t="s">
        <v>41</v>
      </c>
      <c r="C322" s="228">
        <v>12383</v>
      </c>
      <c r="D322" s="228">
        <v>59913</v>
      </c>
      <c r="E322" s="234">
        <v>4.8383267382702098</v>
      </c>
      <c r="F322" s="168">
        <v>0.54730237654599201</v>
      </c>
      <c r="G322" s="235">
        <v>14.7</v>
      </c>
      <c r="H322" s="235">
        <v>21.99</v>
      </c>
      <c r="I322" s="238">
        <v>0.29499999999999998</v>
      </c>
      <c r="J322" s="238">
        <v>0.14099999999999999</v>
      </c>
      <c r="K322" s="238">
        <v>7.5999999999999998E-2</v>
      </c>
      <c r="L322" s="168">
        <v>7.7312937092116902</v>
      </c>
      <c r="M322" s="239">
        <v>9.1974863552150605</v>
      </c>
      <c r="N322" s="168">
        <v>15.4446312957202</v>
      </c>
      <c r="O322" s="240">
        <v>0.59551349456712199</v>
      </c>
      <c r="P322" s="168">
        <v>2.2726533815409602</v>
      </c>
      <c r="Q322" s="168">
        <v>3.3452170744695802</v>
      </c>
      <c r="R322" s="168">
        <v>0.83864458084587601</v>
      </c>
      <c r="S322" s="168">
        <v>4.5109448134757102</v>
      </c>
      <c r="T322" s="168">
        <v>1.41466969365733</v>
      </c>
      <c r="U322" s="168">
        <v>0.517475265562376</v>
      </c>
      <c r="V322" s="168">
        <v>1.68810785055635</v>
      </c>
      <c r="W322" s="168">
        <v>0.856918635611985</v>
      </c>
      <c r="X322" s="168">
        <v>1.4988399846443999E-2</v>
      </c>
      <c r="Y322" s="234">
        <v>9.2124747550615105</v>
      </c>
      <c r="Z322" s="243">
        <v>453</v>
      </c>
      <c r="AA322" s="243">
        <v>326</v>
      </c>
      <c r="AB322" s="168">
        <v>2717.47</v>
      </c>
      <c r="AD322" s="246">
        <v>7.5609633969255397E-3</v>
      </c>
      <c r="AE322" s="238">
        <v>5.4412231068382503E-3</v>
      </c>
      <c r="AF322" s="168">
        <v>5.9988300220750501</v>
      </c>
      <c r="AG322" s="249">
        <v>4.5356934221287497E-2</v>
      </c>
      <c r="AH322" s="250">
        <v>0.465153839941856</v>
      </c>
      <c r="AI322" s="250">
        <v>0.32988774933376402</v>
      </c>
      <c r="AJ322" s="168">
        <v>0.482065661876387</v>
      </c>
      <c r="AK322" s="253">
        <v>0.30066930382387802</v>
      </c>
      <c r="AL322" s="253">
        <v>5.8418039490594702E-2</v>
      </c>
      <c r="AM322" s="254">
        <v>0</v>
      </c>
      <c r="AN322" s="261">
        <v>6.5179999999999998</v>
      </c>
    </row>
    <row r="323" spans="1:40" s="169" customFormat="1" ht="13.5" customHeight="1">
      <c r="A323" s="229">
        <v>43664</v>
      </c>
      <c r="B323" s="230" t="s">
        <v>41</v>
      </c>
      <c r="C323" s="231">
        <v>9869</v>
      </c>
      <c r="D323" s="231">
        <v>56709</v>
      </c>
      <c r="E323" s="236">
        <v>5.7461748910730597</v>
      </c>
      <c r="F323" s="169">
        <v>0.54893656075755204</v>
      </c>
      <c r="G323" s="237">
        <v>13.96</v>
      </c>
      <c r="H323" s="237">
        <v>20.53</v>
      </c>
      <c r="I323" s="225">
        <v>0.3</v>
      </c>
      <c r="J323" s="225">
        <v>0.14699999999999999</v>
      </c>
      <c r="K323" s="225">
        <v>7.2999999999999995E-2</v>
      </c>
      <c r="L323" s="169">
        <v>7.6945105715142201</v>
      </c>
      <c r="M323" s="241">
        <v>9.2627625244670195</v>
      </c>
      <c r="N323" s="169">
        <v>15.267162704179499</v>
      </c>
      <c r="O323" s="242">
        <v>0.60671145673526305</v>
      </c>
      <c r="P323" s="169">
        <v>2.2468464802650701</v>
      </c>
      <c r="Q323" s="169">
        <v>3.3723769110038901</v>
      </c>
      <c r="R323" s="169">
        <v>0.83209323955124104</v>
      </c>
      <c r="S323" s="169">
        <v>4.3956577341161402</v>
      </c>
      <c r="T323" s="169">
        <v>1.41431727024356</v>
      </c>
      <c r="U323" s="169">
        <v>0.509475091553799</v>
      </c>
      <c r="V323" s="169">
        <v>1.6513980119746601</v>
      </c>
      <c r="W323" s="169">
        <v>0.84499796547113903</v>
      </c>
      <c r="X323" s="169">
        <v>1.4054206563332099E-2</v>
      </c>
      <c r="Y323" s="236">
        <v>9.2768167310303493</v>
      </c>
      <c r="Z323" s="244">
        <v>462</v>
      </c>
      <c r="AA323" s="244">
        <v>331</v>
      </c>
      <c r="AB323" s="169">
        <v>2940.38</v>
      </c>
      <c r="AD323" s="248">
        <v>8.1468549965613892E-3</v>
      </c>
      <c r="AE323" s="225">
        <v>5.8368160256749404E-3</v>
      </c>
      <c r="AF323" s="169">
        <v>6.3644588744588804</v>
      </c>
      <c r="AG323" s="251">
        <v>5.1850323581794797E-2</v>
      </c>
      <c r="AH323" s="252">
        <v>0.49356571081163197</v>
      </c>
      <c r="AI323" s="252">
        <v>0.37734319586584297</v>
      </c>
      <c r="AJ323" s="169">
        <v>0.481546139060819</v>
      </c>
      <c r="AK323" s="255">
        <v>0.31160838667583601</v>
      </c>
      <c r="AL323" s="255">
        <v>5.8914810700241599E-2</v>
      </c>
      <c r="AM323" s="256">
        <v>0</v>
      </c>
      <c r="AN323" s="261">
        <v>5.5570000000000004</v>
      </c>
    </row>
    <row r="324" spans="1:40" s="169" customFormat="1" ht="13.5" customHeight="1">
      <c r="A324" s="229">
        <v>43665</v>
      </c>
      <c r="B324" s="230" t="s">
        <v>41</v>
      </c>
      <c r="C324" s="231">
        <v>9921</v>
      </c>
      <c r="D324" s="231">
        <v>54560</v>
      </c>
      <c r="E324" s="236">
        <v>5.4994456204011701</v>
      </c>
      <c r="F324" s="169">
        <v>0.46594065362903198</v>
      </c>
      <c r="G324" s="237">
        <v>12.5</v>
      </c>
      <c r="H324" s="237">
        <v>18.18</v>
      </c>
      <c r="I324" s="225">
        <v>0.28899999999999998</v>
      </c>
      <c r="J324" s="225">
        <v>0.14299999999999999</v>
      </c>
      <c r="K324" s="225">
        <v>7.8E-2</v>
      </c>
      <c r="L324" s="169">
        <v>7.5473057184750703</v>
      </c>
      <c r="M324" s="241">
        <v>9.1527492668621697</v>
      </c>
      <c r="N324" s="169">
        <v>15.3233913283623</v>
      </c>
      <c r="O324" s="242">
        <v>0.59730571847507496</v>
      </c>
      <c r="P324" s="169">
        <v>2.2656417809690401</v>
      </c>
      <c r="Q324" s="169">
        <v>3.4774924054128702</v>
      </c>
      <c r="R324" s="169">
        <v>0.83279634232409705</v>
      </c>
      <c r="S324" s="169">
        <v>4.2999785203596304</v>
      </c>
      <c r="T324" s="169">
        <v>1.42600263892725</v>
      </c>
      <c r="U324" s="169">
        <v>0.51268833041823902</v>
      </c>
      <c r="V324" s="169">
        <v>1.6612353861732501</v>
      </c>
      <c r="W324" s="169">
        <v>0.84755592377796196</v>
      </c>
      <c r="X324" s="169">
        <v>1.3159824046920799E-2</v>
      </c>
      <c r="Y324" s="236">
        <v>9.1659090909090892</v>
      </c>
      <c r="Z324" s="244">
        <v>440</v>
      </c>
      <c r="AA324" s="244">
        <v>313</v>
      </c>
      <c r="AB324" s="169">
        <v>2722.6</v>
      </c>
      <c r="AD324" s="248">
        <v>8.0645161290322596E-3</v>
      </c>
      <c r="AE324" s="225">
        <v>5.7368035190615797E-3</v>
      </c>
      <c r="AF324" s="169">
        <v>6.1877272727272699</v>
      </c>
      <c r="AG324" s="251">
        <v>4.99010263929619E-2</v>
      </c>
      <c r="AH324" s="252">
        <v>0.445116419715754</v>
      </c>
      <c r="AI324" s="252">
        <v>0.32012901925209197</v>
      </c>
      <c r="AJ324" s="169">
        <v>0.47967375366568898</v>
      </c>
      <c r="AK324" s="255">
        <v>0.31083211143695</v>
      </c>
      <c r="AL324" s="255">
        <v>5.9970674486803502E-2</v>
      </c>
      <c r="AM324" s="256">
        <v>0</v>
      </c>
      <c r="AN324" s="261">
        <v>5.0970000000000004</v>
      </c>
    </row>
    <row r="325" spans="1:40" s="169" customFormat="1" ht="13.5" customHeight="1">
      <c r="A325" s="229">
        <v>43666</v>
      </c>
      <c r="B325" s="232" t="s">
        <v>41</v>
      </c>
      <c r="C325" s="231">
        <v>6947</v>
      </c>
      <c r="D325" s="231">
        <v>50635</v>
      </c>
      <c r="E325" s="236">
        <v>7.2887577371527303</v>
      </c>
      <c r="F325" s="169">
        <v>0.72909177837464201</v>
      </c>
      <c r="G325" s="237">
        <v>11.46</v>
      </c>
      <c r="H325" s="237">
        <v>16.54</v>
      </c>
      <c r="I325" s="225">
        <v>0.28199999999999997</v>
      </c>
      <c r="J325" s="225">
        <v>0.14699999999999999</v>
      </c>
      <c r="K325" s="225">
        <v>7.0999999999999994E-2</v>
      </c>
      <c r="L325" s="169">
        <v>10.022909055001501</v>
      </c>
      <c r="M325" s="241">
        <v>13.3574207563938</v>
      </c>
      <c r="N325" s="169">
        <v>21.3663876164903</v>
      </c>
      <c r="O325" s="242">
        <v>0.62516046213093701</v>
      </c>
      <c r="P325" s="169">
        <v>2.7549202337703398</v>
      </c>
      <c r="Q325" s="169">
        <v>4.3317959248144096</v>
      </c>
      <c r="R325" s="169">
        <v>1.28652661506871</v>
      </c>
      <c r="S325" s="169">
        <v>7.4919601958616298</v>
      </c>
      <c r="T325" s="169">
        <v>1.8296951508450501</v>
      </c>
      <c r="U325" s="169">
        <v>0.42669404517453802</v>
      </c>
      <c r="V325" s="169">
        <v>2.2911072500394898</v>
      </c>
      <c r="W325" s="169">
        <v>0.95368820091612705</v>
      </c>
      <c r="X325" s="169">
        <v>1.30937098844673E-2</v>
      </c>
      <c r="Y325" s="236">
        <v>13.3705144662783</v>
      </c>
      <c r="Z325" s="244">
        <v>710</v>
      </c>
      <c r="AA325" s="244">
        <v>459</v>
      </c>
      <c r="AB325" s="169">
        <v>5333.9</v>
      </c>
      <c r="AD325" s="248">
        <v>1.40219215957342E-2</v>
      </c>
      <c r="AE325" s="225">
        <v>9.0648760738619508E-3</v>
      </c>
      <c r="AF325" s="169">
        <v>7.5125352112675996</v>
      </c>
      <c r="AG325" s="251">
        <v>0.105340179717587</v>
      </c>
      <c r="AH325" s="252">
        <v>0.50467827839355095</v>
      </c>
      <c r="AI325" s="252">
        <v>0.40190010076291899</v>
      </c>
      <c r="AJ325" s="169">
        <v>0.39281129653401797</v>
      </c>
      <c r="AK325" s="255">
        <v>0.27190678384516598</v>
      </c>
      <c r="AL325" s="255">
        <v>5.3224054507751598E-2</v>
      </c>
      <c r="AM325" s="256">
        <v>0</v>
      </c>
      <c r="AN325" s="261">
        <v>6.1529999999999996</v>
      </c>
    </row>
    <row r="326" spans="1:40" s="169" customFormat="1" ht="13.5" customHeight="1">
      <c r="A326" s="229">
        <v>43667</v>
      </c>
      <c r="B326" s="232" t="s">
        <v>41</v>
      </c>
      <c r="C326" s="231">
        <v>6578</v>
      </c>
      <c r="D326" s="231">
        <v>49341</v>
      </c>
      <c r="E326" s="236">
        <v>7.5009121313469098</v>
      </c>
      <c r="F326" s="169">
        <v>0.70670037660363605</v>
      </c>
      <c r="G326" s="237">
        <v>11.54</v>
      </c>
      <c r="H326" s="237">
        <v>17.29</v>
      </c>
      <c r="I326" s="225">
        <v>0.31</v>
      </c>
      <c r="J326" s="225">
        <v>0.15</v>
      </c>
      <c r="K326" s="225">
        <v>8.4000000000000005E-2</v>
      </c>
      <c r="L326" s="169">
        <v>9.3584848300601902</v>
      </c>
      <c r="M326" s="241">
        <v>12.8567114570033</v>
      </c>
      <c r="N326" s="169">
        <v>20.559487927402401</v>
      </c>
      <c r="O326" s="242">
        <v>0.62534200766097203</v>
      </c>
      <c r="P326" s="169">
        <v>2.7038405444822602</v>
      </c>
      <c r="Q326" s="169">
        <v>4.4397990601199204</v>
      </c>
      <c r="R326" s="169">
        <v>1.2573975044563299</v>
      </c>
      <c r="S326" s="169">
        <v>6.7493112947658398</v>
      </c>
      <c r="T326" s="169">
        <v>1.8176308539944901</v>
      </c>
      <c r="U326" s="169">
        <v>0.42835845081834401</v>
      </c>
      <c r="V326" s="169">
        <v>2.1811051693404599</v>
      </c>
      <c r="W326" s="169">
        <v>0.98204504942472903</v>
      </c>
      <c r="X326" s="169">
        <v>1.4409922782270299E-2</v>
      </c>
      <c r="Y326" s="236">
        <v>12.871121379785601</v>
      </c>
      <c r="Z326" s="244">
        <v>624</v>
      </c>
      <c r="AA326" s="244">
        <v>405</v>
      </c>
      <c r="AB326" s="169">
        <v>4600.76</v>
      </c>
      <c r="AD326" s="248">
        <v>1.26466832857056E-2</v>
      </c>
      <c r="AE326" s="225">
        <v>8.2081838633185408E-3</v>
      </c>
      <c r="AF326" s="169">
        <v>7.3730128205128196</v>
      </c>
      <c r="AG326" s="251">
        <v>9.3244158002472599E-2</v>
      </c>
      <c r="AH326" s="252">
        <v>0.51839464882943098</v>
      </c>
      <c r="AI326" s="252">
        <v>0.39601702645180897</v>
      </c>
      <c r="AJ326" s="169">
        <v>0.39204718185687398</v>
      </c>
      <c r="AK326" s="255">
        <v>0.27626112158245703</v>
      </c>
      <c r="AL326" s="255">
        <v>5.4478020307654897E-2</v>
      </c>
      <c r="AM326" s="256">
        <v>0.34387223607142098</v>
      </c>
      <c r="AN326" s="261">
        <v>5.8419999999999996</v>
      </c>
    </row>
    <row r="327" spans="1:40" s="169" customFormat="1" ht="13.5" customHeight="1">
      <c r="A327" s="229">
        <v>43668</v>
      </c>
      <c r="B327" s="232" t="s">
        <v>41</v>
      </c>
      <c r="C327" s="231">
        <v>7074</v>
      </c>
      <c r="D327" s="231">
        <v>50978</v>
      </c>
      <c r="E327" s="236">
        <v>7.2063895957025697</v>
      </c>
      <c r="F327" s="169">
        <v>0.69363960173015804</v>
      </c>
      <c r="G327" s="237">
        <v>12.16</v>
      </c>
      <c r="H327" s="237">
        <v>17.88</v>
      </c>
      <c r="I327" s="225">
        <v>0.314</v>
      </c>
      <c r="J327" s="225">
        <v>0.156</v>
      </c>
      <c r="K327" s="225">
        <v>8.1000000000000003E-2</v>
      </c>
      <c r="L327" s="169">
        <v>8.9471929067440907</v>
      </c>
      <c r="M327" s="241">
        <v>11.9574914669073</v>
      </c>
      <c r="N327" s="169">
        <v>19.105152635867899</v>
      </c>
      <c r="O327" s="242">
        <v>0.625877829652007</v>
      </c>
      <c r="P327" s="169">
        <v>2.5484234940136701</v>
      </c>
      <c r="Q327" s="169">
        <v>4.1937880022566301</v>
      </c>
      <c r="R327" s="169">
        <v>1.1659249044066899</v>
      </c>
      <c r="S327" s="169">
        <v>6.0387701372782603</v>
      </c>
      <c r="T327" s="169">
        <v>1.70397417413653</v>
      </c>
      <c r="U327" s="169">
        <v>0.45928665454773399</v>
      </c>
      <c r="V327" s="169">
        <v>2.04836080987902</v>
      </c>
      <c r="W327" s="169">
        <v>0.94662445934933903</v>
      </c>
      <c r="X327" s="169">
        <v>1.35352505002158E-2</v>
      </c>
      <c r="Y327" s="236">
        <v>11.971026717407501</v>
      </c>
      <c r="Z327" s="244">
        <v>611</v>
      </c>
      <c r="AA327" s="244">
        <v>411</v>
      </c>
      <c r="AB327" s="169">
        <v>4674.8900000000003</v>
      </c>
      <c r="AD327" s="248">
        <v>1.1985562399466399E-2</v>
      </c>
      <c r="AE327" s="225">
        <v>8.0623013849111403E-3</v>
      </c>
      <c r="AF327" s="169">
        <v>7.6512111292962404</v>
      </c>
      <c r="AG327" s="251">
        <v>9.17040684216721E-2</v>
      </c>
      <c r="AH327" s="252">
        <v>0.50042408821034801</v>
      </c>
      <c r="AI327" s="252">
        <v>0.376731693525587</v>
      </c>
      <c r="AJ327" s="169">
        <v>0.45521597551885101</v>
      </c>
      <c r="AK327" s="255">
        <v>0.302169563341049</v>
      </c>
      <c r="AL327" s="255">
        <v>6.2693711012593703E-2</v>
      </c>
      <c r="AM327" s="256">
        <v>0.28184707128565301</v>
      </c>
      <c r="AN327" s="261">
        <v>5.61</v>
      </c>
    </row>
    <row r="328" spans="1:40" s="169" customFormat="1" ht="13.5" customHeight="1">
      <c r="A328" s="229">
        <v>43669</v>
      </c>
      <c r="B328" s="232" t="s">
        <v>41</v>
      </c>
      <c r="C328" s="231">
        <v>8286</v>
      </c>
      <c r="D328" s="231">
        <v>49974</v>
      </c>
      <c r="E328" s="236">
        <v>6.0311368573497504</v>
      </c>
      <c r="F328" s="169">
        <v>0.56918936528995101</v>
      </c>
      <c r="G328" s="237">
        <v>13.98</v>
      </c>
      <c r="H328" s="237">
        <v>20.48</v>
      </c>
      <c r="I328" s="225">
        <v>0.311</v>
      </c>
      <c r="J328" s="225">
        <v>0.151</v>
      </c>
      <c r="K328" s="225">
        <v>8.1000000000000003E-2</v>
      </c>
      <c r="L328" s="169">
        <v>7.7183535438427997</v>
      </c>
      <c r="M328" s="241">
        <v>9.5114859727058096</v>
      </c>
      <c r="N328" s="169">
        <v>15.8273508257858</v>
      </c>
      <c r="O328" s="242">
        <v>0.60095249529755501</v>
      </c>
      <c r="P328" s="169">
        <v>2.31572988811934</v>
      </c>
      <c r="Q328" s="169">
        <v>3.4946723494938698</v>
      </c>
      <c r="R328" s="169">
        <v>0.89084976025572704</v>
      </c>
      <c r="S328" s="169">
        <v>4.5838438998401703</v>
      </c>
      <c r="T328" s="169">
        <v>1.4754928076718199</v>
      </c>
      <c r="U328" s="169">
        <v>0.51048881193393703</v>
      </c>
      <c r="V328" s="169">
        <v>1.69728955780501</v>
      </c>
      <c r="W328" s="169">
        <v>0.858983750665956</v>
      </c>
      <c r="X328" s="169">
        <v>1.30868051386721E-2</v>
      </c>
      <c r="Y328" s="236">
        <v>9.5245727778444795</v>
      </c>
      <c r="Z328" s="244">
        <v>414</v>
      </c>
      <c r="AA328" s="244">
        <v>328</v>
      </c>
      <c r="AB328" s="169">
        <v>2460.86</v>
      </c>
      <c r="AD328" s="248">
        <v>8.2843078400768409E-3</v>
      </c>
      <c r="AE328" s="225">
        <v>6.5634129747468703E-3</v>
      </c>
      <c r="AF328" s="169">
        <v>5.9441062801932301</v>
      </c>
      <c r="AG328" s="251">
        <v>4.9242806259254798E-2</v>
      </c>
      <c r="AH328" s="252">
        <v>0.48153511947863897</v>
      </c>
      <c r="AI328" s="252">
        <v>0.325368090755491</v>
      </c>
      <c r="AJ328" s="169">
        <v>0.49859927162124301</v>
      </c>
      <c r="AK328" s="255">
        <v>0.31864569576179602</v>
      </c>
      <c r="AL328" s="255">
        <v>6.56541401528795E-2</v>
      </c>
      <c r="AM328" s="256">
        <v>1.68687717613159E-2</v>
      </c>
      <c r="AN328" s="263">
        <v>4.9880000000000004</v>
      </c>
    </row>
    <row r="329" spans="1:40" s="168" customFormat="1" ht="13.95" customHeight="1">
      <c r="A329" s="226">
        <v>43670</v>
      </c>
      <c r="B329" s="227" t="s">
        <v>41</v>
      </c>
      <c r="C329" s="228">
        <v>9844</v>
      </c>
      <c r="D329" s="228">
        <v>50279</v>
      </c>
      <c r="E329" s="234">
        <v>5.1075782202356796</v>
      </c>
      <c r="F329" s="168">
        <v>0.55426097324926904</v>
      </c>
      <c r="G329" s="235">
        <v>14.2</v>
      </c>
      <c r="H329" s="235">
        <v>20.95</v>
      </c>
      <c r="I329" s="238">
        <v>0.32</v>
      </c>
      <c r="J329" s="238">
        <v>0.154</v>
      </c>
      <c r="K329" s="238">
        <v>8.3000000000000004E-2</v>
      </c>
      <c r="L329" s="168">
        <v>7.8919429582927298</v>
      </c>
      <c r="M329" s="239">
        <v>9.2460470574196005</v>
      </c>
      <c r="N329" s="168">
        <v>15.443045543633501</v>
      </c>
      <c r="O329" s="240">
        <v>0.59871914715885399</v>
      </c>
      <c r="P329" s="168">
        <v>2.3452812012091799</v>
      </c>
      <c r="Q329" s="168">
        <v>3.4312859183470099</v>
      </c>
      <c r="R329" s="168">
        <v>0.85018104507856396</v>
      </c>
      <c r="S329" s="168">
        <v>4.3198684516493397</v>
      </c>
      <c r="T329" s="168">
        <v>1.4671627412550201</v>
      </c>
      <c r="U329" s="168">
        <v>0.51536391721755304</v>
      </c>
      <c r="V329" s="168">
        <v>1.66807294953991</v>
      </c>
      <c r="W329" s="168">
        <v>0.84582931933694305</v>
      </c>
      <c r="X329" s="168">
        <v>1.6627220111776302E-2</v>
      </c>
      <c r="Y329" s="234">
        <v>9.2626742775313708</v>
      </c>
      <c r="Z329" s="243">
        <v>430</v>
      </c>
      <c r="AA329" s="243">
        <v>305</v>
      </c>
      <c r="AB329" s="168">
        <v>2573.6999999999998</v>
      </c>
      <c r="AD329" s="246">
        <v>8.5522782871576605E-3</v>
      </c>
      <c r="AE329" s="238">
        <v>6.0661508781002004E-3</v>
      </c>
      <c r="AF329" s="168">
        <v>5.9853488372093002</v>
      </c>
      <c r="AG329" s="249">
        <v>5.1188368901529502E-2</v>
      </c>
      <c r="AH329" s="250">
        <v>0.48994311255587197</v>
      </c>
      <c r="AI329" s="250">
        <v>0.329134498171475</v>
      </c>
      <c r="AJ329" s="168">
        <v>0.48781797569561802</v>
      </c>
      <c r="AK329" s="253">
        <v>0.30927424968674799</v>
      </c>
      <c r="AL329" s="253">
        <v>6.3505638536963699E-2</v>
      </c>
      <c r="AM329" s="254">
        <v>0</v>
      </c>
      <c r="AN329" s="261">
        <v>5.91</v>
      </c>
    </row>
    <row r="330" spans="1:40" s="167" customFormat="1" ht="13.5" customHeight="1">
      <c r="A330" s="186">
        <v>43671</v>
      </c>
      <c r="B330" s="230" t="s">
        <v>41</v>
      </c>
      <c r="C330" s="188">
        <v>8334</v>
      </c>
      <c r="D330" s="188">
        <v>49049</v>
      </c>
      <c r="E330" s="189">
        <v>5.8854091672666202</v>
      </c>
      <c r="F330" s="167">
        <v>0.58742672078941505</v>
      </c>
      <c r="G330" s="190">
        <v>14.63</v>
      </c>
      <c r="H330" s="190">
        <v>21.61</v>
      </c>
      <c r="I330" s="219">
        <v>0.32900000000000001</v>
      </c>
      <c r="J330" s="219">
        <v>0.16400000000000001</v>
      </c>
      <c r="K330" s="219">
        <v>8.5000000000000006E-2</v>
      </c>
      <c r="L330" s="167">
        <v>7.7817284756060303</v>
      </c>
      <c r="M330" s="220">
        <v>9.3640237313706702</v>
      </c>
      <c r="N330" s="167">
        <v>15.5136121056543</v>
      </c>
      <c r="O330" s="193">
        <v>0.603600481151502</v>
      </c>
      <c r="P330" s="167">
        <v>2.3173343241234901</v>
      </c>
      <c r="Q330" s="167">
        <v>3.4868945484023501</v>
      </c>
      <c r="R330" s="167">
        <v>0.83702627845706901</v>
      </c>
      <c r="S330" s="167">
        <v>4.3614132270485699</v>
      </c>
      <c r="T330" s="167">
        <v>1.45744105924475</v>
      </c>
      <c r="U330" s="167">
        <v>0.518273322975073</v>
      </c>
      <c r="V330" s="167">
        <v>1.6775653583732999</v>
      </c>
      <c r="W330" s="167">
        <v>0.85766398702965596</v>
      </c>
      <c r="X330" s="167">
        <v>1.71461191869355E-2</v>
      </c>
      <c r="Y330" s="189">
        <v>9.38116985055761</v>
      </c>
      <c r="Z330" s="207">
        <v>475</v>
      </c>
      <c r="AA330" s="207">
        <v>327</v>
      </c>
      <c r="AB330" s="167">
        <v>2821.25</v>
      </c>
      <c r="AD330" s="195">
        <v>9.6841933576627508E-3</v>
      </c>
      <c r="AE330" s="219">
        <v>6.6668025851699302E-3</v>
      </c>
      <c r="AF330" s="167">
        <v>5.9394736842105296</v>
      </c>
      <c r="AG330" s="222">
        <v>5.7519011600644203E-2</v>
      </c>
      <c r="AH330" s="223">
        <v>0.52315814734821198</v>
      </c>
      <c r="AI330" s="223">
        <v>0.37904967602591799</v>
      </c>
      <c r="AJ330" s="167">
        <v>0.48879691736834602</v>
      </c>
      <c r="AK330" s="224">
        <v>0.31978225855776898</v>
      </c>
      <c r="AL330" s="224">
        <v>6.3344818446859297E-2</v>
      </c>
      <c r="AM330" s="82">
        <v>0</v>
      </c>
      <c r="AN330" s="264">
        <v>5.3780000000000001</v>
      </c>
    </row>
    <row r="331" spans="1:40" s="167" customFormat="1" ht="13.5" customHeight="1">
      <c r="A331" s="186">
        <v>43672</v>
      </c>
      <c r="B331" s="230" t="s">
        <v>41</v>
      </c>
      <c r="C331" s="188">
        <v>6783</v>
      </c>
      <c r="D331" s="188">
        <v>46851</v>
      </c>
      <c r="E331" s="189">
        <v>6.90712074303406</v>
      </c>
      <c r="F331" s="167">
        <v>0.57135392520970696</v>
      </c>
      <c r="G331" s="190">
        <v>13.34</v>
      </c>
      <c r="H331" s="190">
        <v>19.84</v>
      </c>
      <c r="I331" s="219">
        <v>0.315</v>
      </c>
      <c r="J331" s="219">
        <v>0.16300000000000001</v>
      </c>
      <c r="K331" s="219">
        <v>8.3000000000000004E-2</v>
      </c>
      <c r="L331" s="167">
        <v>7.7678598108898402</v>
      </c>
      <c r="M331" s="220">
        <v>9.3566839555185606</v>
      </c>
      <c r="N331" s="167">
        <v>15.399234201004701</v>
      </c>
      <c r="O331" s="193">
        <v>0.60760709483255304</v>
      </c>
      <c r="P331" s="167">
        <v>2.3016123932974999</v>
      </c>
      <c r="Q331" s="167">
        <v>3.5126637861383401</v>
      </c>
      <c r="R331" s="167">
        <v>0.84891277619700001</v>
      </c>
      <c r="S331" s="167">
        <v>4.2682404187304597</v>
      </c>
      <c r="T331" s="167">
        <v>1.4618329996135899</v>
      </c>
      <c r="U331" s="167">
        <v>0.50778093933326296</v>
      </c>
      <c r="V331" s="167">
        <v>1.6506481188744899</v>
      </c>
      <c r="W331" s="167">
        <v>0.84754276882003698</v>
      </c>
      <c r="X331" s="167">
        <v>1.43433437920215E-2</v>
      </c>
      <c r="Y331" s="189">
        <v>9.3710272993105797</v>
      </c>
      <c r="Z331" s="207">
        <v>487</v>
      </c>
      <c r="AA331" s="207">
        <v>329</v>
      </c>
      <c r="AB331" s="167">
        <v>3165.13</v>
      </c>
      <c r="AD331" s="195">
        <v>1.0394655396896499E-2</v>
      </c>
      <c r="AE331" s="219">
        <v>7.0222620648438703E-3</v>
      </c>
      <c r="AF331" s="167">
        <v>6.4992402464065702</v>
      </c>
      <c r="AG331" s="222">
        <v>6.7557362703037305E-2</v>
      </c>
      <c r="AH331" s="223">
        <v>0.52690549904172201</v>
      </c>
      <c r="AI331" s="223">
        <v>0.40527790063393798</v>
      </c>
      <c r="AJ331" s="167">
        <v>0.49454654116240798</v>
      </c>
      <c r="AK331" s="224">
        <v>0.321828776333483</v>
      </c>
      <c r="AL331" s="224">
        <v>6.6252587991718404E-2</v>
      </c>
      <c r="AM331" s="82">
        <v>0</v>
      </c>
      <c r="AN331" s="264">
        <v>5.4269999999999996</v>
      </c>
    </row>
    <row r="332" spans="1:40" s="167" customFormat="1" ht="13.5" customHeight="1">
      <c r="A332" s="186">
        <v>43673</v>
      </c>
      <c r="B332" s="232" t="s">
        <v>41</v>
      </c>
      <c r="C332" s="188">
        <v>5479</v>
      </c>
      <c r="D332" s="188">
        <v>44321</v>
      </c>
      <c r="E332" s="189">
        <v>8.0892498631137109</v>
      </c>
      <c r="F332" s="167">
        <v>0.83339909453757799</v>
      </c>
      <c r="G332" s="190">
        <v>11.86</v>
      </c>
      <c r="H332" s="190">
        <v>17.46</v>
      </c>
      <c r="I332" s="219">
        <v>0.316</v>
      </c>
      <c r="J332" s="219">
        <v>0.159</v>
      </c>
      <c r="K332" s="219">
        <v>8.4000000000000005E-2</v>
      </c>
      <c r="L332" s="167">
        <v>10.2343584305408</v>
      </c>
      <c r="M332" s="220">
        <v>13.5835608402337</v>
      </c>
      <c r="N332" s="167">
        <v>21.7051952265926</v>
      </c>
      <c r="O332" s="193">
        <v>0.62582071704158304</v>
      </c>
      <c r="P332" s="167">
        <v>2.8546346035980799</v>
      </c>
      <c r="Q332" s="167">
        <v>4.4918700652558003</v>
      </c>
      <c r="R332" s="167">
        <v>1.44655153765728</v>
      </c>
      <c r="S332" s="167">
        <v>7.3214839384215997</v>
      </c>
      <c r="T332" s="167">
        <v>1.88686591916934</v>
      </c>
      <c r="U332" s="167">
        <v>0.439377005443992</v>
      </c>
      <c r="V332" s="167">
        <v>2.30890146735408</v>
      </c>
      <c r="W332" s="167">
        <v>0.955510689692469</v>
      </c>
      <c r="X332" s="167">
        <v>1.6989688860810901E-2</v>
      </c>
      <c r="Y332" s="189">
        <v>13.600550529094599</v>
      </c>
      <c r="Z332" s="207">
        <v>695</v>
      </c>
      <c r="AA332" s="207">
        <v>420</v>
      </c>
      <c r="AB332" s="167">
        <v>5764.05</v>
      </c>
      <c r="AD332" s="195">
        <v>1.5681054127840099E-2</v>
      </c>
      <c r="AE332" s="219">
        <v>9.4763204801335699E-3</v>
      </c>
      <c r="AF332" s="167">
        <v>8.2935971223021596</v>
      </c>
      <c r="AG332" s="222">
        <v>0.13005234538931901</v>
      </c>
      <c r="AH332" s="223">
        <v>0.53787187442964002</v>
      </c>
      <c r="AI332" s="223">
        <v>0.42799780981931002</v>
      </c>
      <c r="AJ332" s="167">
        <v>0.40186367636109299</v>
      </c>
      <c r="AK332" s="224">
        <v>0.28399629972247897</v>
      </c>
      <c r="AL332" s="224">
        <v>5.8234245617201801E-2</v>
      </c>
      <c r="AM332" s="82">
        <v>0.349811601723788</v>
      </c>
      <c r="AN332" s="264">
        <v>5.4029999999999996</v>
      </c>
    </row>
    <row r="333" spans="1:40" s="167" customFormat="1" ht="13.5" customHeight="1">
      <c r="A333" s="186">
        <v>43674</v>
      </c>
      <c r="B333" s="232" t="s">
        <v>41</v>
      </c>
      <c r="C333" s="188">
        <v>6367</v>
      </c>
      <c r="D333" s="188">
        <v>45228</v>
      </c>
      <c r="E333" s="189">
        <v>7.1035024344275204</v>
      </c>
      <c r="F333" s="167">
        <v>0.79359616449986703</v>
      </c>
      <c r="G333" s="190">
        <v>12.32</v>
      </c>
      <c r="H333" s="190">
        <v>18.420000000000002</v>
      </c>
      <c r="I333" s="219">
        <v>0.32900000000000001</v>
      </c>
      <c r="J333" s="219">
        <v>0.161</v>
      </c>
      <c r="K333" s="219">
        <v>8.7999999999999995E-2</v>
      </c>
      <c r="L333" s="167">
        <v>9.5835102149111204</v>
      </c>
      <c r="M333" s="220">
        <v>13.1703369594057</v>
      </c>
      <c r="N333" s="167">
        <v>21.184579273063498</v>
      </c>
      <c r="O333" s="193">
        <v>0.62169452551516802</v>
      </c>
      <c r="P333" s="167">
        <v>2.7610427484173798</v>
      </c>
      <c r="Q333" s="167">
        <v>4.4979728287929399</v>
      </c>
      <c r="R333" s="167">
        <v>1.41290276691088</v>
      </c>
      <c r="S333" s="167">
        <v>6.9816132015079297</v>
      </c>
      <c r="T333" s="167">
        <v>1.8620101002916301</v>
      </c>
      <c r="U333" s="167">
        <v>0.44071413329539799</v>
      </c>
      <c r="V333" s="167">
        <v>2.2374991108898201</v>
      </c>
      <c r="W333" s="167">
        <v>0.99082438295753605</v>
      </c>
      <c r="X333" s="167">
        <v>1.0303351905899E-2</v>
      </c>
      <c r="Y333" s="189">
        <v>13.180640311311601</v>
      </c>
      <c r="Z333" s="207">
        <v>631</v>
      </c>
      <c r="AA333" s="207">
        <v>425</v>
      </c>
      <c r="AB333" s="167">
        <v>5011.6899999999996</v>
      </c>
      <c r="AD333" s="195">
        <v>1.39515344476873E-2</v>
      </c>
      <c r="AE333" s="219">
        <v>9.39683381975767E-3</v>
      </c>
      <c r="AF333" s="167">
        <v>7.9424564183835198</v>
      </c>
      <c r="AG333" s="222">
        <v>0.110809454320333</v>
      </c>
      <c r="AH333" s="223">
        <v>0.54185644730642402</v>
      </c>
      <c r="AI333" s="223">
        <v>0.40961206219569701</v>
      </c>
      <c r="AJ333" s="167">
        <v>0.40012823914389301</v>
      </c>
      <c r="AK333" s="224">
        <v>0.275802600159193</v>
      </c>
      <c r="AL333" s="224">
        <v>5.6579994693552703E-2</v>
      </c>
      <c r="AM333" s="82">
        <v>0.34569293358096798</v>
      </c>
      <c r="AN333" s="264">
        <v>6.3070000000000004</v>
      </c>
    </row>
    <row r="334" spans="1:40" s="167" customFormat="1" ht="13.5" customHeight="1">
      <c r="A334" s="186">
        <v>43675</v>
      </c>
      <c r="B334" s="232" t="s">
        <v>41</v>
      </c>
      <c r="C334" s="188">
        <v>6895</v>
      </c>
      <c r="D334" s="188">
        <v>46825</v>
      </c>
      <c r="E334" s="189">
        <v>6.79115300942712</v>
      </c>
      <c r="F334" s="167">
        <v>0.77261564847837705</v>
      </c>
      <c r="G334" s="190">
        <v>12.46</v>
      </c>
      <c r="H334" s="190">
        <v>18.190000000000001</v>
      </c>
      <c r="I334" s="219">
        <v>0.34</v>
      </c>
      <c r="J334" s="219">
        <v>0.16900000000000001</v>
      </c>
      <c r="K334" s="219">
        <v>9.8000000000000004E-2</v>
      </c>
      <c r="L334" s="167">
        <v>9.2932407901761902</v>
      </c>
      <c r="M334" s="220">
        <v>12.741761879338</v>
      </c>
      <c r="N334" s="167">
        <v>20.3074540503744</v>
      </c>
      <c r="O334" s="193">
        <v>0.62744260544580899</v>
      </c>
      <c r="P334" s="167">
        <v>2.7178012253233499</v>
      </c>
      <c r="Q334" s="167">
        <v>4.4805650102110297</v>
      </c>
      <c r="R334" s="167">
        <v>1.2984002722940799</v>
      </c>
      <c r="S334" s="167">
        <v>6.4150102110279104</v>
      </c>
      <c r="T334" s="167">
        <v>1.8171545268890399</v>
      </c>
      <c r="U334" s="167">
        <v>0.44516678012253202</v>
      </c>
      <c r="V334" s="167">
        <v>2.1751191286589502</v>
      </c>
      <c r="W334" s="167">
        <v>0.95823689584751504</v>
      </c>
      <c r="X334" s="167">
        <v>1.3155365723438299E-2</v>
      </c>
      <c r="Y334" s="189">
        <v>12.754917245061399</v>
      </c>
      <c r="Z334" s="207">
        <v>604</v>
      </c>
      <c r="AA334" s="207">
        <v>410</v>
      </c>
      <c r="AB334" s="167">
        <v>4921.96</v>
      </c>
      <c r="AD334" s="195">
        <v>1.2899092365189499E-2</v>
      </c>
      <c r="AE334" s="219">
        <v>8.7560064068339608E-3</v>
      </c>
      <c r="AF334" s="167">
        <v>8.1489403973509908</v>
      </c>
      <c r="AG334" s="222">
        <v>0.10511393486385499</v>
      </c>
      <c r="AH334" s="223">
        <v>0.54619289340101496</v>
      </c>
      <c r="AI334" s="223">
        <v>0.397679477882524</v>
      </c>
      <c r="AJ334" s="167">
        <v>0.41742658836091801</v>
      </c>
      <c r="AK334" s="224">
        <v>0.27560064068339601</v>
      </c>
      <c r="AL334" s="224">
        <v>5.7277095568606502E-2</v>
      </c>
      <c r="AM334" s="82">
        <v>0.33490656700480498</v>
      </c>
      <c r="AN334" s="264">
        <v>6.6260000000000003</v>
      </c>
    </row>
    <row r="335" spans="1:40" s="167" customFormat="1" ht="13.5" customHeight="1">
      <c r="A335" s="186">
        <v>43676</v>
      </c>
      <c r="B335" s="232" t="s">
        <v>41</v>
      </c>
      <c r="C335" s="188">
        <v>8423</v>
      </c>
      <c r="D335" s="188">
        <v>48000</v>
      </c>
      <c r="E335" s="189">
        <v>5.6986821797459299</v>
      </c>
      <c r="F335" s="167">
        <v>0.747913321375</v>
      </c>
      <c r="G335" s="190">
        <v>13.75</v>
      </c>
      <c r="H335" s="190">
        <v>19.21</v>
      </c>
      <c r="I335" s="219">
        <v>0.34</v>
      </c>
      <c r="J335" s="219">
        <v>0.17</v>
      </c>
      <c r="K335" s="219">
        <v>9.0999999999999998E-2</v>
      </c>
      <c r="L335" s="167">
        <v>9.0876249999999992</v>
      </c>
      <c r="M335" s="220">
        <v>11.6499583333333</v>
      </c>
      <c r="N335" s="167">
        <v>18.801627328357199</v>
      </c>
      <c r="O335" s="193">
        <v>0.61962499999999998</v>
      </c>
      <c r="P335" s="167">
        <v>2.5458610718848802</v>
      </c>
      <c r="Q335" s="167">
        <v>4.1987088965099897</v>
      </c>
      <c r="R335" s="167">
        <v>1.1669020240737</v>
      </c>
      <c r="S335" s="167">
        <v>5.7377109811041596</v>
      </c>
      <c r="T335" s="167">
        <v>1.6893282227153501</v>
      </c>
      <c r="U335" s="167">
        <v>0.487526057427207</v>
      </c>
      <c r="V335" s="167">
        <v>2.0402461166027801</v>
      </c>
      <c r="W335" s="167">
        <v>0.93534395803913695</v>
      </c>
      <c r="X335" s="167">
        <v>1.2687500000000001E-2</v>
      </c>
      <c r="Y335" s="189">
        <v>11.662645833333301</v>
      </c>
      <c r="Z335" s="207">
        <v>603</v>
      </c>
      <c r="AA335" s="207">
        <v>403</v>
      </c>
      <c r="AB335" s="167">
        <v>4444.97</v>
      </c>
      <c r="AD335" s="195">
        <v>1.2562500000000001E-2</v>
      </c>
      <c r="AE335" s="219">
        <v>8.3958333333333298E-3</v>
      </c>
      <c r="AF335" s="167">
        <v>7.3714262023217296</v>
      </c>
      <c r="AG335" s="222">
        <v>9.2603541666666706E-2</v>
      </c>
      <c r="AH335" s="223">
        <v>0.52142941944675303</v>
      </c>
      <c r="AI335" s="223">
        <v>0.36222248605010099</v>
      </c>
      <c r="AJ335" s="167">
        <v>0.46381250000000002</v>
      </c>
      <c r="AK335" s="224">
        <v>0.28818749999999999</v>
      </c>
      <c r="AL335" s="224">
        <v>6.2583333333333296E-2</v>
      </c>
      <c r="AM335" s="82">
        <v>0.27362500000000001</v>
      </c>
      <c r="AN335" s="264">
        <v>6.24</v>
      </c>
    </row>
    <row r="336" spans="1:40" s="168" customFormat="1" ht="13.95" customHeight="1">
      <c r="A336" s="226">
        <v>43677</v>
      </c>
      <c r="B336" s="227" t="s">
        <v>41</v>
      </c>
      <c r="C336" s="228">
        <v>9451</v>
      </c>
      <c r="D336" s="228">
        <v>47957</v>
      </c>
      <c r="E336" s="234">
        <v>5.0742778541953202</v>
      </c>
      <c r="F336" s="168">
        <v>0.59109236880955895</v>
      </c>
      <c r="G336" s="235">
        <v>14.75</v>
      </c>
      <c r="H336" s="235">
        <v>21.08</v>
      </c>
      <c r="I336" s="238">
        <v>0.33600000000000002</v>
      </c>
      <c r="J336" s="238">
        <v>0.16200000000000001</v>
      </c>
      <c r="K336" s="238">
        <v>8.5999999999999993E-2</v>
      </c>
      <c r="L336" s="168">
        <v>7.8204433138019498</v>
      </c>
      <c r="M336" s="239">
        <v>9.5133348624809706</v>
      </c>
      <c r="N336" s="168">
        <v>15.9365306692748</v>
      </c>
      <c r="O336" s="240">
        <v>0.59695143566111297</v>
      </c>
      <c r="P336" s="168">
        <v>2.3371524381724198</v>
      </c>
      <c r="Q336" s="168">
        <v>3.6491197429090398</v>
      </c>
      <c r="R336" s="168">
        <v>0.87288668436495698</v>
      </c>
      <c r="S336" s="168">
        <v>4.49332821014392</v>
      </c>
      <c r="T336" s="168">
        <v>1.4628335894928</v>
      </c>
      <c r="U336" s="168">
        <v>0.52955148805365404</v>
      </c>
      <c r="V336" s="168">
        <v>1.7250593824228</v>
      </c>
      <c r="W336" s="168">
        <v>0.866599133715244</v>
      </c>
      <c r="X336" s="168">
        <v>1.02800425381071E-2</v>
      </c>
      <c r="Y336" s="234">
        <v>9.5236149050190804</v>
      </c>
      <c r="Z336" s="243">
        <v>439</v>
      </c>
      <c r="AA336" s="243">
        <v>314</v>
      </c>
      <c r="AB336" s="168">
        <v>2514.61</v>
      </c>
      <c r="AD336" s="246">
        <v>9.1540338219655102E-3</v>
      </c>
      <c r="AE336" s="238">
        <v>6.54753216423046E-3</v>
      </c>
      <c r="AF336" s="168">
        <v>5.7280410022778998</v>
      </c>
      <c r="AG336" s="249">
        <v>5.2434681068457098E-2</v>
      </c>
      <c r="AH336" s="250">
        <v>0.50671886572849401</v>
      </c>
      <c r="AI336" s="250">
        <v>0.34906359115437502</v>
      </c>
      <c r="AJ336" s="168">
        <v>0.50607836186583799</v>
      </c>
      <c r="AK336" s="253">
        <v>0.30295890068186099</v>
      </c>
      <c r="AL336" s="253">
        <v>6.4432720979210503E-2</v>
      </c>
      <c r="AM336" s="254">
        <v>0</v>
      </c>
      <c r="AN336" s="261">
        <v>6.08</v>
      </c>
    </row>
    <row r="337" spans="1:40" s="167" customFormat="1" ht="13.5" customHeight="1">
      <c r="A337" s="186">
        <v>43678</v>
      </c>
      <c r="B337" s="230" t="s">
        <v>41</v>
      </c>
      <c r="C337" s="188">
        <v>11817</v>
      </c>
      <c r="D337" s="188">
        <v>50375</v>
      </c>
      <c r="E337" s="189">
        <v>4.3001055780397701</v>
      </c>
      <c r="F337" s="167">
        <v>0.62197561951918101</v>
      </c>
      <c r="G337" s="190">
        <v>14.68</v>
      </c>
      <c r="H337" s="190">
        <v>21.31</v>
      </c>
      <c r="I337" s="219">
        <v>0.32600000000000001</v>
      </c>
      <c r="J337" s="219">
        <v>0.155</v>
      </c>
      <c r="K337" s="219">
        <v>0.08</v>
      </c>
      <c r="L337" s="167">
        <v>8.1632736572890003</v>
      </c>
      <c r="M337" s="220">
        <v>9.5227416879795399</v>
      </c>
      <c r="N337" s="167">
        <v>15.5151676778452</v>
      </c>
      <c r="O337" s="193">
        <v>0.61376982097186705</v>
      </c>
      <c r="P337" s="167">
        <v>2.31702113474232</v>
      </c>
      <c r="Q337" s="167">
        <v>3.5643709580638698</v>
      </c>
      <c r="R337" s="167">
        <v>0.83552236815787695</v>
      </c>
      <c r="S337" s="167">
        <v>4.32518834588973</v>
      </c>
      <c r="T337" s="167">
        <v>1.42952863524235</v>
      </c>
      <c r="U337" s="167">
        <v>0.52760184012267497</v>
      </c>
      <c r="V337" s="167">
        <v>1.67217814520968</v>
      </c>
      <c r="W337" s="167">
        <v>0.843756250416694</v>
      </c>
      <c r="X337" s="167">
        <v>9.9641943734015293E-3</v>
      </c>
      <c r="Y337" s="189">
        <v>9.5327058823529391</v>
      </c>
      <c r="Z337" s="207">
        <v>517</v>
      </c>
      <c r="AA337" s="207">
        <v>378</v>
      </c>
      <c r="AB337" s="167">
        <v>3272.83</v>
      </c>
      <c r="AD337" s="195">
        <v>1.05780051150895E-2</v>
      </c>
      <c r="AE337" s="219">
        <v>7.7340153452685398E-3</v>
      </c>
      <c r="AF337" s="167">
        <v>6.3304255319148899</v>
      </c>
      <c r="AG337" s="222">
        <v>6.6963273657289005E-2</v>
      </c>
      <c r="AH337" s="223">
        <v>0.50879816998064398</v>
      </c>
      <c r="AI337" s="223">
        <v>0.33820165405595598</v>
      </c>
      <c r="AJ337" s="167">
        <v>0.50782608695652198</v>
      </c>
      <c r="AK337" s="224">
        <v>0.30250639386189299</v>
      </c>
      <c r="AL337" s="224">
        <v>6.1503836317135602E-2</v>
      </c>
      <c r="AM337" s="82">
        <v>0</v>
      </c>
      <c r="AN337" s="264">
        <v>5.4770000000000003</v>
      </c>
    </row>
    <row r="338" spans="1:40" s="167" customFormat="1" ht="13.5" customHeight="1">
      <c r="A338" s="186">
        <v>43679</v>
      </c>
      <c r="B338" s="230" t="s">
        <v>41</v>
      </c>
      <c r="C338" s="188">
        <v>13504</v>
      </c>
      <c r="D338" s="188">
        <v>52279</v>
      </c>
      <c r="E338" s="189">
        <v>3.8713714454976298</v>
      </c>
      <c r="F338" s="167">
        <v>0.53974628305820704</v>
      </c>
      <c r="G338" s="190">
        <v>13.76</v>
      </c>
      <c r="H338" s="190">
        <v>20.05</v>
      </c>
      <c r="I338" s="219">
        <v>0.309</v>
      </c>
      <c r="J338" s="219">
        <v>0.155</v>
      </c>
      <c r="K338" s="219">
        <v>7.8E-2</v>
      </c>
      <c r="L338" s="167">
        <v>7.9914305935461698</v>
      </c>
      <c r="M338" s="220">
        <v>9.1709673100097593</v>
      </c>
      <c r="N338" s="167">
        <v>15.524689958877101</v>
      </c>
      <c r="O338" s="193">
        <v>0.59073432927179004</v>
      </c>
      <c r="P338" s="167">
        <v>2.2995499141922702</v>
      </c>
      <c r="Q338" s="167">
        <v>3.6344267072499399</v>
      </c>
      <c r="R338" s="167">
        <v>0.83181685717061205</v>
      </c>
      <c r="S338" s="167">
        <v>4.2680115273775199</v>
      </c>
      <c r="T338" s="167">
        <v>1.4378784444516399</v>
      </c>
      <c r="U338" s="167">
        <v>0.53748016708221402</v>
      </c>
      <c r="V338" s="167">
        <v>1.6710487970728201</v>
      </c>
      <c r="W338" s="167">
        <v>0.84447754428002497</v>
      </c>
      <c r="X338" s="167">
        <v>9.8701199334340697E-3</v>
      </c>
      <c r="Y338" s="189">
        <v>9.1808374299431907</v>
      </c>
      <c r="Z338" s="207">
        <v>426</v>
      </c>
      <c r="AA338" s="207">
        <v>340</v>
      </c>
      <c r="AB338" s="167">
        <v>2653.74</v>
      </c>
      <c r="AD338" s="195">
        <v>8.1485873869048698E-3</v>
      </c>
      <c r="AE338" s="219">
        <v>6.5035673979991996E-3</v>
      </c>
      <c r="AF338" s="167">
        <v>6.2294366197183102</v>
      </c>
      <c r="AG338" s="222">
        <v>5.076110866696E-2</v>
      </c>
      <c r="AH338" s="223">
        <v>0.49044727488151701</v>
      </c>
      <c r="AI338" s="223">
        <v>0.33819609004739298</v>
      </c>
      <c r="AJ338" s="167">
        <v>0.48686853229786298</v>
      </c>
      <c r="AK338" s="224">
        <v>0.28221656879435297</v>
      </c>
      <c r="AL338" s="224">
        <v>5.4572581724975602E-2</v>
      </c>
      <c r="AM338" s="82">
        <v>0</v>
      </c>
      <c r="AN338" s="264">
        <v>5.7549999999999999</v>
      </c>
    </row>
    <row r="339" spans="1:40" s="167" customFormat="1" ht="13.5" customHeight="1">
      <c r="A339" s="186">
        <v>43680</v>
      </c>
      <c r="B339" s="232" t="s">
        <v>41</v>
      </c>
      <c r="C339" s="188">
        <v>10929</v>
      </c>
      <c r="D339" s="188">
        <v>50578</v>
      </c>
      <c r="E339" s="189">
        <v>4.6278708024521897</v>
      </c>
      <c r="F339" s="167">
        <v>0.82109736798608102</v>
      </c>
      <c r="G339" s="190">
        <v>12.79</v>
      </c>
      <c r="H339" s="190">
        <v>19.43</v>
      </c>
      <c r="I339" s="219">
        <v>0.30399999999999999</v>
      </c>
      <c r="J339" s="219">
        <v>0.14599999999999999</v>
      </c>
      <c r="K339" s="219">
        <v>8.3000000000000004E-2</v>
      </c>
      <c r="L339" s="167">
        <v>10.077602910356299</v>
      </c>
      <c r="M339" s="220">
        <v>13.0506939776187</v>
      </c>
      <c r="N339" s="167">
        <v>21.0941454684903</v>
      </c>
      <c r="O339" s="193">
        <v>0.61868796710032004</v>
      </c>
      <c r="P339" s="167">
        <v>2.7817013933273702</v>
      </c>
      <c r="Q339" s="167">
        <v>4.4618113255784202</v>
      </c>
      <c r="R339" s="167">
        <v>1.24527035664067</v>
      </c>
      <c r="S339" s="167">
        <v>7.1087178831650304</v>
      </c>
      <c r="T339" s="167">
        <v>1.8058289658698701</v>
      </c>
      <c r="U339" s="167">
        <v>0.46794707912565497</v>
      </c>
      <c r="V339" s="167">
        <v>2.2681516042438998</v>
      </c>
      <c r="W339" s="167">
        <v>0.95471686053943505</v>
      </c>
      <c r="X339" s="167">
        <v>1.01822926964293E-2</v>
      </c>
      <c r="Y339" s="189">
        <v>13.0608762703152</v>
      </c>
      <c r="Z339" s="207">
        <v>718</v>
      </c>
      <c r="AA339" s="207">
        <v>459</v>
      </c>
      <c r="AB339" s="167">
        <v>5747.82</v>
      </c>
      <c r="AD339" s="195">
        <v>1.4195895448614E-2</v>
      </c>
      <c r="AE339" s="219">
        <v>9.0750919372059001E-3</v>
      </c>
      <c r="AF339" s="167">
        <v>8.0053203342618406</v>
      </c>
      <c r="AG339" s="222">
        <v>0.11364269049784501</v>
      </c>
      <c r="AH339" s="223">
        <v>0.51514319699881095</v>
      </c>
      <c r="AI339" s="223">
        <v>0.37405069082258202</v>
      </c>
      <c r="AJ339" s="167">
        <v>0.39335284115623398</v>
      </c>
      <c r="AK339" s="224">
        <v>0.24949582822571101</v>
      </c>
      <c r="AL339" s="224">
        <v>4.7708489857250201E-2</v>
      </c>
      <c r="AM339" s="82">
        <v>0.32958994029024502</v>
      </c>
      <c r="AN339" s="264">
        <v>6.1390000000000002</v>
      </c>
    </row>
    <row r="340" spans="1:40" s="167" customFormat="1" ht="13.5" customHeight="1">
      <c r="A340" s="186">
        <v>43681</v>
      </c>
      <c r="B340" s="232" t="s">
        <v>41</v>
      </c>
      <c r="C340" s="188">
        <v>14462</v>
      </c>
      <c r="D340" s="188">
        <v>54228</v>
      </c>
      <c r="E340" s="189">
        <v>3.74968883971788</v>
      </c>
      <c r="F340" s="167">
        <v>0.80468432662093403</v>
      </c>
      <c r="G340" s="190">
        <v>13.55</v>
      </c>
      <c r="H340" s="190">
        <v>20.12</v>
      </c>
      <c r="I340" s="219">
        <v>0.32400000000000001</v>
      </c>
      <c r="J340" s="219">
        <v>0.158</v>
      </c>
      <c r="K340" s="219">
        <v>8.3000000000000004E-2</v>
      </c>
      <c r="L340" s="167">
        <v>9.4127756878365396</v>
      </c>
      <c r="M340" s="220">
        <v>12.090469867964901</v>
      </c>
      <c r="N340" s="167">
        <v>19.872757032007801</v>
      </c>
      <c r="O340" s="193">
        <v>0.60839418750461005</v>
      </c>
      <c r="P340" s="167">
        <v>2.66237269641125</v>
      </c>
      <c r="Q340" s="167">
        <v>4.4121302133850602</v>
      </c>
      <c r="R340" s="167">
        <v>1.17913433559651</v>
      </c>
      <c r="S340" s="167">
        <v>6.3101054801163903</v>
      </c>
      <c r="T340" s="167">
        <v>1.73702715809893</v>
      </c>
      <c r="U340" s="167">
        <v>0.47844932104752702</v>
      </c>
      <c r="V340" s="167">
        <v>2.1374575654704202</v>
      </c>
      <c r="W340" s="167">
        <v>0.95608026188166795</v>
      </c>
      <c r="X340" s="167">
        <v>8.3720587150549492E-3</v>
      </c>
      <c r="Y340" s="189">
        <v>12.098841926679899</v>
      </c>
      <c r="Z340" s="207">
        <v>709</v>
      </c>
      <c r="AA340" s="207">
        <v>449</v>
      </c>
      <c r="AB340" s="167">
        <v>6020.91</v>
      </c>
      <c r="AD340" s="195">
        <v>1.3074426495537399E-2</v>
      </c>
      <c r="AE340" s="219">
        <v>8.2798554252415703E-3</v>
      </c>
      <c r="AF340" s="167">
        <v>8.4921156558533095</v>
      </c>
      <c r="AG340" s="222">
        <v>0.11102954193405599</v>
      </c>
      <c r="AH340" s="223">
        <v>0.49080348499516002</v>
      </c>
      <c r="AI340" s="223">
        <v>0.31703775411423002</v>
      </c>
      <c r="AJ340" s="167">
        <v>0.39341299697573201</v>
      </c>
      <c r="AK340" s="224">
        <v>0.23325588256988999</v>
      </c>
      <c r="AL340" s="224">
        <v>4.3870325293206502E-2</v>
      </c>
      <c r="AM340" s="82">
        <v>0.31157335693737598</v>
      </c>
      <c r="AN340" s="264">
        <v>6.5049999999999999</v>
      </c>
    </row>
    <row r="341" spans="1:40" s="167" customFormat="1" ht="13.5" customHeight="1">
      <c r="A341" s="186">
        <v>43682</v>
      </c>
      <c r="B341" s="232" t="s">
        <v>41</v>
      </c>
      <c r="C341" s="188">
        <v>20929</v>
      </c>
      <c r="D341" s="188">
        <v>63696</v>
      </c>
      <c r="E341" s="189">
        <v>3.04343255769506</v>
      </c>
      <c r="F341" s="167">
        <v>0.71445301007912598</v>
      </c>
      <c r="G341" s="190">
        <v>13.74</v>
      </c>
      <c r="H341" s="190">
        <v>20.64</v>
      </c>
      <c r="I341" s="219">
        <v>0.32700000000000001</v>
      </c>
      <c r="J341" s="219">
        <v>0.16500000000000001</v>
      </c>
      <c r="K341" s="219">
        <v>8.6999999999999994E-2</v>
      </c>
      <c r="L341" s="167">
        <v>9.3788934940969604</v>
      </c>
      <c r="M341" s="220">
        <v>11.1791164280332</v>
      </c>
      <c r="N341" s="167">
        <v>18.572863141970299</v>
      </c>
      <c r="O341" s="193">
        <v>0.60190592815875399</v>
      </c>
      <c r="P341" s="167">
        <v>2.5770886042932801</v>
      </c>
      <c r="Q341" s="167">
        <v>4.2496152742637996</v>
      </c>
      <c r="R341" s="167">
        <v>1.0454628446229699</v>
      </c>
      <c r="S341" s="167">
        <v>5.58723493048854</v>
      </c>
      <c r="T341" s="167">
        <v>1.64704348052897</v>
      </c>
      <c r="U341" s="167">
        <v>0.495135501708443</v>
      </c>
      <c r="V341" s="167">
        <v>2.0327342914525701</v>
      </c>
      <c r="W341" s="167">
        <v>0.93854821461175297</v>
      </c>
      <c r="X341" s="167">
        <v>7.9910826425521192E-3</v>
      </c>
      <c r="Y341" s="189">
        <v>11.1871075106757</v>
      </c>
      <c r="Z341" s="207">
        <v>692</v>
      </c>
      <c r="AA341" s="207">
        <v>479</v>
      </c>
      <c r="AB341" s="167">
        <v>5520.08</v>
      </c>
      <c r="AD341" s="195">
        <v>1.0864104496357699E-2</v>
      </c>
      <c r="AE341" s="219">
        <v>7.5200954534036697E-3</v>
      </c>
      <c r="AF341" s="167">
        <v>7.9769942196531796</v>
      </c>
      <c r="AG341" s="222">
        <v>8.6662898769153507E-2</v>
      </c>
      <c r="AH341" s="223">
        <v>0.47952601653208499</v>
      </c>
      <c r="AI341" s="223">
        <v>0.31210282383295901</v>
      </c>
      <c r="AJ341" s="167">
        <v>0.39041698065812602</v>
      </c>
      <c r="AK341" s="224">
        <v>0.215555136900276</v>
      </c>
      <c r="AL341" s="224">
        <v>4.0379301682994202E-2</v>
      </c>
      <c r="AM341" s="82">
        <v>0.28714518965084201</v>
      </c>
      <c r="AN341" s="264">
        <v>6.2859999999999996</v>
      </c>
    </row>
    <row r="342" spans="1:40" s="167" customFormat="1" ht="13.5" customHeight="1">
      <c r="A342" s="186">
        <v>43683</v>
      </c>
      <c r="B342" s="232" t="s">
        <v>41</v>
      </c>
      <c r="C342" s="188">
        <v>24240</v>
      </c>
      <c r="D342" s="188">
        <v>69565</v>
      </c>
      <c r="E342" s="189">
        <v>2.8698432343234299</v>
      </c>
      <c r="F342" s="167">
        <v>0.68545903629698801</v>
      </c>
      <c r="G342" s="190">
        <v>15.35</v>
      </c>
      <c r="H342" s="190">
        <v>22.4</v>
      </c>
      <c r="I342" s="219">
        <v>0.33300000000000002</v>
      </c>
      <c r="J342" s="219">
        <v>0.16600000000000001</v>
      </c>
      <c r="K342" s="219">
        <v>8.8999999999999996E-2</v>
      </c>
      <c r="L342" s="167">
        <v>9.2067418960684293</v>
      </c>
      <c r="M342" s="220">
        <v>10.150650470782701</v>
      </c>
      <c r="N342" s="167">
        <v>16.8571701401323</v>
      </c>
      <c r="O342" s="193">
        <v>0.60215625673830198</v>
      </c>
      <c r="P342" s="167">
        <v>2.3858053426914001</v>
      </c>
      <c r="Q342" s="167">
        <v>3.9381460526629901</v>
      </c>
      <c r="R342" s="167">
        <v>0.91405858339898305</v>
      </c>
      <c r="S342" s="167">
        <v>4.8249898541383196</v>
      </c>
      <c r="T342" s="167">
        <v>1.4786220726204999</v>
      </c>
      <c r="U342" s="167">
        <v>0.53995082241161196</v>
      </c>
      <c r="V342" s="167">
        <v>1.8765308314832101</v>
      </c>
      <c r="W342" s="167">
        <v>0.89906658072525003</v>
      </c>
      <c r="X342" s="167">
        <v>9.5162797383741803E-3</v>
      </c>
      <c r="Y342" s="189">
        <v>10.1601667505211</v>
      </c>
      <c r="Z342" s="207">
        <v>668</v>
      </c>
      <c r="AA342" s="207">
        <v>441</v>
      </c>
      <c r="AB342" s="167">
        <v>4966.32</v>
      </c>
      <c r="AD342" s="195">
        <v>9.6025300079062691E-3</v>
      </c>
      <c r="AE342" s="219">
        <v>6.3393948106087797E-3</v>
      </c>
      <c r="AF342" s="167">
        <v>7.4346107784431101</v>
      </c>
      <c r="AG342" s="222">
        <v>7.1391073097103394E-2</v>
      </c>
      <c r="AH342" s="223">
        <v>0.50066006600660096</v>
      </c>
      <c r="AI342" s="223">
        <v>0.32830033003300302</v>
      </c>
      <c r="AJ342" s="167">
        <v>0.42734133544167302</v>
      </c>
      <c r="AK342" s="224">
        <v>0.21993818730683501</v>
      </c>
      <c r="AL342" s="224">
        <v>4.0695752174225497E-2</v>
      </c>
      <c r="AM342" s="82">
        <v>0.22429382591820601</v>
      </c>
      <c r="AN342" s="264">
        <v>5.9</v>
      </c>
    </row>
    <row r="343" spans="1:40" s="168" customFormat="1" ht="13.95" customHeight="1">
      <c r="A343" s="226">
        <v>43684</v>
      </c>
      <c r="B343" s="227" t="s">
        <v>41</v>
      </c>
      <c r="C343" s="228">
        <v>19565</v>
      </c>
      <c r="D343" s="228">
        <v>67040</v>
      </c>
      <c r="E343" s="234">
        <v>3.4265269614106799</v>
      </c>
      <c r="F343" s="168">
        <v>0.62114118423329301</v>
      </c>
      <c r="G343" s="235">
        <v>15.91</v>
      </c>
      <c r="H343" s="235">
        <v>24.53</v>
      </c>
      <c r="I343" s="238">
        <v>0.32200000000000001</v>
      </c>
      <c r="J343" s="238">
        <v>0.161</v>
      </c>
      <c r="K343" s="238">
        <v>8.4000000000000005E-2</v>
      </c>
      <c r="L343" s="168">
        <v>8.7214498806682599</v>
      </c>
      <c r="M343" s="239">
        <v>9.5189886634844907</v>
      </c>
      <c r="N343" s="168">
        <v>15.694859813084101</v>
      </c>
      <c r="O343" s="240">
        <v>0.606503579952267</v>
      </c>
      <c r="P343" s="168">
        <v>2.21859321200197</v>
      </c>
      <c r="Q343" s="168">
        <v>3.7717166748647299</v>
      </c>
      <c r="R343" s="168">
        <v>0.83219380226266604</v>
      </c>
      <c r="S343" s="168">
        <v>4.34203148057059</v>
      </c>
      <c r="T343" s="168">
        <v>1.36392031480571</v>
      </c>
      <c r="U343" s="168">
        <v>0.56637973438268596</v>
      </c>
      <c r="V343" s="168">
        <v>1.73593212001968</v>
      </c>
      <c r="W343" s="168">
        <v>0.86409247417609403</v>
      </c>
      <c r="X343" s="168">
        <v>1.1142601431980899E-2</v>
      </c>
      <c r="Y343" s="234">
        <v>9.53013126491647</v>
      </c>
      <c r="Z343" s="243">
        <v>604</v>
      </c>
      <c r="AA343" s="243">
        <v>421</v>
      </c>
      <c r="AB343" s="168">
        <v>3813.96</v>
      </c>
      <c r="AD343" s="246">
        <v>9.0095465393794805E-3</v>
      </c>
      <c r="AE343" s="238">
        <v>6.2798329355608596E-3</v>
      </c>
      <c r="AF343" s="168">
        <v>6.3145033112582798</v>
      </c>
      <c r="AG343" s="249">
        <v>5.68908114558472E-2</v>
      </c>
      <c r="AH343" s="250">
        <v>0.52195246613851298</v>
      </c>
      <c r="AI343" s="250">
        <v>0.38998211091234303</v>
      </c>
      <c r="AJ343" s="168">
        <v>0.50199880668257801</v>
      </c>
      <c r="AK343" s="253">
        <v>0.25881563245823402</v>
      </c>
      <c r="AL343" s="253">
        <v>4.3660501193317401E-2</v>
      </c>
      <c r="AM343" s="254">
        <v>0</v>
      </c>
      <c r="AN343" s="261">
        <v>5.4740000000000002</v>
      </c>
    </row>
    <row r="344" spans="1:40" s="167" customFormat="1" ht="13.5" customHeight="1">
      <c r="A344" s="186">
        <v>43685</v>
      </c>
      <c r="B344" s="230" t="s">
        <v>41</v>
      </c>
      <c r="C344" s="188">
        <v>24138</v>
      </c>
      <c r="D344" s="188">
        <v>71749</v>
      </c>
      <c r="E344" s="189">
        <v>2.97245007871406</v>
      </c>
      <c r="F344" s="167">
        <v>0.57484960910953498</v>
      </c>
      <c r="G344" s="190">
        <v>15.75</v>
      </c>
      <c r="H344" s="190">
        <v>25.29</v>
      </c>
      <c r="I344" s="219">
        <v>0.314</v>
      </c>
      <c r="J344" s="219">
        <v>0.153</v>
      </c>
      <c r="K344" s="219">
        <v>7.4999999999999997E-2</v>
      </c>
      <c r="L344" s="167">
        <v>8.4111834311279594</v>
      </c>
      <c r="M344" s="220">
        <v>8.7736832569095</v>
      </c>
      <c r="N344" s="167">
        <v>14.8945438197994</v>
      </c>
      <c r="O344" s="193">
        <v>0.58905350597220896</v>
      </c>
      <c r="P344" s="167">
        <v>2.1848618209350699</v>
      </c>
      <c r="Q344" s="167">
        <v>3.4433323869013801</v>
      </c>
      <c r="R344" s="167">
        <v>0.79173764906303201</v>
      </c>
      <c r="S344" s="167">
        <v>4.0988311565398403</v>
      </c>
      <c r="T344" s="167">
        <v>1.3280569752034801</v>
      </c>
      <c r="U344" s="167">
        <v>0.55856047700170397</v>
      </c>
      <c r="V344" s="167">
        <v>1.6488264243800901</v>
      </c>
      <c r="W344" s="167">
        <v>0.84033692977474905</v>
      </c>
      <c r="X344" s="167">
        <v>9.2126719536160806E-3</v>
      </c>
      <c r="Y344" s="189">
        <v>8.7828959288631197</v>
      </c>
      <c r="Z344" s="207">
        <v>574</v>
      </c>
      <c r="AA344" s="207">
        <v>405</v>
      </c>
      <c r="AB344" s="167">
        <v>3502.26</v>
      </c>
      <c r="AD344" s="195">
        <v>8.0001114998118402E-3</v>
      </c>
      <c r="AE344" s="219">
        <v>5.6446779746059201E-3</v>
      </c>
      <c r="AF344" s="167">
        <v>6.1014982578397197</v>
      </c>
      <c r="AG344" s="222">
        <v>4.8812666378625497E-2</v>
      </c>
      <c r="AH344" s="223">
        <v>0.47907863120391098</v>
      </c>
      <c r="AI344" s="223">
        <v>0.31750766426381599</v>
      </c>
      <c r="AJ344" s="167">
        <v>0.46599952612579998</v>
      </c>
      <c r="AK344" s="224">
        <v>0.24921601694797099</v>
      </c>
      <c r="AL344" s="224">
        <v>3.8885559380618502E-2</v>
      </c>
      <c r="AM344" s="82">
        <v>0</v>
      </c>
      <c r="AN344" s="264">
        <v>5.2149999999999999</v>
      </c>
    </row>
    <row r="345" spans="1:40" s="167" customFormat="1" ht="13.5" customHeight="1">
      <c r="A345" s="186">
        <v>43686</v>
      </c>
      <c r="B345" s="230" t="s">
        <v>41</v>
      </c>
      <c r="C345" s="188">
        <v>21075</v>
      </c>
      <c r="D345" s="188">
        <v>70728</v>
      </c>
      <c r="E345" s="189">
        <v>3.35601423487544</v>
      </c>
      <c r="F345" s="167">
        <v>0.53219313131998602</v>
      </c>
      <c r="G345" s="190">
        <v>14.48</v>
      </c>
      <c r="H345" s="190">
        <v>22.57</v>
      </c>
      <c r="I345" s="219">
        <v>0.28299999999999997</v>
      </c>
      <c r="J345" s="219">
        <v>0.13900000000000001</v>
      </c>
      <c r="K345" s="219">
        <v>6.7000000000000004E-2</v>
      </c>
      <c r="L345" s="167">
        <v>8.1967678995588695</v>
      </c>
      <c r="M345" s="220">
        <v>8.6831664970026008</v>
      </c>
      <c r="N345" s="167">
        <v>14.6391828756674</v>
      </c>
      <c r="O345" s="193">
        <v>0.59314557176789995</v>
      </c>
      <c r="P345" s="167">
        <v>2.1401125095347102</v>
      </c>
      <c r="Q345" s="167">
        <v>3.4178346681922198</v>
      </c>
      <c r="R345" s="167">
        <v>0.77486174675819997</v>
      </c>
      <c r="S345" s="167">
        <v>4.0033848207475202</v>
      </c>
      <c r="T345" s="167">
        <v>1.2976496948894001</v>
      </c>
      <c r="U345" s="167">
        <v>0.54383581235697898</v>
      </c>
      <c r="V345" s="167">
        <v>1.6257389397406601</v>
      </c>
      <c r="W345" s="167">
        <v>0.83576468344775001</v>
      </c>
      <c r="X345" s="167">
        <v>8.9215020925234693E-3</v>
      </c>
      <c r="Y345" s="189">
        <v>8.6920879990951203</v>
      </c>
      <c r="Z345" s="207">
        <v>567</v>
      </c>
      <c r="AA345" s="207">
        <v>396</v>
      </c>
      <c r="AB345" s="167">
        <v>3415.33</v>
      </c>
      <c r="AD345" s="195">
        <v>8.0166270783848005E-3</v>
      </c>
      <c r="AE345" s="219">
        <v>5.5989141499830303E-3</v>
      </c>
      <c r="AF345" s="167">
        <v>6.02350970017637</v>
      </c>
      <c r="AG345" s="222">
        <v>4.8288230969347402E-2</v>
      </c>
      <c r="AH345" s="223">
        <v>0.480569395017794</v>
      </c>
      <c r="AI345" s="223">
        <v>0.349608540925267</v>
      </c>
      <c r="AJ345" s="167">
        <v>0.45923820834747198</v>
      </c>
      <c r="AK345" s="224">
        <v>0.25634826377106701</v>
      </c>
      <c r="AL345" s="224">
        <v>3.90085963126343E-2</v>
      </c>
      <c r="AM345" s="82">
        <v>0</v>
      </c>
      <c r="AN345" s="264">
        <v>6.2690000000000001</v>
      </c>
    </row>
    <row r="346" spans="1:40" s="167" customFormat="1" ht="13.5" customHeight="1">
      <c r="A346" s="186">
        <v>43687</v>
      </c>
      <c r="B346" s="232" t="s">
        <v>41</v>
      </c>
      <c r="C346" s="188">
        <v>14107</v>
      </c>
      <c r="D346" s="188">
        <v>63295</v>
      </c>
      <c r="E346" s="189">
        <v>4.4867796129581103</v>
      </c>
      <c r="F346" s="167">
        <v>0.77245236723279898</v>
      </c>
      <c r="G346" s="190">
        <v>13.17</v>
      </c>
      <c r="H346" s="190">
        <v>20.22</v>
      </c>
      <c r="I346" s="219">
        <v>0.29399999999999998</v>
      </c>
      <c r="J346" s="219">
        <v>0.14499999999999999</v>
      </c>
      <c r="K346" s="219">
        <v>7.3999999999999996E-2</v>
      </c>
      <c r="L346" s="167">
        <v>9.9211786081049098</v>
      </c>
      <c r="M346" s="220">
        <v>12.222813808357699</v>
      </c>
      <c r="N346" s="167">
        <v>19.451462047117399</v>
      </c>
      <c r="O346" s="193">
        <v>0.628375069120784</v>
      </c>
      <c r="P346" s="262" t="s">
        <v>42</v>
      </c>
      <c r="Q346" s="262" t="s">
        <v>43</v>
      </c>
      <c r="R346" s="262" t="s">
        <v>44</v>
      </c>
      <c r="S346" s="262" t="s">
        <v>45</v>
      </c>
      <c r="T346" s="262" t="s">
        <v>46</v>
      </c>
      <c r="U346" s="262" t="s">
        <v>47</v>
      </c>
      <c r="V346" s="262" t="s">
        <v>48</v>
      </c>
      <c r="W346" s="262" t="s">
        <v>49</v>
      </c>
      <c r="X346" s="167">
        <v>1.48510940832609E-2</v>
      </c>
      <c r="Y346" s="189">
        <v>12.237664902441001</v>
      </c>
      <c r="Z346" s="207">
        <v>800</v>
      </c>
      <c r="AA346" s="207">
        <v>526</v>
      </c>
      <c r="AB346" s="167">
        <v>6400</v>
      </c>
      <c r="AD346" s="195">
        <v>1.26392290070306E-2</v>
      </c>
      <c r="AE346" s="219">
        <v>8.3102930721225994E-3</v>
      </c>
      <c r="AF346" s="167">
        <v>8</v>
      </c>
      <c r="AG346" s="222">
        <v>0.101113832056245</v>
      </c>
      <c r="AH346" s="223">
        <v>0.52335719855390905</v>
      </c>
      <c r="AI346" s="223">
        <v>0.41149783795278899</v>
      </c>
      <c r="AJ346" s="167">
        <v>0.386949996050241</v>
      </c>
      <c r="AK346" s="224">
        <v>0.24292598151512801</v>
      </c>
      <c r="AL346" s="224">
        <v>3.84074571451141E-2</v>
      </c>
      <c r="AM346" s="82">
        <v>0.33966348052768802</v>
      </c>
      <c r="AN346" s="264">
        <v>6.82</v>
      </c>
    </row>
    <row r="347" spans="1:40" s="167" customFormat="1" ht="13.5" customHeight="1">
      <c r="A347" s="186">
        <v>43688</v>
      </c>
      <c r="B347" s="232" t="s">
        <v>41</v>
      </c>
      <c r="C347" s="188">
        <v>15975</v>
      </c>
      <c r="D347" s="188">
        <v>64207</v>
      </c>
      <c r="E347" s="189">
        <v>4.01921752738654</v>
      </c>
      <c r="F347" s="167">
        <v>0.76091044851807399</v>
      </c>
      <c r="G347" s="190">
        <v>13.58</v>
      </c>
      <c r="H347" s="190">
        <v>20.55</v>
      </c>
      <c r="I347" s="219">
        <v>0.317</v>
      </c>
      <c r="J347" s="219">
        <v>0.153</v>
      </c>
      <c r="K347" s="219">
        <v>8.1000000000000003E-2</v>
      </c>
      <c r="L347" s="167">
        <v>9.1693273319108499</v>
      </c>
      <c r="M347" s="220">
        <v>11.239491021228201</v>
      </c>
      <c r="N347" s="167">
        <v>18.226807769050101</v>
      </c>
      <c r="O347" s="193">
        <v>0.61664616007600404</v>
      </c>
      <c r="P347" s="167">
        <v>2.4588689919935298</v>
      </c>
      <c r="Q347" s="167">
        <v>4.0268229232440103</v>
      </c>
      <c r="R347" s="167">
        <v>1.0419266031874299</v>
      </c>
      <c r="S347" s="167">
        <v>5.7325789912358198</v>
      </c>
      <c r="T347" s="167">
        <v>1.5540878438107699</v>
      </c>
      <c r="U347" s="167">
        <v>0.47157325789912402</v>
      </c>
      <c r="V347" s="167">
        <v>2.0015659333720599</v>
      </c>
      <c r="W347" s="167">
        <v>0.93938322430732701</v>
      </c>
      <c r="X347" s="167">
        <v>1.4655722896257399E-2</v>
      </c>
      <c r="Y347" s="189">
        <v>11.254146744124499</v>
      </c>
      <c r="Z347" s="207">
        <v>735</v>
      </c>
      <c r="AA347" s="207">
        <v>487</v>
      </c>
      <c r="AB347" s="167">
        <v>6984.65</v>
      </c>
      <c r="AD347" s="195">
        <v>1.1447349977416799E-2</v>
      </c>
      <c r="AE347" s="219">
        <v>7.5848427741523504E-3</v>
      </c>
      <c r="AF347" s="167">
        <v>9.5029251700680302</v>
      </c>
      <c r="AG347" s="222">
        <v>0.108783310230972</v>
      </c>
      <c r="AH347" s="223">
        <v>0.50510172143974996</v>
      </c>
      <c r="AI347" s="223">
        <v>0.35499217527386501</v>
      </c>
      <c r="AJ347" s="167">
        <v>0.38098649679941399</v>
      </c>
      <c r="AK347" s="224">
        <v>0.23249801423520799</v>
      </c>
      <c r="AL347" s="224">
        <v>3.6880713940847597E-2</v>
      </c>
      <c r="AM347" s="82">
        <v>0.32362514990577401</v>
      </c>
      <c r="AN347" s="264">
        <v>6.5549999999999997</v>
      </c>
    </row>
    <row r="348" spans="1:40" s="167" customFormat="1" ht="13.5" customHeight="1">
      <c r="A348" s="186">
        <v>43689</v>
      </c>
      <c r="B348" s="232" t="s">
        <v>41</v>
      </c>
      <c r="C348" s="188">
        <v>27500</v>
      </c>
      <c r="D348" s="188">
        <v>77644</v>
      </c>
      <c r="E348" s="189">
        <v>2.8234181818181798</v>
      </c>
      <c r="F348" s="167">
        <v>0.64842398685023905</v>
      </c>
      <c r="G348" s="190">
        <v>13.8</v>
      </c>
      <c r="H348" s="190">
        <v>20.83</v>
      </c>
      <c r="I348" s="219">
        <v>0.27700000000000002</v>
      </c>
      <c r="J348" s="219">
        <v>0.127</v>
      </c>
      <c r="K348" s="219">
        <v>6.8000000000000005E-2</v>
      </c>
      <c r="L348" s="167">
        <v>8.7926562258513208</v>
      </c>
      <c r="M348" s="220">
        <v>10.1630647570965</v>
      </c>
      <c r="N348" s="167">
        <v>17.2108661039499</v>
      </c>
      <c r="O348" s="193">
        <v>0.59050280768636298</v>
      </c>
      <c r="P348" s="167">
        <v>2.4541647582280999</v>
      </c>
      <c r="Q348" s="167">
        <v>3.8896159131060601</v>
      </c>
      <c r="R348" s="167">
        <v>0.94215795328142404</v>
      </c>
      <c r="S348" s="167">
        <v>5.11740714083186</v>
      </c>
      <c r="T348" s="167">
        <v>1.5109380793474201</v>
      </c>
      <c r="U348" s="167">
        <v>0.49505987044428401</v>
      </c>
      <c r="V348" s="167">
        <v>1.8977949355493</v>
      </c>
      <c r="W348" s="167">
        <v>0.90372745316146497</v>
      </c>
      <c r="X348" s="167">
        <v>1.37550873216218E-2</v>
      </c>
      <c r="Y348" s="189">
        <v>10.1768198444181</v>
      </c>
      <c r="Z348" s="207">
        <v>675</v>
      </c>
      <c r="AA348" s="207">
        <v>472</v>
      </c>
      <c r="AB348" s="167">
        <v>6069.25</v>
      </c>
      <c r="AD348" s="195">
        <v>8.6935242903508295E-3</v>
      </c>
      <c r="AE348" s="219">
        <v>6.0790273556231003E-3</v>
      </c>
      <c r="AF348" s="167">
        <v>8.9914814814814807</v>
      </c>
      <c r="AG348" s="222">
        <v>7.8167662665498905E-2</v>
      </c>
      <c r="AH348" s="223">
        <v>0.43963636363636399</v>
      </c>
      <c r="AI348" s="223">
        <v>0.28127272727272701</v>
      </c>
      <c r="AJ348" s="167">
        <v>0.36653186337643601</v>
      </c>
      <c r="AK348" s="224">
        <v>0.205051259595075</v>
      </c>
      <c r="AL348" s="224">
        <v>3.2520220493534598E-2</v>
      </c>
      <c r="AM348" s="82">
        <v>0.281180773788058</v>
      </c>
      <c r="AN348" s="264">
        <v>5.8860000000000001</v>
      </c>
    </row>
    <row r="349" spans="1:40" s="167" customFormat="1" ht="13.5" customHeight="1">
      <c r="A349" s="186">
        <v>43690</v>
      </c>
      <c r="B349" s="232" t="s">
        <v>41</v>
      </c>
      <c r="C349" s="188">
        <v>25084</v>
      </c>
      <c r="D349" s="188">
        <v>77015</v>
      </c>
      <c r="E349" s="189">
        <v>3.0702838462765101</v>
      </c>
      <c r="F349" s="167">
        <v>0.63949140303836904</v>
      </c>
      <c r="G349" s="190">
        <v>14.17</v>
      </c>
      <c r="H349" s="190">
        <v>22.11</v>
      </c>
      <c r="I349" s="219">
        <v>0.28000000000000003</v>
      </c>
      <c r="J349" s="219">
        <v>0.13100000000000001</v>
      </c>
      <c r="K349" s="219">
        <v>6.8000000000000005E-2</v>
      </c>
      <c r="L349" s="167">
        <v>8.9660715445043202</v>
      </c>
      <c r="M349" s="220">
        <v>9.9940920599883096</v>
      </c>
      <c r="N349" s="167">
        <v>16.6514148494289</v>
      </c>
      <c r="O349" s="193">
        <v>0.60019476725313203</v>
      </c>
      <c r="P349" s="167">
        <v>2.3430252682589101</v>
      </c>
      <c r="Q349" s="167">
        <v>3.7972049151955698</v>
      </c>
      <c r="R349" s="167">
        <v>0.89250173070266503</v>
      </c>
      <c r="S349" s="167">
        <v>4.90303738317757</v>
      </c>
      <c r="T349" s="167">
        <v>1.4346659743856001</v>
      </c>
      <c r="U349" s="167">
        <v>0.520270854967117</v>
      </c>
      <c r="V349" s="167">
        <v>1.8484769816545501</v>
      </c>
      <c r="W349" s="167">
        <v>0.91223174108688099</v>
      </c>
      <c r="X349" s="167">
        <v>1.28806076738298E-2</v>
      </c>
      <c r="Y349" s="189">
        <v>10.006972667662099</v>
      </c>
      <c r="Z349" s="207">
        <v>718</v>
      </c>
      <c r="AA349" s="207">
        <v>501</v>
      </c>
      <c r="AB349" s="167">
        <v>5453.82</v>
      </c>
      <c r="AD349" s="195">
        <v>9.3228591832759892E-3</v>
      </c>
      <c r="AE349" s="219">
        <v>6.5052262546257201E-3</v>
      </c>
      <c r="AF349" s="167">
        <v>7.5958495821726997</v>
      </c>
      <c r="AG349" s="222">
        <v>7.0815036031941794E-2</v>
      </c>
      <c r="AH349" s="223">
        <v>0.45479189921862501</v>
      </c>
      <c r="AI349" s="223">
        <v>0.32036357837665402</v>
      </c>
      <c r="AJ349" s="167">
        <v>0.419204051158865</v>
      </c>
      <c r="AK349" s="224">
        <v>0.22350191521132201</v>
      </c>
      <c r="AL349" s="224">
        <v>3.6434460819320898E-2</v>
      </c>
      <c r="AM349" s="82">
        <v>0.23422709861715199</v>
      </c>
      <c r="AN349" s="264">
        <v>5.4189999999999996</v>
      </c>
    </row>
    <row r="350" spans="1:40" s="167" customFormat="1" ht="13.5" customHeight="1">
      <c r="A350" s="186">
        <v>43691</v>
      </c>
      <c r="B350" s="232" t="s">
        <v>41</v>
      </c>
      <c r="C350" s="188">
        <v>20472</v>
      </c>
      <c r="D350" s="188">
        <v>71965</v>
      </c>
      <c r="E350" s="189">
        <v>3.5152891754591602</v>
      </c>
      <c r="F350" s="167">
        <v>0.54356328423539202</v>
      </c>
      <c r="G350" s="190">
        <v>14.32</v>
      </c>
      <c r="H350" s="190">
        <v>23.64</v>
      </c>
      <c r="I350" s="219">
        <v>0.30399999999999999</v>
      </c>
      <c r="J350" s="219">
        <v>0.154</v>
      </c>
      <c r="K350" s="219">
        <v>7.8E-2</v>
      </c>
      <c r="L350" s="167">
        <v>8.5296880427985808</v>
      </c>
      <c r="M350" s="220">
        <v>9.1645244215938302</v>
      </c>
      <c r="N350" s="167">
        <v>15.302204176334101</v>
      </c>
      <c r="O350" s="193">
        <v>0.59890224414645998</v>
      </c>
      <c r="P350" s="167">
        <v>2.20447795823666</v>
      </c>
      <c r="Q350" s="167">
        <v>3.5206032482598602</v>
      </c>
      <c r="R350" s="167">
        <v>0.82436194895591597</v>
      </c>
      <c r="S350" s="167">
        <v>4.3413921113689096</v>
      </c>
      <c r="T350" s="167">
        <v>1.3134802784222701</v>
      </c>
      <c r="U350" s="167">
        <v>0.55238979118329501</v>
      </c>
      <c r="V350" s="167">
        <v>1.6806496519721601</v>
      </c>
      <c r="W350" s="167">
        <v>0.86484918793503496</v>
      </c>
      <c r="X350" s="167">
        <v>1.37011047036754E-2</v>
      </c>
      <c r="Y350" s="189">
        <v>9.1782255262975099</v>
      </c>
      <c r="Z350" s="207">
        <v>528</v>
      </c>
      <c r="AA350" s="207">
        <v>368</v>
      </c>
      <c r="AB350" s="167">
        <v>3234.72</v>
      </c>
      <c r="AD350" s="195">
        <v>7.3368998818870296E-3</v>
      </c>
      <c r="AE350" s="219">
        <v>5.1135968873758098E-3</v>
      </c>
      <c r="AF350" s="167">
        <v>6.1263636363636396</v>
      </c>
      <c r="AG350" s="222">
        <v>4.4948516640033298E-2</v>
      </c>
      <c r="AH350" s="223">
        <v>0.49047479484173501</v>
      </c>
      <c r="AI350" s="223">
        <v>0.36293474013286398</v>
      </c>
      <c r="AJ350" s="167">
        <v>0.48937678037935101</v>
      </c>
      <c r="AK350" s="224">
        <v>0.266115472799277</v>
      </c>
      <c r="AL350" s="224">
        <v>4.0464114500104197E-2</v>
      </c>
      <c r="AM350" s="82">
        <v>0</v>
      </c>
      <c r="AN350" s="264">
        <v>5.8129999999999997</v>
      </c>
    </row>
    <row r="351" spans="1:40" s="167" customFormat="1" ht="13.5" customHeight="1">
      <c r="A351" s="186">
        <v>43692</v>
      </c>
      <c r="B351" s="232" t="s">
        <v>41</v>
      </c>
      <c r="C351" s="188">
        <v>15466</v>
      </c>
      <c r="D351" s="188">
        <v>65915</v>
      </c>
      <c r="E351" s="189">
        <v>4.26192939350834</v>
      </c>
      <c r="F351" s="167">
        <v>0.55129184357126604</v>
      </c>
      <c r="G351" s="190">
        <v>14.09</v>
      </c>
      <c r="H351" s="190">
        <v>23.17</v>
      </c>
      <c r="I351" s="219">
        <v>0.29799999999999999</v>
      </c>
      <c r="J351" s="219">
        <v>0.14799999999999999</v>
      </c>
      <c r="K351" s="219">
        <v>7.3999999999999996E-2</v>
      </c>
      <c r="L351" s="167">
        <v>8.3275885610255607</v>
      </c>
      <c r="M351" s="220">
        <v>9.2607297276795908</v>
      </c>
      <c r="N351" s="167">
        <v>15.2685409840166</v>
      </c>
      <c r="O351" s="193">
        <v>0.60652355306076</v>
      </c>
      <c r="P351" s="167">
        <v>2.1635608694564601</v>
      </c>
      <c r="Q351" s="167">
        <v>3.6370344430826198</v>
      </c>
      <c r="R351" s="167">
        <v>0.82285699992496097</v>
      </c>
      <c r="S351" s="167">
        <v>4.29332899772381</v>
      </c>
      <c r="T351" s="167">
        <v>1.3029840666349799</v>
      </c>
      <c r="U351" s="167">
        <v>0.53185422346732003</v>
      </c>
      <c r="V351" s="167">
        <v>1.6580955001375699</v>
      </c>
      <c r="W351" s="167">
        <v>0.85882588358888401</v>
      </c>
      <c r="X351" s="167">
        <v>1.64909352954563E-2</v>
      </c>
      <c r="Y351" s="189">
        <v>9.27722066297504</v>
      </c>
      <c r="Z351" s="207">
        <v>528</v>
      </c>
      <c r="AA351" s="207">
        <v>382</v>
      </c>
      <c r="AB351" s="167">
        <v>3234.72</v>
      </c>
      <c r="AD351" s="195">
        <v>8.0103163164681798E-3</v>
      </c>
      <c r="AE351" s="219">
        <v>5.7953424865356904E-3</v>
      </c>
      <c r="AF351" s="167">
        <v>6.1263636363636396</v>
      </c>
      <c r="AG351" s="222">
        <v>4.9074110596980997E-2</v>
      </c>
      <c r="AH351" s="223">
        <f>7562/C351</f>
        <v>0.48894348894348894</v>
      </c>
      <c r="AI351" s="223">
        <f>5789/C351</f>
        <v>0.37430492693650591</v>
      </c>
      <c r="AJ351" s="167">
        <v>0.47536979443222299</v>
      </c>
      <c r="AK351" s="224">
        <v>0.28456345293180602</v>
      </c>
      <c r="AL351" s="224">
        <v>4.1659713267086403E-2</v>
      </c>
      <c r="AM351" s="82">
        <v>0</v>
      </c>
      <c r="AN351" s="264">
        <v>5.6050000000000004</v>
      </c>
    </row>
    <row r="352" spans="1:40" s="167" customFormat="1" ht="13.5" customHeight="1">
      <c r="A352" s="186">
        <v>43693</v>
      </c>
      <c r="B352" s="232" t="s">
        <v>41</v>
      </c>
      <c r="C352" s="188">
        <v>11217</v>
      </c>
      <c r="D352" s="188">
        <v>59922</v>
      </c>
      <c r="E352" s="189">
        <v>5.3420700722118202</v>
      </c>
      <c r="F352" s="167">
        <v>0.52933354485831596</v>
      </c>
      <c r="G352" s="190">
        <v>13.34</v>
      </c>
      <c r="H352" s="190">
        <v>21.13</v>
      </c>
      <c r="I352" s="219">
        <v>0.30399999999999999</v>
      </c>
      <c r="J352" s="219">
        <v>0.158</v>
      </c>
      <c r="K352" s="219">
        <v>8.1000000000000003E-2</v>
      </c>
      <c r="L352" s="167">
        <v>8.2111578385234107</v>
      </c>
      <c r="M352" s="220">
        <v>9.3267080538032801</v>
      </c>
      <c r="N352" s="167">
        <v>15.2186640525012</v>
      </c>
      <c r="O352" s="193">
        <v>0.61284670071092395</v>
      </c>
      <c r="P352" s="167">
        <v>2.1804046510361399</v>
      </c>
      <c r="Q352" s="167">
        <v>3.6055333169948001</v>
      </c>
      <c r="R352" s="167">
        <v>0.81447594150804703</v>
      </c>
      <c r="S352" s="167">
        <v>4.2656918007788001</v>
      </c>
      <c r="T352" s="167">
        <v>1.33191732701577</v>
      </c>
      <c r="U352" s="167">
        <v>0.52473926422133299</v>
      </c>
      <c r="V352" s="167">
        <v>1.6461073441712299</v>
      </c>
      <c r="W352" s="167">
        <v>0.84979440677504503</v>
      </c>
      <c r="X352" s="167">
        <v>1.2099062114081601E-2</v>
      </c>
      <c r="Y352" s="189">
        <v>9.3388071159173602</v>
      </c>
      <c r="Z352" s="207">
        <v>527</v>
      </c>
      <c r="AA352" s="207">
        <v>375</v>
      </c>
      <c r="AB352" s="167">
        <v>2960.73</v>
      </c>
      <c r="AD352" s="195">
        <v>8.7947665298221001E-3</v>
      </c>
      <c r="AE352" s="219">
        <v>6.2581355762491202E-3</v>
      </c>
      <c r="AF352" s="167">
        <v>5.6180834914610998</v>
      </c>
      <c r="AG352" s="222">
        <v>4.9409732652448198E-2</v>
      </c>
      <c r="AH352" s="223">
        <v>0.51020772042435603</v>
      </c>
      <c r="AI352" s="223">
        <v>0.41642150307568898</v>
      </c>
      <c r="AJ352" s="167">
        <v>0.49430926871599701</v>
      </c>
      <c r="AK352" s="224">
        <v>0.30055739127532499</v>
      </c>
      <c r="AL352" s="224">
        <v>4.3322986549180598E-2</v>
      </c>
      <c r="AM352" s="82">
        <v>0</v>
      </c>
      <c r="AN352" s="264">
        <v>6.3010000000000002</v>
      </c>
    </row>
    <row r="353" spans="1:40" s="167" customFormat="1" ht="13.5" customHeight="1">
      <c r="A353" s="186">
        <v>43694</v>
      </c>
      <c r="B353" s="232" t="s">
        <v>41</v>
      </c>
      <c r="C353" s="188">
        <v>10628</v>
      </c>
      <c r="D353" s="188">
        <v>57324</v>
      </c>
      <c r="E353" s="189">
        <v>5.3936770794128703</v>
      </c>
      <c r="F353" s="167">
        <v>0.73748968536738502</v>
      </c>
      <c r="G353" s="190">
        <v>12.02</v>
      </c>
      <c r="H353" s="190">
        <v>18.489999999999998</v>
      </c>
      <c r="I353" s="219">
        <v>0.29099999999999998</v>
      </c>
      <c r="J353" s="219">
        <v>0.14499999999999999</v>
      </c>
      <c r="K353" s="219">
        <v>7.3999999999999996E-2</v>
      </c>
      <c r="L353" s="167">
        <v>10.198346242411599</v>
      </c>
      <c r="M353" s="220">
        <v>12.754308840974099</v>
      </c>
      <c r="N353" s="167">
        <v>20.3537763425294</v>
      </c>
      <c r="O353" s="193">
        <v>0.62663107947805496</v>
      </c>
      <c r="P353" s="167">
        <v>2.6843629074914399</v>
      </c>
      <c r="Q353" s="167">
        <v>4.2438963280532302</v>
      </c>
      <c r="R353" s="167">
        <v>1.1888867236435501</v>
      </c>
      <c r="S353" s="167">
        <v>6.8833273015784604</v>
      </c>
      <c r="T353" s="167">
        <v>1.71534756827483</v>
      </c>
      <c r="U353" s="167">
        <v>0.451796998969962</v>
      </c>
      <c r="V353" s="167">
        <v>2.2296706661841301</v>
      </c>
      <c r="W353" s="167">
        <v>0.95648784833384404</v>
      </c>
      <c r="X353" s="167">
        <v>1.35894215337381E-2</v>
      </c>
      <c r="Y353" s="189">
        <v>12.767898262507799</v>
      </c>
      <c r="Z353" s="207">
        <v>683</v>
      </c>
      <c r="AA353" s="207">
        <v>447</v>
      </c>
      <c r="AB353" s="167">
        <v>5757.17</v>
      </c>
      <c r="AD353" s="195">
        <v>1.19147303049334E-2</v>
      </c>
      <c r="AE353" s="219">
        <v>7.7977810341218297E-3</v>
      </c>
      <c r="AF353" s="167">
        <v>8.4292386530014607</v>
      </c>
      <c r="AG353" s="222">
        <v>0.10043210522643201</v>
      </c>
      <c r="AH353" s="223">
        <v>0.48870907038012801</v>
      </c>
      <c r="AI353" s="223">
        <v>0.38172751223183998</v>
      </c>
      <c r="AJ353" s="167">
        <v>0.39669248482311098</v>
      </c>
      <c r="AK353" s="224">
        <v>0.26187984090433303</v>
      </c>
      <c r="AL353" s="224">
        <v>3.9948363687111903E-2</v>
      </c>
      <c r="AM353" s="82">
        <v>0.351318819342684</v>
      </c>
      <c r="AN353" s="264">
        <v>5.9550000000000001</v>
      </c>
    </row>
    <row r="354" spans="1:40" s="167" customFormat="1" ht="13.5" customHeight="1">
      <c r="A354" s="186">
        <v>43695</v>
      </c>
      <c r="B354" s="232" t="s">
        <v>41</v>
      </c>
      <c r="C354" s="188">
        <v>12100</v>
      </c>
      <c r="D354" s="188">
        <v>58421</v>
      </c>
      <c r="E354" s="189">
        <v>4.8281818181818199</v>
      </c>
      <c r="F354" s="167">
        <v>0.72029642779137604</v>
      </c>
      <c r="G354" s="190">
        <v>12.71</v>
      </c>
      <c r="H354" s="190">
        <v>19.36</v>
      </c>
      <c r="I354" s="219">
        <v>0.3</v>
      </c>
      <c r="J354" s="219">
        <v>0.14199999999999999</v>
      </c>
      <c r="K354" s="219">
        <v>7.9000000000000001E-2</v>
      </c>
      <c r="L354" s="167">
        <v>9.4636175347905702</v>
      </c>
      <c r="M354" s="220">
        <v>11.9154755995276</v>
      </c>
      <c r="N354" s="167">
        <v>19.250940265486701</v>
      </c>
      <c r="O354" s="193">
        <v>0.61895551257253401</v>
      </c>
      <c r="P354" s="167">
        <v>2.5704646017699102</v>
      </c>
      <c r="Q354" s="167">
        <v>4.1967920353982304</v>
      </c>
      <c r="R354" s="167">
        <v>1.15306969026549</v>
      </c>
      <c r="S354" s="167">
        <v>6.1399889380530999</v>
      </c>
      <c r="T354" s="167">
        <v>1.66341261061947</v>
      </c>
      <c r="U354" s="167">
        <v>0.46097898230088502</v>
      </c>
      <c r="V354" s="167">
        <v>2.1069690265486698</v>
      </c>
      <c r="W354" s="167">
        <v>0.95926438053097296</v>
      </c>
      <c r="X354" s="167">
        <v>1.76477636466339E-2</v>
      </c>
      <c r="Y354" s="189">
        <v>11.9331233631742</v>
      </c>
      <c r="Z354" s="207">
        <v>608</v>
      </c>
      <c r="AA354" s="207">
        <v>441</v>
      </c>
      <c r="AB354" s="167">
        <v>5447.92</v>
      </c>
      <c r="AD354" s="195">
        <v>1.0407216583077999E-2</v>
      </c>
      <c r="AE354" s="219">
        <v>7.5486554492391403E-3</v>
      </c>
      <c r="AF354" s="167">
        <v>8.9603947368420993</v>
      </c>
      <c r="AG354" s="222">
        <v>9.3252768696187996E-2</v>
      </c>
      <c r="AH354" s="223">
        <v>0.48719008264462799</v>
      </c>
      <c r="AI354" s="223">
        <v>0.35024793388429798</v>
      </c>
      <c r="AJ354" s="167">
        <v>0.39682648362746298</v>
      </c>
      <c r="AK354" s="224">
        <v>0.25490833775525901</v>
      </c>
      <c r="AL354" s="224">
        <v>3.9574810427757103E-2</v>
      </c>
      <c r="AM354" s="82">
        <v>0.334793995309906</v>
      </c>
      <c r="AN354" s="264">
        <v>7.2089999999999996</v>
      </c>
    </row>
    <row r="355" spans="1:40" s="167" customFormat="1" ht="13.5" customHeight="1">
      <c r="A355" s="186">
        <v>43696</v>
      </c>
      <c r="B355" s="232" t="s">
        <v>41</v>
      </c>
      <c r="C355" s="188">
        <v>13539</v>
      </c>
      <c r="D355" s="188">
        <v>61000</v>
      </c>
      <c r="E355" s="189">
        <v>4.5055026220547996</v>
      </c>
      <c r="F355" s="167">
        <v>0.68595537098360604</v>
      </c>
      <c r="G355" s="190">
        <v>12.93</v>
      </c>
      <c r="H355" s="190">
        <v>19.829999999999998</v>
      </c>
      <c r="I355" s="219">
        <v>0.30399999999999999</v>
      </c>
      <c r="J355" s="219">
        <v>0.159</v>
      </c>
      <c r="K355" s="219">
        <v>8.7999999999999995E-2</v>
      </c>
      <c r="L355" s="167">
        <v>9.3779344262295101</v>
      </c>
      <c r="M355" s="220">
        <v>11.7572131147541</v>
      </c>
      <c r="N355" s="167">
        <v>18.944712998917002</v>
      </c>
      <c r="O355" s="193">
        <v>0.62060655737704895</v>
      </c>
      <c r="P355" s="167">
        <v>2.5909343054124698</v>
      </c>
      <c r="Q355" s="167">
        <v>4.2297593575824797</v>
      </c>
      <c r="R355" s="167">
        <v>1.10949097921124</v>
      </c>
      <c r="S355" s="167">
        <v>5.8217238555617197</v>
      </c>
      <c r="T355" s="167">
        <v>1.67155347756029</v>
      </c>
      <c r="U355" s="167">
        <v>0.47388858071162498</v>
      </c>
      <c r="V355" s="167">
        <v>2.0826795572813501</v>
      </c>
      <c r="W355" s="167">
        <v>0.96468288559579496</v>
      </c>
      <c r="X355" s="167">
        <v>2.06885245901639E-2</v>
      </c>
      <c r="Y355" s="189">
        <v>11.7779016393443</v>
      </c>
      <c r="Z355" s="207">
        <v>648</v>
      </c>
      <c r="AA355" s="207">
        <v>462</v>
      </c>
      <c r="AB355" s="167">
        <v>4702.5200000000004</v>
      </c>
      <c r="AD355" s="195">
        <v>1.06229508196721E-2</v>
      </c>
      <c r="AE355" s="219">
        <v>7.57377049180328E-3</v>
      </c>
      <c r="AF355" s="167">
        <v>7.2569753086419704</v>
      </c>
      <c r="AG355" s="222">
        <v>7.7090491803278705E-2</v>
      </c>
      <c r="AH355" s="223">
        <v>0.48836693995125202</v>
      </c>
      <c r="AI355" s="223">
        <v>0.346628259103331</v>
      </c>
      <c r="AJ355" s="167">
        <v>0.40691803278688499</v>
      </c>
      <c r="AK355" s="224">
        <v>0.25718032786885198</v>
      </c>
      <c r="AL355" s="224">
        <v>4.1508196721311501E-2</v>
      </c>
      <c r="AM355" s="82">
        <v>0.31857377049180302</v>
      </c>
      <c r="AN355" s="264">
        <v>6.2279999999999998</v>
      </c>
    </row>
    <row r="356" spans="1:40" s="167" customFormat="1" ht="13.5" customHeight="1">
      <c r="A356" s="186">
        <v>43697</v>
      </c>
      <c r="B356" s="232" t="s">
        <v>41</v>
      </c>
      <c r="C356" s="188">
        <v>16300</v>
      </c>
      <c r="D356" s="188">
        <v>62771</v>
      </c>
      <c r="E356" s="189">
        <v>3.8509815950920201</v>
      </c>
      <c r="F356" s="167">
        <v>0.65038161321310795</v>
      </c>
      <c r="G356" s="190">
        <v>14.29</v>
      </c>
      <c r="H356" s="190">
        <v>22.28</v>
      </c>
      <c r="I356" s="219">
        <v>0.30199999999999999</v>
      </c>
      <c r="J356" s="219">
        <v>0.151</v>
      </c>
      <c r="K356" s="219">
        <v>7.8E-2</v>
      </c>
      <c r="L356" s="167">
        <v>9.0126172914243803</v>
      </c>
      <c r="M356" s="220">
        <v>10.622405250832401</v>
      </c>
      <c r="N356" s="167">
        <v>17.433498052134802</v>
      </c>
      <c r="O356" s="193">
        <v>0.60931003170253795</v>
      </c>
      <c r="P356" s="167">
        <v>2.4177321097079498</v>
      </c>
      <c r="Q356" s="167">
        <v>3.8853243391638599</v>
      </c>
      <c r="R356" s="167">
        <v>1.0174915679661201</v>
      </c>
      <c r="S356" s="167">
        <v>5.2625042486992397</v>
      </c>
      <c r="T356" s="167">
        <v>1.5327215206421401</v>
      </c>
      <c r="U356" s="167">
        <v>0.495019217193505</v>
      </c>
      <c r="V356" s="167">
        <v>1.9186864329228399</v>
      </c>
      <c r="W356" s="167">
        <v>0.904018615839151</v>
      </c>
      <c r="X356" s="167">
        <v>1.9642828694779398E-2</v>
      </c>
      <c r="Y356" s="189">
        <v>10.6420480795272</v>
      </c>
      <c r="Z356" s="207">
        <v>612</v>
      </c>
      <c r="AA356" s="207">
        <v>448</v>
      </c>
      <c r="AB356" s="167">
        <v>3870.88</v>
      </c>
      <c r="AD356" s="195">
        <v>9.7497251915693497E-3</v>
      </c>
      <c r="AE356" s="219">
        <v>7.1370537350050204E-3</v>
      </c>
      <c r="AF356" s="167">
        <v>6.3249673202614396</v>
      </c>
      <c r="AG356" s="222">
        <v>6.1666693218205899E-2</v>
      </c>
      <c r="AH356" s="223">
        <v>0.45411042944785301</v>
      </c>
      <c r="AI356" s="223">
        <v>0.308098159509202</v>
      </c>
      <c r="AJ356" s="167">
        <v>0.43496200474741498</v>
      </c>
      <c r="AK356" s="224">
        <v>0.25741186216564999</v>
      </c>
      <c r="AL356" s="224">
        <v>4.3985279826671601E-2</v>
      </c>
      <c r="AM356" s="82">
        <v>0.247917031750331</v>
      </c>
      <c r="AN356" s="264">
        <v>5.8209999999999997</v>
      </c>
    </row>
    <row r="357" spans="1:40" s="167" customFormat="1" ht="13.5" customHeight="1">
      <c r="A357" s="186">
        <v>43698</v>
      </c>
      <c r="B357" s="232" t="s">
        <v>41</v>
      </c>
      <c r="C357" s="188">
        <v>15739</v>
      </c>
      <c r="D357" s="188">
        <v>61375</v>
      </c>
      <c r="E357" s="189">
        <v>3.8995488912891498</v>
      </c>
      <c r="F357" s="167">
        <v>0.59358460487168996</v>
      </c>
      <c r="G357" s="190">
        <v>15.14</v>
      </c>
      <c r="H357" s="190">
        <v>23.56</v>
      </c>
      <c r="I357" s="219">
        <v>0.29099999999999998</v>
      </c>
      <c r="J357" s="219">
        <v>0.13800000000000001</v>
      </c>
      <c r="K357" s="219">
        <v>7.5999999999999998E-2</v>
      </c>
      <c r="L357" s="167">
        <v>8.4245376782077397</v>
      </c>
      <c r="M357" s="220">
        <v>9.3494582484725104</v>
      </c>
      <c r="N357" s="167">
        <v>15.6316707074559</v>
      </c>
      <c r="O357" s="193">
        <v>0.59810997963340096</v>
      </c>
      <c r="P357" s="167">
        <v>2.2281184450679699</v>
      </c>
      <c r="Q357" s="167">
        <v>3.5217794001470999</v>
      </c>
      <c r="R357" s="167">
        <v>0.86624533493148803</v>
      </c>
      <c r="S357" s="167">
        <v>4.5597537388651297</v>
      </c>
      <c r="T357" s="167">
        <v>1.3624179356561099</v>
      </c>
      <c r="U357" s="167">
        <v>0.53599934620937695</v>
      </c>
      <c r="V357" s="167">
        <v>1.7034514696668399</v>
      </c>
      <c r="W357" s="167">
        <v>0.85390503691192898</v>
      </c>
      <c r="X357" s="167">
        <v>1.9780040733197599E-2</v>
      </c>
      <c r="Y357" s="189">
        <v>9.3692382892057005</v>
      </c>
      <c r="Z357" s="207">
        <v>521</v>
      </c>
      <c r="AA357" s="207">
        <v>364</v>
      </c>
      <c r="AB357" s="167">
        <v>3179.79</v>
      </c>
      <c r="AD357" s="195">
        <v>8.4887983706720994E-3</v>
      </c>
      <c r="AE357" s="219">
        <v>5.9307535641547901E-3</v>
      </c>
      <c r="AF357" s="167">
        <v>6.1032437619961604</v>
      </c>
      <c r="AG357" s="222">
        <v>5.1809205702647597E-2</v>
      </c>
      <c r="AH357" s="223">
        <v>0.45307834042823603</v>
      </c>
      <c r="AI357" s="223">
        <v>0.32841984878327701</v>
      </c>
      <c r="AJ357" s="167">
        <v>0.498818737270876</v>
      </c>
      <c r="AK357" s="224">
        <v>0.28096130346232201</v>
      </c>
      <c r="AL357" s="224">
        <v>4.4969450101833001E-2</v>
      </c>
      <c r="AM357" s="82">
        <v>0</v>
      </c>
      <c r="AN357" s="264">
        <v>5.3639999999999999</v>
      </c>
    </row>
    <row r="358" spans="1:40" s="167" customFormat="1" ht="13.5" customHeight="1">
      <c r="A358" s="186">
        <v>43699</v>
      </c>
      <c r="B358" s="232" t="s">
        <v>41</v>
      </c>
      <c r="C358" s="188">
        <v>15018</v>
      </c>
      <c r="D358" s="188">
        <v>60332</v>
      </c>
      <c r="E358" s="189">
        <v>4.0173125582634199</v>
      </c>
      <c r="F358" s="167">
        <v>0.60621863889809702</v>
      </c>
      <c r="G358" s="190">
        <v>15.67</v>
      </c>
      <c r="H358" s="190">
        <v>23.77</v>
      </c>
      <c r="I358" s="219">
        <v>0.28100000000000003</v>
      </c>
      <c r="J358" s="219">
        <v>0.13100000000000001</v>
      </c>
      <c r="K358" s="219">
        <v>6.7000000000000004E-2</v>
      </c>
      <c r="L358" s="167">
        <v>8.0659517337399702</v>
      </c>
      <c r="M358" s="220">
        <v>8.9639660544984405</v>
      </c>
      <c r="N358" s="167">
        <v>14.985978718687701</v>
      </c>
      <c r="O358" s="193">
        <v>0.59815686534509005</v>
      </c>
      <c r="P358" s="167">
        <v>2.2041398802926202</v>
      </c>
      <c r="Q358" s="167">
        <v>3.3710651740190598</v>
      </c>
      <c r="R358" s="167">
        <v>0.80702726668144498</v>
      </c>
      <c r="S358" s="167">
        <v>4.2977998226557297</v>
      </c>
      <c r="T358" s="167">
        <v>1.3281423187763199</v>
      </c>
      <c r="U358" s="167">
        <v>0.53109066725781395</v>
      </c>
      <c r="V358" s="167">
        <v>1.61729660829084</v>
      </c>
      <c r="W358" s="167">
        <v>0.82941698071381098</v>
      </c>
      <c r="X358" s="167">
        <v>2.0420340781011698E-2</v>
      </c>
      <c r="Y358" s="189">
        <v>8.9843863952794507</v>
      </c>
      <c r="Z358" s="207">
        <v>490</v>
      </c>
      <c r="AA358" s="207">
        <v>347</v>
      </c>
      <c r="AB358" s="167">
        <v>3232.1</v>
      </c>
      <c r="AD358" s="195">
        <v>8.1217264469932993E-3</v>
      </c>
      <c r="AE358" s="219">
        <v>5.7515083206258703E-3</v>
      </c>
      <c r="AF358" s="167">
        <v>6.5961224489795898</v>
      </c>
      <c r="AG358" s="222">
        <v>5.3571902141483801E-2</v>
      </c>
      <c r="AH358" s="223">
        <v>0.44420029298175501</v>
      </c>
      <c r="AI358" s="223">
        <v>0.31249167665468103</v>
      </c>
      <c r="AJ358" s="167">
        <v>0.47183915666644599</v>
      </c>
      <c r="AK358" s="224">
        <v>0.28324935357687497</v>
      </c>
      <c r="AL358" s="224">
        <v>4.5166744016442301E-2</v>
      </c>
      <c r="AM358" s="82">
        <v>0</v>
      </c>
      <c r="AN358" s="264">
        <v>6.02</v>
      </c>
    </row>
    <row r="359" spans="1:40" s="167" customFormat="1" ht="13.5" customHeight="1">
      <c r="A359" s="186">
        <v>43700</v>
      </c>
      <c r="B359" s="232" t="s">
        <v>41</v>
      </c>
      <c r="C359" s="188">
        <v>14650</v>
      </c>
      <c r="D359" s="188">
        <v>59429</v>
      </c>
      <c r="E359" s="189">
        <v>4.0565870307167202</v>
      </c>
      <c r="F359" s="167">
        <v>0.56086577886217204</v>
      </c>
      <c r="G359" s="190">
        <v>14.79</v>
      </c>
      <c r="H359" s="190">
        <v>21.86</v>
      </c>
      <c r="I359" s="219">
        <v>0.26700000000000002</v>
      </c>
      <c r="J359" s="219">
        <v>0.13600000000000001</v>
      </c>
      <c r="K359" s="219">
        <v>6.4000000000000001E-2</v>
      </c>
      <c r="L359" s="167">
        <v>8.1065641353547893</v>
      </c>
      <c r="M359" s="220">
        <v>8.8693398845681397</v>
      </c>
      <c r="N359" s="167">
        <v>14.9458700768424</v>
      </c>
      <c r="O359" s="193">
        <v>0.59343081660468799</v>
      </c>
      <c r="P359" s="167">
        <v>2.2185045509966801</v>
      </c>
      <c r="Q359" s="167">
        <v>3.4000907363824502</v>
      </c>
      <c r="R359" s="167">
        <v>0.79658037258627101</v>
      </c>
      <c r="S359" s="167">
        <v>4.2193268494626697</v>
      </c>
      <c r="T359" s="167">
        <v>1.3195054867156299</v>
      </c>
      <c r="U359" s="167">
        <v>0.52570391584200504</v>
      </c>
      <c r="V359" s="167">
        <v>1.6232455269799</v>
      </c>
      <c r="W359" s="167">
        <v>0.84291263787676896</v>
      </c>
      <c r="X359" s="167">
        <v>1.9687358023860398E-2</v>
      </c>
      <c r="Y359" s="189">
        <v>8.8890272425920003</v>
      </c>
      <c r="Z359" s="207">
        <v>473</v>
      </c>
      <c r="AA359" s="207">
        <v>358</v>
      </c>
      <c r="AB359" s="167">
        <v>3104.27</v>
      </c>
      <c r="AD359" s="195">
        <v>7.9590772181931408E-3</v>
      </c>
      <c r="AE359" s="219">
        <v>6.0239950192666897E-3</v>
      </c>
      <c r="AF359" s="167">
        <v>6.5629386892177601</v>
      </c>
      <c r="AG359" s="222">
        <v>5.2234935805751399E-2</v>
      </c>
      <c r="AH359" s="223">
        <v>0.43249146757679202</v>
      </c>
      <c r="AI359" s="223">
        <v>0.30955631399317401</v>
      </c>
      <c r="AJ359" s="167">
        <v>0.463275505224722</v>
      </c>
      <c r="AK359" s="224">
        <v>0.284120547207592</v>
      </c>
      <c r="AL359" s="224">
        <v>4.40189133251443E-2</v>
      </c>
      <c r="AM359" s="82">
        <v>0</v>
      </c>
      <c r="AN359" s="264">
        <v>5.7350000000000003</v>
      </c>
    </row>
    <row r="360" spans="1:40" s="167" customFormat="1" ht="13.5" customHeight="1">
      <c r="A360" s="186">
        <v>43701</v>
      </c>
      <c r="B360" s="232" t="s">
        <v>41</v>
      </c>
      <c r="C360" s="188">
        <v>11692</v>
      </c>
      <c r="D360" s="188">
        <v>55426</v>
      </c>
      <c r="E360" s="189">
        <v>4.74050632911392</v>
      </c>
      <c r="F360" s="167">
        <v>0.80001024838523405</v>
      </c>
      <c r="G360" s="190">
        <v>13.5</v>
      </c>
      <c r="H360" s="190">
        <v>20.09</v>
      </c>
      <c r="I360" s="219">
        <v>0.26500000000000001</v>
      </c>
      <c r="J360" s="219">
        <v>0.13300000000000001</v>
      </c>
      <c r="K360" s="219">
        <v>6.6000000000000003E-2</v>
      </c>
      <c r="L360" s="167">
        <v>10.1718868401111</v>
      </c>
      <c r="M360" s="220">
        <v>12.3146357305236</v>
      </c>
      <c r="N360" s="167">
        <v>20.2543398913914</v>
      </c>
      <c r="O360" s="193">
        <v>0.60799985566340697</v>
      </c>
      <c r="P360" s="167">
        <v>2.6802575744087398</v>
      </c>
      <c r="Q360" s="167">
        <v>4.25816789815722</v>
      </c>
      <c r="R360" s="167">
        <v>1.2909878631413401</v>
      </c>
      <c r="S360" s="167">
        <v>6.7284489153980802</v>
      </c>
      <c r="T360" s="167">
        <v>1.69123712869818</v>
      </c>
      <c r="U360" s="167">
        <v>0.45707587762248097</v>
      </c>
      <c r="V360" s="167">
        <v>2.1972462090863201</v>
      </c>
      <c r="W360" s="167">
        <v>0.95091842487907696</v>
      </c>
      <c r="X360" s="167">
        <v>2.1975246274311699E-2</v>
      </c>
      <c r="Y360" s="189">
        <v>12.3366109767979</v>
      </c>
      <c r="Z360" s="207">
        <v>635</v>
      </c>
      <c r="AA360" s="207">
        <v>421</v>
      </c>
      <c r="AB360" s="167">
        <v>5846.65</v>
      </c>
      <c r="AD360" s="195">
        <v>1.1456717064193701E-2</v>
      </c>
      <c r="AE360" s="219">
        <v>7.5957132031898404E-3</v>
      </c>
      <c r="AF360" s="167">
        <v>9.2073228346456695</v>
      </c>
      <c r="AG360" s="222">
        <v>0.105485692635225</v>
      </c>
      <c r="AH360" s="223">
        <v>0.44414984604857999</v>
      </c>
      <c r="AI360" s="223">
        <v>0.34006158056791003</v>
      </c>
      <c r="AJ360" s="167">
        <v>0.38251001335113499</v>
      </c>
      <c r="AK360" s="224">
        <v>0.25211994370872898</v>
      </c>
      <c r="AL360" s="224">
        <v>4.0414246021722701E-2</v>
      </c>
      <c r="AM360" s="82">
        <v>0.32593006892072302</v>
      </c>
      <c r="AN360" s="264">
        <v>6.0949999999999998</v>
      </c>
    </row>
    <row r="361" spans="1:40" s="167" customFormat="1" ht="13.5" customHeight="1">
      <c r="A361" s="186">
        <v>43702</v>
      </c>
      <c r="B361" s="232" t="s">
        <v>41</v>
      </c>
      <c r="C361" s="188">
        <v>14168</v>
      </c>
      <c r="D361" s="188">
        <v>57604</v>
      </c>
      <c r="E361" s="189">
        <v>4.0657820440429102</v>
      </c>
      <c r="F361" s="167">
        <v>0.715287326019026</v>
      </c>
      <c r="G361" s="190">
        <v>13.57</v>
      </c>
      <c r="H361" s="190">
        <v>20.29</v>
      </c>
      <c r="I361" s="219">
        <v>0.26400000000000001</v>
      </c>
      <c r="J361" s="219">
        <v>0.123</v>
      </c>
      <c r="K361" s="219">
        <v>7.0000000000000007E-2</v>
      </c>
      <c r="L361" s="167">
        <v>9.2969064648288295</v>
      </c>
      <c r="M361" s="220">
        <v>11.523349072981</v>
      </c>
      <c r="N361" s="167">
        <v>19.267684537459001</v>
      </c>
      <c r="O361" s="193">
        <v>0.59806610652038095</v>
      </c>
      <c r="P361" s="167">
        <v>2.5738585237003302</v>
      </c>
      <c r="Q361" s="167">
        <v>4.1845519723665499</v>
      </c>
      <c r="R361" s="167">
        <v>1.25293895677919</v>
      </c>
      <c r="S361" s="167">
        <v>6.2011262372645204</v>
      </c>
      <c r="T361" s="167">
        <v>1.63748512379902</v>
      </c>
      <c r="U361" s="167">
        <v>0.45534237032306801</v>
      </c>
      <c r="V361" s="167">
        <v>2.03851847551595</v>
      </c>
      <c r="W361" s="167">
        <v>0.92386287771037101</v>
      </c>
      <c r="X361" s="167">
        <v>1.6682869245191301E-2</v>
      </c>
      <c r="Y361" s="189">
        <v>11.5400319422262</v>
      </c>
      <c r="Z361" s="207">
        <v>626</v>
      </c>
      <c r="AA361" s="207">
        <v>415</v>
      </c>
      <c r="AB361" s="167">
        <v>4788.74</v>
      </c>
      <c r="AD361" s="195">
        <v>1.08673008818832E-2</v>
      </c>
      <c r="AE361" s="219">
        <v>7.2043608082772003E-3</v>
      </c>
      <c r="AF361" s="167">
        <v>7.6497444089456899</v>
      </c>
      <c r="AG361" s="222">
        <v>8.3132074161516495E-2</v>
      </c>
      <c r="AH361" s="223">
        <v>0.43591191417278402</v>
      </c>
      <c r="AI361" s="223">
        <v>0.29496047430830002</v>
      </c>
      <c r="AJ361" s="167">
        <v>0.382994236511353</v>
      </c>
      <c r="AK361" s="224">
        <v>0.23861190195125301</v>
      </c>
      <c r="AL361" s="224">
        <v>3.8504270536768297E-2</v>
      </c>
      <c r="AM361" s="82">
        <v>0.310047913339351</v>
      </c>
      <c r="AN361" s="264">
        <v>5.7709999999999999</v>
      </c>
    </row>
    <row r="362" spans="1:40" s="167" customFormat="1" ht="13.5" customHeight="1">
      <c r="A362" s="186">
        <v>43703</v>
      </c>
      <c r="B362" s="232" t="s">
        <v>41</v>
      </c>
      <c r="C362" s="188">
        <v>13056</v>
      </c>
      <c r="D362" s="188">
        <v>58241</v>
      </c>
      <c r="E362" s="189">
        <v>4.4608609068627496</v>
      </c>
      <c r="F362" s="167">
        <v>0.70721329791727505</v>
      </c>
      <c r="G362" s="190">
        <v>14.17</v>
      </c>
      <c r="H362" s="190">
        <v>20.5</v>
      </c>
      <c r="I362" s="219">
        <v>0.28199999999999997</v>
      </c>
      <c r="J362" s="219">
        <v>0.13900000000000001</v>
      </c>
      <c r="K362" s="219">
        <v>7.3999999999999996E-2</v>
      </c>
      <c r="L362" s="167">
        <v>9.2132518329012196</v>
      </c>
      <c r="M362" s="220">
        <v>11.540598547415099</v>
      </c>
      <c r="N362" s="167">
        <v>18.9446151244398</v>
      </c>
      <c r="O362" s="193">
        <v>0.60917566662660305</v>
      </c>
      <c r="P362" s="167">
        <v>2.55201668592689</v>
      </c>
      <c r="Q362" s="167">
        <v>4.2093632853237102</v>
      </c>
      <c r="R362" s="167">
        <v>1.1797683136503301</v>
      </c>
      <c r="S362" s="167">
        <v>5.9476873643563799</v>
      </c>
      <c r="T362" s="167">
        <v>1.6340652216804299</v>
      </c>
      <c r="U362" s="167">
        <v>0.46114603004594301</v>
      </c>
      <c r="V362" s="167">
        <v>2.01840525381211</v>
      </c>
      <c r="W362" s="167">
        <v>0.94216296964401502</v>
      </c>
      <c r="X362" s="167">
        <v>1.6260023007846701E-2</v>
      </c>
      <c r="Y362" s="189">
        <v>11.5568585704229</v>
      </c>
      <c r="Z362" s="207">
        <v>595</v>
      </c>
      <c r="AA362" s="207">
        <v>421</v>
      </c>
      <c r="AB362" s="167">
        <v>3975.05</v>
      </c>
      <c r="AD362" s="195">
        <v>1.0216170738826601E-2</v>
      </c>
      <c r="AE362" s="219">
        <v>7.2285846740268904E-3</v>
      </c>
      <c r="AF362" s="167">
        <v>6.6807563025210097</v>
      </c>
      <c r="AG362" s="222">
        <v>6.8251747051046502E-2</v>
      </c>
      <c r="AH362" s="223">
        <v>0.45741421568627399</v>
      </c>
      <c r="AI362" s="223">
        <v>0.32866115196078399</v>
      </c>
      <c r="AJ362" s="167">
        <v>0.39709139609553401</v>
      </c>
      <c r="AK362" s="224">
        <v>0.24776360296011399</v>
      </c>
      <c r="AL362" s="224">
        <v>3.9885990968561699E-2</v>
      </c>
      <c r="AM362" s="82">
        <v>0.30995346920554301</v>
      </c>
      <c r="AN362" s="264">
        <v>5.9180000000000001</v>
      </c>
    </row>
    <row r="363" spans="1:40" s="167" customFormat="1" ht="13.5" customHeight="1">
      <c r="A363" s="186">
        <v>43704</v>
      </c>
      <c r="B363" s="232" t="s">
        <v>41</v>
      </c>
      <c r="C363" s="188">
        <v>14039</v>
      </c>
      <c r="D363" s="188">
        <v>58124</v>
      </c>
      <c r="E363" s="189">
        <v>4.1401809245672796</v>
      </c>
      <c r="F363" s="167">
        <v>0.73218892278576797</v>
      </c>
      <c r="G363" s="190">
        <v>15.94</v>
      </c>
      <c r="H363" s="190">
        <v>23.96</v>
      </c>
      <c r="I363" s="219">
        <v>0.28699999999999998</v>
      </c>
      <c r="J363" s="219">
        <v>0.13900000000000001</v>
      </c>
      <c r="K363" s="219">
        <v>7.3999999999999996E-2</v>
      </c>
      <c r="L363" s="167">
        <v>8.9798190076388398</v>
      </c>
      <c r="M363" s="220">
        <v>10.703186291377101</v>
      </c>
      <c r="N363" s="167">
        <v>17.561383203952001</v>
      </c>
      <c r="O363" s="193">
        <v>0.60947285114582594</v>
      </c>
      <c r="P363" s="167">
        <v>2.4039802399435399</v>
      </c>
      <c r="Q363" s="167">
        <v>3.9336908962597001</v>
      </c>
      <c r="R363" s="167">
        <v>1.08335920959774</v>
      </c>
      <c r="S363" s="167">
        <v>5.3429781227946398</v>
      </c>
      <c r="T363" s="167">
        <v>1.5124347212420599</v>
      </c>
      <c r="U363" s="167">
        <v>0.49434015525758701</v>
      </c>
      <c r="V363" s="167">
        <v>1.8838673253352201</v>
      </c>
      <c r="W363" s="167">
        <v>0.90673253352152405</v>
      </c>
      <c r="X363" s="167">
        <v>1.50540224347946E-2</v>
      </c>
      <c r="Y363" s="189">
        <v>10.718240313811901</v>
      </c>
      <c r="Z363" s="207">
        <v>597</v>
      </c>
      <c r="AA363" s="207">
        <v>417</v>
      </c>
      <c r="AB363" s="167">
        <v>4088.03</v>
      </c>
      <c r="AD363" s="195">
        <v>1.0271144449796999E-2</v>
      </c>
      <c r="AE363" s="219">
        <v>7.1743169774963903E-3</v>
      </c>
      <c r="AF363" s="167">
        <v>6.8476214405360096</v>
      </c>
      <c r="AG363" s="222">
        <v>7.0332908953272294E-2</v>
      </c>
      <c r="AH363" s="223">
        <v>0.452738799059762</v>
      </c>
      <c r="AI363" s="223">
        <v>0.315549540565567</v>
      </c>
      <c r="AJ363" s="167">
        <v>0.434054779437066</v>
      </c>
      <c r="AK363" s="224">
        <v>0.26145826164751201</v>
      </c>
      <c r="AL363" s="224">
        <v>4.4559906406991999E-2</v>
      </c>
      <c r="AM363" s="82">
        <v>0.24907095175831001</v>
      </c>
      <c r="AN363" s="264">
        <v>6.3760000000000003</v>
      </c>
    </row>
    <row r="364" spans="1:40" s="167" customFormat="1" ht="13.5" customHeight="1">
      <c r="A364" s="186">
        <v>43705</v>
      </c>
      <c r="B364" s="232" t="s">
        <v>41</v>
      </c>
      <c r="C364" s="188">
        <v>14352</v>
      </c>
      <c r="D364" s="188">
        <v>57537</v>
      </c>
      <c r="E364" s="189">
        <v>4.0089882943143804</v>
      </c>
      <c r="F364" s="167">
        <v>0.62533750247666697</v>
      </c>
      <c r="G364" s="190">
        <v>16.34</v>
      </c>
      <c r="H364" s="190">
        <v>25.96</v>
      </c>
      <c r="I364" s="219">
        <v>0.28499999999999998</v>
      </c>
      <c r="J364" s="219">
        <v>0.128</v>
      </c>
      <c r="K364" s="219">
        <v>6.3E-2</v>
      </c>
      <c r="L364" s="167">
        <v>7.9894328866642299</v>
      </c>
      <c r="M364" s="220">
        <v>9.0983541025774706</v>
      </c>
      <c r="N364" s="167">
        <v>15.2514858408111</v>
      </c>
      <c r="O364" s="193">
        <v>0.59655526009350501</v>
      </c>
      <c r="P364" s="167">
        <v>2.1917317328982602</v>
      </c>
      <c r="Q364" s="167">
        <v>3.4319426640251698</v>
      </c>
      <c r="R364" s="167">
        <v>0.84529775084489001</v>
      </c>
      <c r="S364" s="167">
        <v>4.4507341801654796</v>
      </c>
      <c r="T364" s="167">
        <v>1.3264771005710301</v>
      </c>
      <c r="U364" s="167">
        <v>0.52683253700035004</v>
      </c>
      <c r="V364" s="167">
        <v>1.64124227945461</v>
      </c>
      <c r="W364" s="167">
        <v>0.83722759585129902</v>
      </c>
      <c r="X364" s="167">
        <v>1.47731025253315E-2</v>
      </c>
      <c r="Y364" s="189">
        <v>9.1131272051027992</v>
      </c>
      <c r="Z364" s="207">
        <v>507</v>
      </c>
      <c r="AA364" s="207">
        <v>350</v>
      </c>
      <c r="AB364" s="167">
        <v>3198.93</v>
      </c>
      <c r="AD364" s="195">
        <v>8.8117211533448002E-3</v>
      </c>
      <c r="AE364" s="219">
        <v>6.08304221631298E-3</v>
      </c>
      <c r="AF364" s="167">
        <v>6.3095266272189301</v>
      </c>
      <c r="AG364" s="222">
        <v>5.5597789248657402E-2</v>
      </c>
      <c r="AH364" s="223">
        <v>0.44613991081382398</v>
      </c>
      <c r="AI364" s="223">
        <v>0.31075808249721298</v>
      </c>
      <c r="AJ364" s="167">
        <v>0.485322488138068</v>
      </c>
      <c r="AK364" s="224">
        <v>0.280758468463771</v>
      </c>
      <c r="AL364" s="224">
        <v>4.6717764221283702E-2</v>
      </c>
      <c r="AM364" s="82">
        <v>0</v>
      </c>
      <c r="AN364" s="264">
        <v>6.4240000000000004</v>
      </c>
    </row>
    <row r="365" spans="1:40" s="167" customFormat="1" ht="13.95" customHeight="1">
      <c r="A365" s="186">
        <v>43706</v>
      </c>
      <c r="B365" s="232" t="s">
        <v>41</v>
      </c>
      <c r="C365" s="188">
        <v>11364</v>
      </c>
      <c r="D365" s="188">
        <v>53693</v>
      </c>
      <c r="E365" s="189">
        <v>4.7248328053502302</v>
      </c>
      <c r="F365" s="167">
        <v>0.64947753763060401</v>
      </c>
      <c r="G365" s="190">
        <v>16.03</v>
      </c>
      <c r="H365" s="190">
        <v>24.53</v>
      </c>
      <c r="I365" s="219">
        <v>0.27600000000000002</v>
      </c>
      <c r="J365" s="219">
        <v>0.13500000000000001</v>
      </c>
      <c r="K365" s="219">
        <v>6.8000000000000005E-2</v>
      </c>
      <c r="L365" s="167">
        <v>8.1078166613897498</v>
      </c>
      <c r="M365" s="220">
        <v>9.2114055835956297</v>
      </c>
      <c r="N365" s="167">
        <v>15.2655328868175</v>
      </c>
      <c r="O365" s="193">
        <v>0.60341199038980897</v>
      </c>
      <c r="P365" s="167">
        <v>2.2293897959813598</v>
      </c>
      <c r="Q365" s="167">
        <v>3.4173276952992402</v>
      </c>
      <c r="R365" s="167">
        <v>0.84471742955029505</v>
      </c>
      <c r="S365" s="167">
        <v>4.37775857279546</v>
      </c>
      <c r="T365" s="167">
        <v>1.3512454088089101</v>
      </c>
      <c r="U365" s="167">
        <v>0.52331862094509096</v>
      </c>
      <c r="V365" s="167">
        <v>1.6632612117658001</v>
      </c>
      <c r="W365" s="167">
        <v>0.85851415167134804</v>
      </c>
      <c r="X365" s="167">
        <v>1.4210418490306E-2</v>
      </c>
      <c r="Y365" s="189">
        <v>9.2256160020859301</v>
      </c>
      <c r="Z365" s="207">
        <v>469</v>
      </c>
      <c r="AA365" s="207">
        <v>335</v>
      </c>
      <c r="AB365" s="167">
        <v>3565.31</v>
      </c>
      <c r="AD365" s="195">
        <v>8.7348443931238706E-3</v>
      </c>
      <c r="AE365" s="219">
        <v>6.2391745665170504E-3</v>
      </c>
      <c r="AF365" s="167">
        <v>7.6019402985074596</v>
      </c>
      <c r="AG365" s="222">
        <v>6.6401765593280301E-2</v>
      </c>
      <c r="AH365" s="223">
        <v>0.46356916578669499</v>
      </c>
      <c r="AI365" s="223">
        <v>0.35374868004223903</v>
      </c>
      <c r="AJ365" s="167">
        <v>0.49179595105507201</v>
      </c>
      <c r="AK365" s="224">
        <v>0.29327845342968401</v>
      </c>
      <c r="AL365" s="224">
        <v>4.7641219525822703E-2</v>
      </c>
      <c r="AM365" s="82">
        <v>0</v>
      </c>
      <c r="AN365" s="264">
        <v>5.2060000000000004</v>
      </c>
    </row>
    <row r="366" spans="1:40" s="167" customFormat="1" ht="13.5" customHeight="1">
      <c r="A366" s="186">
        <v>43707</v>
      </c>
      <c r="B366" s="232" t="s">
        <v>41</v>
      </c>
      <c r="C366" s="188">
        <v>10689</v>
      </c>
      <c r="D366" s="188">
        <v>51570</v>
      </c>
      <c r="E366" s="189">
        <v>4.8245860230143096</v>
      </c>
      <c r="F366" s="167">
        <v>0.55554938353693994</v>
      </c>
      <c r="G366" s="190">
        <v>14.5</v>
      </c>
      <c r="H366" s="190">
        <v>21.27</v>
      </c>
      <c r="I366" s="219">
        <v>0.26200000000000001</v>
      </c>
      <c r="J366" s="219">
        <v>0.13</v>
      </c>
      <c r="K366" s="219">
        <v>6.3E-2</v>
      </c>
      <c r="L366" s="167">
        <v>7.7420787279425998</v>
      </c>
      <c r="M366" s="220">
        <v>8.8047896063602895</v>
      </c>
      <c r="N366" s="167">
        <v>14.762435789063</v>
      </c>
      <c r="O366" s="193">
        <v>0.59643203412836898</v>
      </c>
      <c r="P366" s="167">
        <v>2.21587879576045</v>
      </c>
      <c r="Q366" s="167">
        <v>3.2523896222121098</v>
      </c>
      <c r="R366" s="167">
        <v>0.80922036543338305</v>
      </c>
      <c r="S366" s="167">
        <v>4.23701150920086</v>
      </c>
      <c r="T366" s="167">
        <v>1.3233630275050401</v>
      </c>
      <c r="U366" s="167">
        <v>0.50725014630340104</v>
      </c>
      <c r="V366" s="167">
        <v>1.5875219455101099</v>
      </c>
      <c r="W366" s="167">
        <v>0.82980037713765498</v>
      </c>
      <c r="X366" s="167">
        <v>1.3399263137483E-2</v>
      </c>
      <c r="Y366" s="189">
        <v>8.8181888694977708</v>
      </c>
      <c r="Z366" s="207">
        <v>435</v>
      </c>
      <c r="AA366" s="207">
        <v>305</v>
      </c>
      <c r="AB366" s="167">
        <v>2860.65</v>
      </c>
      <c r="AD366" s="195">
        <v>8.4351367073880208E-3</v>
      </c>
      <c r="AE366" s="219">
        <v>5.9142912546053901E-3</v>
      </c>
      <c r="AF366" s="167">
        <v>6.57620689655172</v>
      </c>
      <c r="AG366" s="222">
        <v>5.5471204188481699E-2</v>
      </c>
      <c r="AH366" s="223">
        <v>0.42744877911871998</v>
      </c>
      <c r="AI366" s="223">
        <v>0.31518383384788101</v>
      </c>
      <c r="AJ366" s="167">
        <v>0.46986620127981399</v>
      </c>
      <c r="AK366" s="224">
        <v>0.29666472755478002</v>
      </c>
      <c r="AL366" s="224">
        <v>4.8458406050029101E-2</v>
      </c>
      <c r="AM366" s="82">
        <v>0</v>
      </c>
      <c r="AN366" s="264">
        <v>5.75</v>
      </c>
    </row>
    <row r="367" spans="1:40" s="167" customFormat="1" ht="13.5" customHeight="1">
      <c r="A367" s="186">
        <v>43708</v>
      </c>
      <c r="B367" s="232" t="s">
        <v>41</v>
      </c>
      <c r="C367" s="188">
        <v>8777</v>
      </c>
      <c r="D367" s="188">
        <v>48530</v>
      </c>
      <c r="E367" s="189">
        <v>5.5292241084653098</v>
      </c>
      <c r="F367" s="167">
        <v>0.80821636591798895</v>
      </c>
      <c r="G367" s="190">
        <v>12.98</v>
      </c>
      <c r="H367" s="190">
        <v>19.510000000000002</v>
      </c>
      <c r="I367" s="219">
        <v>0.27600000000000002</v>
      </c>
      <c r="J367" s="219">
        <v>0.14199999999999999</v>
      </c>
      <c r="K367" s="219">
        <v>7.0999999999999994E-2</v>
      </c>
      <c r="L367" s="167">
        <v>10.109416855553301</v>
      </c>
      <c r="M367" s="220">
        <v>12.6615701627859</v>
      </c>
      <c r="N367" s="167">
        <v>20.445398283090402</v>
      </c>
      <c r="O367" s="193">
        <v>0.61928703894498205</v>
      </c>
      <c r="P367" s="167">
        <v>2.7345444865908002</v>
      </c>
      <c r="Q367" s="167">
        <v>4.0764956411792097</v>
      </c>
      <c r="R367" s="167">
        <v>1.25500765289146</v>
      </c>
      <c r="S367" s="167">
        <v>7.0614227723431204</v>
      </c>
      <c r="T367" s="167">
        <v>1.75158048845412</v>
      </c>
      <c r="U367" s="167">
        <v>0.436248086777135</v>
      </c>
      <c r="V367" s="167">
        <v>2.1964796699274598</v>
      </c>
      <c r="W367" s="167">
        <v>0.93361948492713098</v>
      </c>
      <c r="X367" s="167">
        <v>1.5701627859056301E-2</v>
      </c>
      <c r="Y367" s="189">
        <v>12.677271790644999</v>
      </c>
      <c r="Z367" s="207">
        <v>631</v>
      </c>
      <c r="AA367" s="207">
        <v>411</v>
      </c>
      <c r="AB367" s="167">
        <v>5383.69</v>
      </c>
      <c r="AD367" s="195">
        <v>1.30022666391923E-2</v>
      </c>
      <c r="AE367" s="219">
        <v>8.4689882546878197E-3</v>
      </c>
      <c r="AF367" s="167">
        <v>8.5319968304278895</v>
      </c>
      <c r="AG367" s="222">
        <v>0.110935297753967</v>
      </c>
      <c r="AH367" s="223">
        <v>0.48034635980403301</v>
      </c>
      <c r="AI367" s="223">
        <v>0.34738521134784101</v>
      </c>
      <c r="AJ367" s="167">
        <v>0.38079538429837201</v>
      </c>
      <c r="AK367" s="224">
        <v>0.26189985575932401</v>
      </c>
      <c r="AL367" s="224">
        <v>4.2633422625180301E-2</v>
      </c>
      <c r="AM367" s="82">
        <v>0.335318359777457</v>
      </c>
      <c r="AN367" s="264">
        <v>5.4560000000000004</v>
      </c>
    </row>
    <row r="368" spans="1:40" s="167" customFormat="1" ht="13.5" customHeight="1">
      <c r="A368" s="186">
        <v>43709</v>
      </c>
      <c r="B368" s="232" t="s">
        <v>41</v>
      </c>
      <c r="C368" s="188">
        <v>9696</v>
      </c>
      <c r="D368" s="188">
        <v>49353</v>
      </c>
      <c r="E368" s="189">
        <v>5.0900371287128703</v>
      </c>
      <c r="F368" s="167">
        <v>0.75212587459728897</v>
      </c>
      <c r="G368" s="190">
        <v>13.39</v>
      </c>
      <c r="H368" s="190">
        <v>20.67</v>
      </c>
      <c r="I368" s="219">
        <v>0.28100000000000003</v>
      </c>
      <c r="J368" s="219">
        <v>0.13500000000000001</v>
      </c>
      <c r="K368" s="219">
        <v>7.6999999999999999E-2</v>
      </c>
      <c r="L368" s="167">
        <v>9.2707231576601199</v>
      </c>
      <c r="M368" s="220">
        <v>11.9856746297084</v>
      </c>
      <c r="N368" s="167">
        <v>19.517900155079701</v>
      </c>
      <c r="O368" s="193">
        <v>0.614086276416834</v>
      </c>
      <c r="P368" s="167">
        <v>2.6448345266770099</v>
      </c>
      <c r="Q368" s="167">
        <v>4.1730953245124898</v>
      </c>
      <c r="R368" s="167">
        <v>1.17312832019006</v>
      </c>
      <c r="S368" s="167">
        <v>6.3319365163163601</v>
      </c>
      <c r="T368" s="167">
        <v>1.7144884020193401</v>
      </c>
      <c r="U368" s="167">
        <v>0.44547464282179</v>
      </c>
      <c r="V368" s="167">
        <v>2.0776388293133601</v>
      </c>
      <c r="W368" s="167">
        <v>0.95730359322928704</v>
      </c>
      <c r="X368" s="167">
        <v>1.5156120195327499E-2</v>
      </c>
      <c r="Y368" s="189">
        <v>12.0008307499038</v>
      </c>
      <c r="Z368" s="207">
        <v>610</v>
      </c>
      <c r="AA368" s="207">
        <v>409</v>
      </c>
      <c r="AB368" s="167">
        <v>4432.8999999999996</v>
      </c>
      <c r="AD368" s="195">
        <v>1.23599375924463E-2</v>
      </c>
      <c r="AE368" s="219">
        <v>8.2872368447713396E-3</v>
      </c>
      <c r="AF368" s="167">
        <v>7.2670491803278701</v>
      </c>
      <c r="AG368" s="222">
        <v>8.9820274350090198E-2</v>
      </c>
      <c r="AH368" s="223">
        <v>0.47009075907590803</v>
      </c>
      <c r="AI368" s="223">
        <v>0.31910066006600701</v>
      </c>
      <c r="AJ368" s="167">
        <v>0.37894352926873698</v>
      </c>
      <c r="AK368" s="224">
        <v>0.252142726885904</v>
      </c>
      <c r="AL368" s="224">
        <v>4.2125098778189797E-2</v>
      </c>
      <c r="AM368" s="82">
        <v>0.32445849289810103</v>
      </c>
      <c r="AN368" s="264">
        <v>6.5949999999999998</v>
      </c>
    </row>
    <row r="369" spans="1:40" s="167" customFormat="1" ht="13.5" customHeight="1">
      <c r="A369" s="186">
        <v>43710</v>
      </c>
      <c r="B369" s="232" t="s">
        <v>41</v>
      </c>
      <c r="C369" s="188">
        <v>12331</v>
      </c>
      <c r="D369" s="188">
        <v>52584</v>
      </c>
      <c r="E369" s="189">
        <v>4.2643743410915604</v>
      </c>
      <c r="F369" s="167">
        <v>0.76820569528754001</v>
      </c>
      <c r="G369" s="190">
        <v>14.45</v>
      </c>
      <c r="H369" s="190">
        <v>21.32</v>
      </c>
      <c r="I369" s="219">
        <v>0.28699999999999998</v>
      </c>
      <c r="J369" s="219">
        <v>0.13700000000000001</v>
      </c>
      <c r="K369" s="219">
        <v>7.9000000000000001E-2</v>
      </c>
      <c r="L369" s="167">
        <v>9.0998212383995103</v>
      </c>
      <c r="M369" s="220">
        <v>11.3863342461585</v>
      </c>
      <c r="N369" s="167">
        <v>18.712932866608298</v>
      </c>
      <c r="O369" s="193">
        <v>0.60847406055073805</v>
      </c>
      <c r="P369" s="167">
        <v>2.5874171771471399</v>
      </c>
      <c r="Q369" s="167">
        <v>4.07057132141518</v>
      </c>
      <c r="R369" s="167">
        <v>1.1238904863107899</v>
      </c>
      <c r="S369" s="167">
        <v>5.8665458182272801</v>
      </c>
      <c r="T369" s="167">
        <v>1.66511438929866</v>
      </c>
      <c r="U369" s="167">
        <v>0.45233779222402798</v>
      </c>
      <c r="V369" s="167">
        <v>2.0098449806225802</v>
      </c>
      <c r="W369" s="167">
        <v>0.93721090136267005</v>
      </c>
      <c r="X369" s="167">
        <v>1.14483493077742E-2</v>
      </c>
      <c r="Y369" s="189">
        <v>11.3977825954663</v>
      </c>
      <c r="Z369" s="207">
        <v>649</v>
      </c>
      <c r="AA369" s="207">
        <v>446</v>
      </c>
      <c r="AB369" s="167">
        <v>4973.51</v>
      </c>
      <c r="AD369" s="195">
        <v>1.23421573102084E-2</v>
      </c>
      <c r="AE369" s="219">
        <v>8.4816674273543308E-3</v>
      </c>
      <c r="AF369" s="167">
        <v>7.6633436055469897</v>
      </c>
      <c r="AG369" s="222">
        <v>9.4582192301840798E-2</v>
      </c>
      <c r="AH369" s="223">
        <v>0.43297380585516199</v>
      </c>
      <c r="AI369" s="223">
        <v>0.29178493228448599</v>
      </c>
      <c r="AJ369" s="167">
        <v>0.39046097672295799</v>
      </c>
      <c r="AK369" s="224">
        <v>0.248155332420508</v>
      </c>
      <c r="AL369" s="224">
        <v>4.2769663776053603E-2</v>
      </c>
      <c r="AM369" s="82">
        <v>0.30471246006389802</v>
      </c>
      <c r="AN369" s="264">
        <v>6.452</v>
      </c>
    </row>
    <row r="370" spans="1:40" s="167" customFormat="1" ht="13.5" customHeight="1">
      <c r="A370" s="186">
        <v>43711</v>
      </c>
      <c r="B370" s="232" t="s">
        <v>41</v>
      </c>
      <c r="C370" s="188">
        <v>10905</v>
      </c>
      <c r="D370" s="188">
        <v>51813</v>
      </c>
      <c r="E370" s="189">
        <v>4.75130674002751</v>
      </c>
      <c r="F370" s="167">
        <v>0.77286317179086295</v>
      </c>
      <c r="G370" s="190">
        <v>16.100000000000001</v>
      </c>
      <c r="H370" s="190">
        <v>24.25</v>
      </c>
      <c r="I370" s="219">
        <v>0.28599999999999998</v>
      </c>
      <c r="J370" s="219">
        <v>0.14399999999999999</v>
      </c>
      <c r="K370" s="219">
        <v>0.08</v>
      </c>
      <c r="L370" s="167">
        <v>8.8552486827630101</v>
      </c>
      <c r="M370" s="220">
        <v>10.2013973327157</v>
      </c>
      <c r="N370" s="167">
        <v>17.002219505918699</v>
      </c>
      <c r="O370" s="193">
        <v>0.60000386003512596</v>
      </c>
      <c r="P370" s="167">
        <v>2.3939783839423598</v>
      </c>
      <c r="Q370" s="167">
        <v>3.75945702521873</v>
      </c>
      <c r="R370" s="167">
        <v>0.96503474009264001</v>
      </c>
      <c r="S370" s="167">
        <v>5.1451042202779202</v>
      </c>
      <c r="T370" s="167">
        <v>1.52698790530108</v>
      </c>
      <c r="U370" s="167">
        <v>0.46059572825527501</v>
      </c>
      <c r="V370" s="167">
        <v>1.8605571281523401</v>
      </c>
      <c r="W370" s="167">
        <v>0.89050437467833199</v>
      </c>
      <c r="X370" s="167">
        <v>1.23135120529597E-2</v>
      </c>
      <c r="Y370" s="189">
        <v>10.2137108447687</v>
      </c>
      <c r="Z370" s="207">
        <v>608</v>
      </c>
      <c r="AA370" s="207">
        <v>379</v>
      </c>
      <c r="AB370" s="167">
        <v>5132.92</v>
      </c>
      <c r="AD370" s="195">
        <v>1.17345067840117E-2</v>
      </c>
      <c r="AE370" s="219">
        <v>7.31476656437574E-3</v>
      </c>
      <c r="AF370" s="167">
        <v>8.4423026315789507</v>
      </c>
      <c r="AG370" s="222">
        <v>9.9066257502943303E-2</v>
      </c>
      <c r="AH370" s="223">
        <v>0.46079779917468999</v>
      </c>
      <c r="AI370" s="223">
        <v>0.32407152682255802</v>
      </c>
      <c r="AJ370" s="167">
        <v>0.418678709976261</v>
      </c>
      <c r="AK370" s="224">
        <v>0.26821454075232098</v>
      </c>
      <c r="AL370" s="224">
        <v>4.68222260822573E-2</v>
      </c>
      <c r="AM370" s="82">
        <v>0.25785034643815302</v>
      </c>
      <c r="AN370" s="264">
        <v>5.94</v>
      </c>
    </row>
    <row r="371" spans="1:40" s="167" customFormat="1" ht="13.5" customHeight="1">
      <c r="A371" s="186">
        <v>43712</v>
      </c>
      <c r="B371" s="232" t="s">
        <v>41</v>
      </c>
      <c r="C371" s="188">
        <v>11371</v>
      </c>
      <c r="D371" s="188">
        <v>49931</v>
      </c>
      <c r="E371" s="189">
        <v>4.3910825784891401</v>
      </c>
      <c r="F371" s="167">
        <v>0.76625057539404395</v>
      </c>
      <c r="G371" s="190">
        <v>18.809999999999999</v>
      </c>
      <c r="H371" s="190">
        <v>27.67</v>
      </c>
      <c r="I371" s="219">
        <v>0.29699999999999999</v>
      </c>
      <c r="J371" s="219">
        <v>0.14499999999999999</v>
      </c>
      <c r="K371" s="219">
        <v>7.8E-2</v>
      </c>
      <c r="L371" s="167">
        <v>7.9261380705373403</v>
      </c>
      <c r="M371" s="220">
        <v>9.1406741302998107</v>
      </c>
      <c r="N371" s="167">
        <v>15.277087866108801</v>
      </c>
      <c r="O371" s="193">
        <v>0.59832568945144304</v>
      </c>
      <c r="P371" s="167">
        <v>2.2487364016736402</v>
      </c>
      <c r="Q371" s="167">
        <v>3.3533054393305401</v>
      </c>
      <c r="R371" s="167">
        <v>0.84558995815899596</v>
      </c>
      <c r="S371" s="167">
        <v>4.4065271966527204</v>
      </c>
      <c r="T371" s="167">
        <v>1.3613054393305399</v>
      </c>
      <c r="U371" s="167">
        <v>0.526125523012552</v>
      </c>
      <c r="V371" s="167">
        <v>1.66286192468619</v>
      </c>
      <c r="W371" s="167">
        <v>0.84140585774058596</v>
      </c>
      <c r="X371" s="167">
        <v>1.0073901984738899E-2</v>
      </c>
      <c r="Y371" s="189">
        <v>9.1507480322845502</v>
      </c>
      <c r="Z371" s="207">
        <v>486</v>
      </c>
      <c r="AA371" s="207">
        <v>305</v>
      </c>
      <c r="AB371" s="167">
        <v>4044.14</v>
      </c>
      <c r="AD371" s="195">
        <v>9.7334321363481604E-3</v>
      </c>
      <c r="AE371" s="219">
        <v>6.1084296328933899E-3</v>
      </c>
      <c r="AF371" s="167">
        <v>8.3212757201646106</v>
      </c>
      <c r="AG371" s="222">
        <v>8.0994572510063895E-2</v>
      </c>
      <c r="AH371" s="223">
        <v>0.44463987336206101</v>
      </c>
      <c r="AI371" s="223">
        <v>0.30287573652273297</v>
      </c>
      <c r="AJ371" s="167">
        <v>0.48542989325268898</v>
      </c>
      <c r="AK371" s="224">
        <v>0.28505337365564498</v>
      </c>
      <c r="AL371" s="224">
        <v>5.0990366706054398E-2</v>
      </c>
      <c r="AM371" s="82">
        <v>0</v>
      </c>
      <c r="AN371" s="264">
        <v>6.6509999999999998</v>
      </c>
    </row>
    <row r="372" spans="1:40" s="167" customFormat="1" ht="13.5" customHeight="1">
      <c r="A372" s="186">
        <v>43713</v>
      </c>
      <c r="B372" s="232" t="s">
        <v>41</v>
      </c>
      <c r="C372" s="188">
        <v>7812</v>
      </c>
      <c r="D372" s="188">
        <v>45987</v>
      </c>
      <c r="E372" s="189">
        <v>5.8867127496159801</v>
      </c>
      <c r="F372" s="167">
        <v>0.70570293404657802</v>
      </c>
      <c r="G372" s="190">
        <v>17.940000000000001</v>
      </c>
      <c r="H372" s="190">
        <v>26.81</v>
      </c>
      <c r="I372" s="219">
        <v>0.31</v>
      </c>
      <c r="J372" s="219">
        <v>0.14899999999999999</v>
      </c>
      <c r="K372" s="219">
        <v>8.4000000000000005E-2</v>
      </c>
      <c r="L372" s="167">
        <v>7.9675560484484702</v>
      </c>
      <c r="M372" s="220">
        <v>9.5054254463217909</v>
      </c>
      <c r="N372" s="167">
        <v>15.4009794595356</v>
      </c>
      <c r="O372" s="193">
        <v>0.617196164133342</v>
      </c>
      <c r="P372" s="167">
        <v>2.2753056407004202</v>
      </c>
      <c r="Q372" s="167">
        <v>3.43194870168763</v>
      </c>
      <c r="R372" s="167">
        <v>0.83624000281858801</v>
      </c>
      <c r="S372" s="167">
        <v>4.42176655039989</v>
      </c>
      <c r="T372" s="167">
        <v>1.3989712151640099</v>
      </c>
      <c r="U372" s="167">
        <v>0.52126272768910997</v>
      </c>
      <c r="V372" s="167">
        <v>1.6761089384490699</v>
      </c>
      <c r="W372" s="167">
        <v>0.83937568262692497</v>
      </c>
      <c r="X372" s="167">
        <v>1.0676930436862599E-2</v>
      </c>
      <c r="Y372" s="189">
        <v>9.5161023767586492</v>
      </c>
      <c r="Z372" s="207">
        <v>431</v>
      </c>
      <c r="AA372" s="207">
        <v>307</v>
      </c>
      <c r="AB372" s="167">
        <v>2708.69</v>
      </c>
      <c r="AD372" s="195">
        <v>9.3722138865331497E-3</v>
      </c>
      <c r="AE372" s="219">
        <v>6.6757996825189698E-3</v>
      </c>
      <c r="AF372" s="167">
        <v>6.28466357308585</v>
      </c>
      <c r="AG372" s="222">
        <v>5.8901211211864202E-2</v>
      </c>
      <c r="AH372" s="223">
        <v>0.50627240143369201</v>
      </c>
      <c r="AI372" s="223">
        <v>0.40821812596006102</v>
      </c>
      <c r="AJ372" s="167">
        <v>0.49531389305673301</v>
      </c>
      <c r="AK372" s="224">
        <v>0.30854371887707399</v>
      </c>
      <c r="AL372" s="224">
        <v>5.3362906908474103E-2</v>
      </c>
      <c r="AM372" s="82">
        <v>0</v>
      </c>
      <c r="AN372" s="264">
        <v>6.9459999999999997</v>
      </c>
    </row>
    <row r="373" spans="1:40" s="167" customFormat="1" ht="13.5" customHeight="1">
      <c r="A373" s="186">
        <v>43714</v>
      </c>
      <c r="B373" s="232" t="s">
        <v>41</v>
      </c>
      <c r="C373" s="188">
        <v>6420</v>
      </c>
      <c r="D373" s="188">
        <v>43574</v>
      </c>
      <c r="E373" s="189">
        <v>6.7872274143302196</v>
      </c>
      <c r="F373" s="167">
        <v>0.62031905253132602</v>
      </c>
      <c r="G373" s="190">
        <v>15.73</v>
      </c>
      <c r="H373" s="190">
        <v>23.67</v>
      </c>
      <c r="I373" s="219">
        <v>0.29499999999999998</v>
      </c>
      <c r="J373" s="219">
        <v>0.153</v>
      </c>
      <c r="K373" s="219"/>
      <c r="L373" s="167">
        <v>7.6905035112681901</v>
      </c>
      <c r="M373" s="220">
        <v>9.1897691283793108</v>
      </c>
      <c r="N373" s="167">
        <v>15.0020605424846</v>
      </c>
      <c r="O373" s="193">
        <v>0.61256712718593698</v>
      </c>
      <c r="P373" s="167">
        <v>2.2507867525850398</v>
      </c>
      <c r="Q373" s="167">
        <v>3.3558744193016601</v>
      </c>
      <c r="R373" s="167">
        <v>0.81998351566012295</v>
      </c>
      <c r="S373" s="167">
        <v>4.2287951446126204</v>
      </c>
      <c r="T373" s="167">
        <v>1.3898921025026201</v>
      </c>
      <c r="U373" s="167">
        <v>0.51210100404615599</v>
      </c>
      <c r="V373" s="167">
        <v>1.6168889554922801</v>
      </c>
      <c r="W373" s="167">
        <v>0.82773864828413002</v>
      </c>
      <c r="X373" s="167">
        <v>9.9600679304172202E-3</v>
      </c>
      <c r="Y373" s="189">
        <v>9.1997291963097307</v>
      </c>
      <c r="Z373" s="207">
        <v>408</v>
      </c>
      <c r="AA373" s="207">
        <v>293</v>
      </c>
      <c r="AB373" s="167">
        <v>2496.92</v>
      </c>
      <c r="AD373" s="195">
        <v>9.3633818332032898E-3</v>
      </c>
      <c r="AE373" s="219">
        <v>6.7241933262955E-3</v>
      </c>
      <c r="AF373" s="167">
        <v>6.1199019607843104</v>
      </c>
      <c r="AG373" s="222">
        <v>5.7302978840593002E-2</v>
      </c>
      <c r="AH373" s="223">
        <v>0.48707165109034301</v>
      </c>
      <c r="AI373" s="223">
        <v>0.39345794392523398</v>
      </c>
      <c r="AJ373" s="167">
        <v>0.48551888740992299</v>
      </c>
      <c r="AK373" s="224">
        <v>0.31571579382200399</v>
      </c>
      <c r="AL373" s="224">
        <v>5.45049800339652E-2</v>
      </c>
      <c r="AM373" s="82">
        <v>0</v>
      </c>
      <c r="AN373" s="264">
        <v>5.3440000000000003</v>
      </c>
    </row>
    <row r="374" spans="1:40" s="167" customFormat="1" ht="13.5" customHeight="1">
      <c r="A374" s="186">
        <v>43715</v>
      </c>
      <c r="B374" s="232" t="s">
        <v>41</v>
      </c>
      <c r="C374" s="188">
        <v>6505</v>
      </c>
      <c r="D374" s="188">
        <v>42603</v>
      </c>
      <c r="E374" s="189">
        <v>6.5492697924673298</v>
      </c>
      <c r="F374" s="167">
        <v>0.85315535863671599</v>
      </c>
      <c r="G374" s="190">
        <v>13.68</v>
      </c>
      <c r="H374" s="190">
        <v>20.38</v>
      </c>
      <c r="I374" s="219">
        <v>0.28599999999999998</v>
      </c>
      <c r="J374" s="219">
        <v>0.14899999999999999</v>
      </c>
      <c r="K374" s="219"/>
      <c r="L374" s="167">
        <v>10.2835715794662</v>
      </c>
      <c r="M374" s="220">
        <v>13.229725606178</v>
      </c>
      <c r="N374" s="167">
        <v>21.057535679593499</v>
      </c>
      <c r="O374" s="193">
        <v>0.62826561509752799</v>
      </c>
      <c r="P374" s="167">
        <v>2.7519988044534101</v>
      </c>
      <c r="Q374" s="167">
        <v>4.06911753717403</v>
      </c>
      <c r="R374" s="167">
        <v>1.3257117238287399</v>
      </c>
      <c r="S374" s="167">
        <v>7.4872225958305298</v>
      </c>
      <c r="T374" s="167">
        <v>1.78801464544571</v>
      </c>
      <c r="U374" s="167">
        <v>0.43039677202421001</v>
      </c>
      <c r="V374" s="167">
        <v>2.2697825599641299</v>
      </c>
      <c r="W374" s="167">
        <v>0.93529104087274895</v>
      </c>
      <c r="X374" s="167">
        <v>1.15719550266413E-2</v>
      </c>
      <c r="Y374" s="189">
        <v>13.2412975612046</v>
      </c>
      <c r="Z374" s="207">
        <v>624</v>
      </c>
      <c r="AA374" s="207">
        <v>425</v>
      </c>
      <c r="AB374" s="167">
        <v>4719.76</v>
      </c>
      <c r="AD374" s="195">
        <v>1.46468558552215E-2</v>
      </c>
      <c r="AE374" s="219">
        <v>9.9758232988287204E-3</v>
      </c>
      <c r="AF374" s="167">
        <v>7.56371794871795</v>
      </c>
      <c r="AG374" s="222">
        <v>0.110784686524423</v>
      </c>
      <c r="AH374" s="223">
        <v>0.48670253651037698</v>
      </c>
      <c r="AI374" s="223">
        <v>0.35388162951575702</v>
      </c>
      <c r="AJ374" s="167">
        <v>0.38131117526934699</v>
      </c>
      <c r="AK374" s="224">
        <v>0.27153017393141299</v>
      </c>
      <c r="AL374" s="224">
        <v>4.8071732037649903E-2</v>
      </c>
      <c r="AM374" s="82">
        <v>0.35180621083022301</v>
      </c>
      <c r="AN374" s="264">
        <v>4.7699999999999996</v>
      </c>
    </row>
    <row r="375" spans="1:40" s="167" customFormat="1" ht="13.5" customHeight="1">
      <c r="A375" s="186">
        <v>43716</v>
      </c>
      <c r="B375" s="232" t="s">
        <v>41</v>
      </c>
      <c r="C375" s="188">
        <v>7496</v>
      </c>
      <c r="D375" s="188">
        <v>43719</v>
      </c>
      <c r="E375" s="189">
        <v>5.8323105656350096</v>
      </c>
      <c r="F375" s="167">
        <v>0.80380808900020595</v>
      </c>
      <c r="G375" s="190">
        <v>13.58</v>
      </c>
      <c r="H375" s="190">
        <v>20.92</v>
      </c>
      <c r="I375" s="219">
        <v>0.311</v>
      </c>
      <c r="J375" s="219">
        <v>0.14299999999999999</v>
      </c>
      <c r="K375" s="219"/>
      <c r="L375" s="167">
        <v>9.4628193691529994</v>
      </c>
      <c r="M375" s="220">
        <v>12.3864452526362</v>
      </c>
      <c r="N375" s="167">
        <v>19.855644776885601</v>
      </c>
      <c r="O375" s="193">
        <v>0.62382488163041205</v>
      </c>
      <c r="P375" s="167">
        <v>2.6557034429655699</v>
      </c>
      <c r="Q375" s="167">
        <v>4.1632383676163203</v>
      </c>
      <c r="R375" s="167">
        <v>1.22212444542221</v>
      </c>
      <c r="S375" s="167">
        <v>6.5666043339566604</v>
      </c>
      <c r="T375" s="167">
        <v>1.75415245847542</v>
      </c>
      <c r="U375" s="167">
        <v>0.43420232464342001</v>
      </c>
      <c r="V375" s="167">
        <v>2.1130055366113001</v>
      </c>
      <c r="W375" s="167">
        <v>0.94661386719466101</v>
      </c>
      <c r="X375" s="167">
        <v>1.1505295180585099E-2</v>
      </c>
      <c r="Y375" s="189">
        <v>12.3979505478167</v>
      </c>
      <c r="Z375" s="207">
        <v>568</v>
      </c>
      <c r="AA375" s="207">
        <v>406</v>
      </c>
      <c r="AB375" s="167">
        <v>4560.32</v>
      </c>
      <c r="AD375" s="195">
        <v>1.2992062947459899E-2</v>
      </c>
      <c r="AE375" s="219">
        <v>9.2865802054026905E-3</v>
      </c>
      <c r="AF375" s="167">
        <v>8.0287323943661999</v>
      </c>
      <c r="AG375" s="222">
        <v>0.104309796655916</v>
      </c>
      <c r="AH375" s="223">
        <v>0.47652081109925298</v>
      </c>
      <c r="AI375" s="223">
        <v>0.33684631803628601</v>
      </c>
      <c r="AJ375" s="167">
        <v>0.38639950593563399</v>
      </c>
      <c r="AK375" s="224">
        <v>0.265513849813582</v>
      </c>
      <c r="AL375" s="224">
        <v>4.8400009149340097E-2</v>
      </c>
      <c r="AM375" s="82">
        <v>0.34568494247352399</v>
      </c>
      <c r="AN375" s="264">
        <v>5.5780000000000003</v>
      </c>
    </row>
    <row r="376" spans="1:40" s="167" customFormat="1" ht="13.5" customHeight="1">
      <c r="A376" s="186">
        <v>43717</v>
      </c>
      <c r="B376" s="232" t="s">
        <v>41</v>
      </c>
      <c r="C376" s="188">
        <v>7289</v>
      </c>
      <c r="D376" s="188">
        <v>44703</v>
      </c>
      <c r="E376" s="189">
        <v>6.1329400466456301</v>
      </c>
      <c r="F376" s="167">
        <v>0.72985651097241799</v>
      </c>
      <c r="G376" s="190">
        <v>13.15</v>
      </c>
      <c r="H376" s="190">
        <v>19.7</v>
      </c>
      <c r="I376" s="219">
        <v>0.30299999999999999</v>
      </c>
      <c r="J376" s="219">
        <v>0.156</v>
      </c>
      <c r="K376" s="219"/>
      <c r="L376" s="167">
        <v>9.2966914972149493</v>
      </c>
      <c r="M376" s="220">
        <v>11.9075229850346</v>
      </c>
      <c r="N376" s="167">
        <v>18.7568977060502</v>
      </c>
      <c r="O376" s="193">
        <v>0.63483435116211395</v>
      </c>
      <c r="P376" s="167">
        <v>2.56548856548857</v>
      </c>
      <c r="Q376" s="167">
        <v>4.1185383558264901</v>
      </c>
      <c r="R376" s="167">
        <v>1.1108213820078201</v>
      </c>
      <c r="S376" s="167">
        <v>5.8907995348673303</v>
      </c>
      <c r="T376" s="167">
        <v>1.70643785898023</v>
      </c>
      <c r="U376" s="167">
        <v>0.43785898023186198</v>
      </c>
      <c r="V376" s="167">
        <v>2.0193100532083599</v>
      </c>
      <c r="W376" s="167">
        <v>0.90764297543958605</v>
      </c>
      <c r="X376" s="167">
        <v>1.11849316600676E-2</v>
      </c>
      <c r="Y376" s="189">
        <v>11.918707916694601</v>
      </c>
      <c r="Z376" s="207">
        <v>483</v>
      </c>
      <c r="AA376" s="207">
        <v>336</v>
      </c>
      <c r="AB376" s="167">
        <v>3592.17</v>
      </c>
      <c r="AD376" s="195">
        <v>1.08046439836253E-2</v>
      </c>
      <c r="AE376" s="219">
        <v>7.5162740755654002E-3</v>
      </c>
      <c r="AF376" s="167">
        <v>7.4372049689441004</v>
      </c>
      <c r="AG376" s="222">
        <v>8.0356351922689806E-2</v>
      </c>
      <c r="AH376" s="223">
        <v>0.50185210591301999</v>
      </c>
      <c r="AI376" s="223">
        <v>0.36452188228838001</v>
      </c>
      <c r="AJ376" s="167">
        <v>0.40158378632306602</v>
      </c>
      <c r="AK376" s="224">
        <v>0.26987003109411001</v>
      </c>
      <c r="AL376" s="224">
        <v>4.8341274634811998E-2</v>
      </c>
      <c r="AM376" s="82">
        <v>0.33693488132787502</v>
      </c>
      <c r="AN376" s="264">
        <v>5.1029999999999998</v>
      </c>
    </row>
    <row r="377" spans="1:40" s="167" customFormat="1" ht="13.5" customHeight="1">
      <c r="A377" s="186">
        <v>43718</v>
      </c>
      <c r="B377" s="232" t="s">
        <v>41</v>
      </c>
      <c r="C377" s="188">
        <v>6925</v>
      </c>
      <c r="D377" s="188">
        <v>42945</v>
      </c>
      <c r="E377" s="189">
        <v>6.2014440433212998</v>
      </c>
      <c r="F377" s="167">
        <v>0.75707751659098799</v>
      </c>
      <c r="G377" s="190">
        <v>15.37</v>
      </c>
      <c r="H377" s="190">
        <v>23.11</v>
      </c>
      <c r="I377" s="219">
        <v>0.317</v>
      </c>
      <c r="J377" s="219"/>
      <c r="K377" s="219"/>
      <c r="L377" s="167">
        <v>9.0301781348236094</v>
      </c>
      <c r="M377" s="220">
        <v>11.2783793223891</v>
      </c>
      <c r="N377" s="167">
        <v>17.983514647458499</v>
      </c>
      <c r="O377" s="193">
        <v>0.62715100710210703</v>
      </c>
      <c r="P377" s="167">
        <v>2.4984962685181702</v>
      </c>
      <c r="Q377" s="167">
        <v>3.85623584450303</v>
      </c>
      <c r="R377" s="167">
        <v>1.0610032302379999</v>
      </c>
      <c r="S377" s="167">
        <v>5.5818883897077898</v>
      </c>
      <c r="T377" s="167">
        <v>1.6544759217317</v>
      </c>
      <c r="U377" s="167">
        <v>0.47057513088033298</v>
      </c>
      <c r="V377" s="167">
        <v>1.95362566368396</v>
      </c>
      <c r="W377" s="167">
        <v>0.90721419819552196</v>
      </c>
      <c r="X377" s="167">
        <v>1.41110723017813E-2</v>
      </c>
      <c r="Y377" s="189">
        <v>11.292490394690899</v>
      </c>
      <c r="Z377" s="207">
        <v>486</v>
      </c>
      <c r="AA377" s="207">
        <v>346</v>
      </c>
      <c r="AB377" s="167">
        <v>3412.14</v>
      </c>
      <c r="AD377" s="195">
        <v>1.13168005588543E-2</v>
      </c>
      <c r="AE377" s="219">
        <v>8.0568168587728493E-3</v>
      </c>
      <c r="AF377" s="167">
        <v>7.0208641975308597</v>
      </c>
      <c r="AG377" s="222">
        <v>7.9453719874257797E-2</v>
      </c>
      <c r="AH377" s="223">
        <v>0.47277978339350202</v>
      </c>
      <c r="AI377" s="223">
        <v>0.35306859205776198</v>
      </c>
      <c r="AJ377" s="167">
        <v>0.45548957969495901</v>
      </c>
      <c r="AK377" s="224">
        <v>0.29004540691582298</v>
      </c>
      <c r="AL377" s="224">
        <v>5.6653859587844899E-2</v>
      </c>
      <c r="AM377" s="82">
        <v>0.28098730934916799</v>
      </c>
      <c r="AN377" s="264">
        <v>6.7190000000000003</v>
      </c>
    </row>
    <row r="378" spans="1:40" s="167" customFormat="1" ht="13.5" customHeight="1">
      <c r="A378" s="186">
        <v>43719</v>
      </c>
      <c r="B378" s="232" t="s">
        <v>41</v>
      </c>
      <c r="C378" s="188">
        <v>5974</v>
      </c>
      <c r="D378" s="188">
        <v>39969</v>
      </c>
      <c r="E378" s="189">
        <v>6.6904921325744899</v>
      </c>
      <c r="F378" s="167">
        <v>0.67293724011108602</v>
      </c>
      <c r="G378" s="190">
        <v>16.77</v>
      </c>
      <c r="H378" s="190">
        <v>25.77</v>
      </c>
      <c r="I378" s="219">
        <v>0.313</v>
      </c>
      <c r="J378" s="219"/>
      <c r="K378" s="219"/>
      <c r="L378" s="167">
        <v>8.0739823363106407</v>
      </c>
      <c r="M378" s="220">
        <v>9.7360954739923393</v>
      </c>
      <c r="N378" s="167">
        <v>15.866509010845601</v>
      </c>
      <c r="O378" s="193">
        <v>0.61362555980885203</v>
      </c>
      <c r="P378" s="167">
        <v>2.3182337111636602</v>
      </c>
      <c r="Q378" s="167">
        <v>3.35199380249531</v>
      </c>
      <c r="R378" s="167">
        <v>0.92444752507543004</v>
      </c>
      <c r="S378" s="167">
        <v>4.7181766288836302</v>
      </c>
      <c r="T378" s="167">
        <v>1.4585745739215501</v>
      </c>
      <c r="U378" s="167">
        <v>0.52018266329609397</v>
      </c>
      <c r="V378" s="167">
        <v>1.71503710348202</v>
      </c>
      <c r="W378" s="167">
        <v>0.85986300252792902</v>
      </c>
      <c r="X378" s="167">
        <v>1.34354124446446E-2</v>
      </c>
      <c r="Y378" s="189">
        <v>9.7495308864369896</v>
      </c>
      <c r="Z378" s="207">
        <v>405</v>
      </c>
      <c r="AA378" s="207">
        <v>296</v>
      </c>
      <c r="AB378" s="167">
        <v>2331.9499999999998</v>
      </c>
      <c r="AD378" s="195">
        <v>1.0132852961044801E-2</v>
      </c>
      <c r="AE378" s="219">
        <v>7.4057394480722596E-3</v>
      </c>
      <c r="AF378" s="167">
        <v>5.7579012345678997</v>
      </c>
      <c r="AG378" s="222">
        <v>5.8343966574094901E-2</v>
      </c>
      <c r="AH378" s="223">
        <v>0.50903916973552099</v>
      </c>
      <c r="AI378" s="223">
        <v>0.37579511215266198</v>
      </c>
      <c r="AJ378" s="167">
        <v>0.54139458080012004</v>
      </c>
      <c r="AK378" s="224">
        <v>0.32297530586204298</v>
      </c>
      <c r="AL378" s="224">
        <v>6.1772873977332401E-2</v>
      </c>
      <c r="AM378" s="82">
        <v>0</v>
      </c>
      <c r="AN378" s="264"/>
    </row>
    <row r="379" spans="1:40" s="167" customFormat="1" ht="13.5" customHeight="1">
      <c r="A379" s="186">
        <v>43720</v>
      </c>
      <c r="B379" s="232" t="s">
        <v>41</v>
      </c>
      <c r="C379" s="188">
        <f>源!$N$20</f>
        <v>6442</v>
      </c>
      <c r="D379" s="188">
        <f>源!$N$21</f>
        <v>39747</v>
      </c>
      <c r="E379" s="189">
        <f>D379/C379</f>
        <v>6.1699782676187516</v>
      </c>
      <c r="F379" s="167">
        <f>3.3*M379*G379/1000+AB379/D379*3.3*0.7</f>
        <v>0.52822759679975839</v>
      </c>
      <c r="G379" s="190">
        <f>源!$N$18</f>
        <v>12.99</v>
      </c>
      <c r="H379" s="190">
        <f>源!$N$19</f>
        <v>19.91</v>
      </c>
      <c r="I379" s="219"/>
      <c r="J379" s="219"/>
      <c r="K379" s="219"/>
      <c r="L379" s="167">
        <f>源!$N$22/D379</f>
        <v>7.8334213902936067</v>
      </c>
      <c r="M379" s="220">
        <f>源!$N$24/D379</f>
        <v>9.373537625481168</v>
      </c>
      <c r="N379" s="167">
        <f>源!$N$24/源!$N$25</f>
        <v>15.405003101095721</v>
      </c>
      <c r="O379" s="193">
        <f>M379/N379</f>
        <v>0.60847359549148361</v>
      </c>
      <c r="P379" s="167">
        <f>SUMIFS(源!G:G,源!F:F,"double_cash")/D379*N379/M379</f>
        <v>2.2959272276204259</v>
      </c>
      <c r="Q379" s="167">
        <f>SUMIFS(源!G:G,源!F:F,"Offline")/D379*N379/M379</f>
        <v>3.2364275377299982</v>
      </c>
      <c r="R379" s="167">
        <f>SUMIFS(源!G:G,源!F:F,"AdClaim")/D379*N379/M379</f>
        <v>0.86346909241265246</v>
      </c>
      <c r="S379" s="167">
        <f>SUMIFS(源!G:G,源!F:F,"FreeBonus_money")/D379*N379/M379+SUMIFS(源!G:G,源!F:F,"FreeBonus_gold")/D379*N379/M379</f>
        <v>4.4962580111639454</v>
      </c>
      <c r="T379" s="167">
        <f>SUMIFS(源!G:G,源!F:F,"speedUp")/D379*N379/M379</f>
        <v>1.4641306594996901</v>
      </c>
      <c r="U379" s="167">
        <f>SUMIFS(源!G:G,源!F:F,"Slot")/D379*N379/M379</f>
        <v>0.52048790572669024</v>
      </c>
      <c r="V379" s="167">
        <f>SUMIFS(源!G:G,源!F:F,"skip_30_minutes")/D379*N379/M379</f>
        <v>1.6799255737027083</v>
      </c>
      <c r="W379" s="167">
        <f>SUMIFS(源!G:G,源!F:F,"cost_50%_off")/D379*N379/M379</f>
        <v>0.84837709323961141</v>
      </c>
      <c r="X379" s="167">
        <f>源!$N$23/D379</f>
        <v>1.2504088358869852E-2</v>
      </c>
      <c r="Y379" s="189">
        <f>M379+X379</f>
        <v>9.3860417138400383</v>
      </c>
      <c r="Z379" s="207">
        <f>源!$N$30</f>
        <v>389</v>
      </c>
      <c r="AA379" s="207">
        <f>源!$N$26</f>
        <v>285</v>
      </c>
      <c r="AB379" s="167">
        <f>源!$N$31</f>
        <v>2175.11</v>
      </c>
      <c r="AD379" s="195">
        <f>Z379/D379</f>
        <v>9.78690215613757E-3</v>
      </c>
      <c r="AE379" s="219">
        <f>AA379/D379</f>
        <v>7.1703524794324101E-3</v>
      </c>
      <c r="AF379" s="167">
        <f>AB379/Z379</f>
        <v>5.5915424164524428</v>
      </c>
      <c r="AG379" s="222">
        <f>AD379*AF379</f>
        <v>5.4723878531713094E-2</v>
      </c>
      <c r="AH379" s="223">
        <f>源!$N$33/C379</f>
        <v>0.48137224464452033</v>
      </c>
      <c r="AI379" s="223">
        <f>源!$N$34/C379</f>
        <v>0.33933561005898788</v>
      </c>
      <c r="AJ379" s="167">
        <f>源!$N$32/D379</f>
        <v>0.54441844667522077</v>
      </c>
      <c r="AK379" s="224">
        <f>源!$N$27/D379</f>
        <v>0.31869071879638716</v>
      </c>
      <c r="AL379" s="224">
        <f>源!$N$28/D379</f>
        <v>6.1363121745037365E-2</v>
      </c>
      <c r="AM379" s="82" t="e">
        <f>源!$N$29/D379</f>
        <v>#VALUE!</v>
      </c>
      <c r="AN379" s="264"/>
    </row>
    <row r="380" spans="1:40" ht="16.05" customHeight="1">
      <c r="AH380" s="181">
        <f>源!$N$33/C379</f>
        <v>0.48137224464452033</v>
      </c>
    </row>
    <row r="381" spans="1:40" ht="16.05" customHeight="1">
      <c r="AH381" s="181" t="e">
        <f>源!$N$33/C380</f>
        <v>#DIV/0!</v>
      </c>
    </row>
    <row r="382" spans="1:40" ht="16.05" customHeight="1">
      <c r="AH382" s="181" t="e">
        <f>源!$N$33/C381</f>
        <v>#DIV/0!</v>
      </c>
    </row>
    <row r="383" spans="1:40" ht="16.05" customHeight="1">
      <c r="AH383" s="181" t="e">
        <f>源!$N$33/C382</f>
        <v>#DIV/0!</v>
      </c>
    </row>
    <row r="384" spans="1:40" ht="16.05" customHeight="1">
      <c r="AH384" s="181" t="e">
        <f>源!$N$33/C383</f>
        <v>#DIV/0!</v>
      </c>
    </row>
    <row r="385" spans="34:34" ht="16.05" customHeight="1">
      <c r="AH385" s="181" t="e">
        <f>源!$N$33/C384</f>
        <v>#DIV/0!</v>
      </c>
    </row>
    <row r="386" spans="34:34" ht="16.05" customHeight="1">
      <c r="AH386" s="181" t="e">
        <f>源!$N$33/C385</f>
        <v>#DIV/0!</v>
      </c>
    </row>
    <row r="387" spans="34:34" ht="16.05" customHeight="1">
      <c r="AH387" s="181" t="e">
        <f>源!$N$33/C386</f>
        <v>#DIV/0!</v>
      </c>
    </row>
    <row r="388" spans="34:34" ht="16.05" customHeight="1">
      <c r="AH388" s="181" t="e">
        <f>源!$N$33/C387</f>
        <v>#DIV/0!</v>
      </c>
    </row>
  </sheetData>
  <mergeCells count="33"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M1:AM2"/>
    <mergeCell ref="AN1:AN2"/>
    <mergeCell ref="AH1:AH2"/>
    <mergeCell ref="AI1:AI2"/>
    <mergeCell ref="AJ1:AJ2"/>
    <mergeCell ref="AK1:AK2"/>
    <mergeCell ref="AL1:AL2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79"/>
  <sheetViews>
    <sheetView zoomScale="110" zoomScaleNormal="110" workbookViewId="0">
      <pane xSplit="2" ySplit="2" topLeftCell="AE358" activePane="bottomRight" state="frozen"/>
      <selection pane="topRight"/>
      <selection pane="bottomLeft"/>
      <selection pane="bottomRight" activeCell="AO372" sqref="AO372"/>
    </sheetView>
  </sheetViews>
  <sheetFormatPr defaultColWidth="10.81640625" defaultRowHeight="16.05" customHeight="1" outlineLevelRow="2"/>
  <cols>
    <col min="1" max="1" width="11.6328125" style="170" customWidth="1"/>
    <col min="2" max="2" width="5.1796875" style="171" customWidth="1"/>
    <col min="3" max="4" width="13" style="172" customWidth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2.81640625" style="179" customWidth="1"/>
    <col min="41" max="16384" width="10.81640625" style="174"/>
  </cols>
  <sheetData>
    <row r="1" spans="1:40" s="165" customFormat="1" ht="16.05" customHeight="1">
      <c r="A1" s="277" t="s">
        <v>0</v>
      </c>
      <c r="B1" s="269" t="s">
        <v>1</v>
      </c>
      <c r="C1" s="279" t="s">
        <v>2</v>
      </c>
      <c r="D1" s="279" t="s">
        <v>3</v>
      </c>
      <c r="E1" s="281" t="s">
        <v>4</v>
      </c>
      <c r="F1" s="269" t="s">
        <v>5</v>
      </c>
      <c r="G1" s="283" t="s">
        <v>6</v>
      </c>
      <c r="H1" s="285" t="s">
        <v>7</v>
      </c>
      <c r="I1" s="273" t="s">
        <v>8</v>
      </c>
      <c r="J1" s="273" t="s">
        <v>9</v>
      </c>
      <c r="K1" s="273" t="s">
        <v>10</v>
      </c>
      <c r="L1" s="269" t="s">
        <v>11</v>
      </c>
      <c r="M1" s="269" t="s">
        <v>12</v>
      </c>
      <c r="N1" s="269" t="s">
        <v>13</v>
      </c>
      <c r="O1" s="286" t="s">
        <v>14</v>
      </c>
      <c r="P1" s="269" t="s">
        <v>15</v>
      </c>
      <c r="Q1" s="269"/>
      <c r="R1" s="269"/>
      <c r="S1" s="269"/>
      <c r="T1" s="269"/>
      <c r="U1" s="269"/>
      <c r="V1" s="269"/>
      <c r="W1" s="269"/>
      <c r="X1" s="269" t="s">
        <v>16</v>
      </c>
      <c r="Y1" s="273" t="s">
        <v>17</v>
      </c>
      <c r="Z1" s="275" t="s">
        <v>18</v>
      </c>
      <c r="AA1" s="275" t="s">
        <v>19</v>
      </c>
      <c r="AB1" s="269" t="s">
        <v>20</v>
      </c>
      <c r="AC1" s="269" t="s">
        <v>50</v>
      </c>
      <c r="AD1" s="271" t="s">
        <v>22</v>
      </c>
      <c r="AE1" s="273" t="s">
        <v>23</v>
      </c>
      <c r="AF1" s="269" t="s">
        <v>24</v>
      </c>
      <c r="AG1" s="273" t="s">
        <v>25</v>
      </c>
      <c r="AH1" s="267" t="s">
        <v>26</v>
      </c>
      <c r="AI1" s="267" t="s">
        <v>27</v>
      </c>
      <c r="AJ1" s="269" t="s">
        <v>28</v>
      </c>
      <c r="AK1" s="265" t="s">
        <v>29</v>
      </c>
      <c r="AL1" s="265" t="s">
        <v>30</v>
      </c>
      <c r="AM1" s="265" t="s">
        <v>31</v>
      </c>
      <c r="AN1" s="287" t="s">
        <v>32</v>
      </c>
    </row>
    <row r="2" spans="1:40" s="165" customFormat="1" ht="16.05" customHeight="1">
      <c r="A2" s="278"/>
      <c r="B2" s="270"/>
      <c r="C2" s="280"/>
      <c r="D2" s="280"/>
      <c r="E2" s="282"/>
      <c r="F2" s="270"/>
      <c r="G2" s="284"/>
      <c r="H2" s="285"/>
      <c r="I2" s="274"/>
      <c r="J2" s="274"/>
      <c r="K2" s="274"/>
      <c r="L2" s="270"/>
      <c r="M2" s="270"/>
      <c r="N2" s="270"/>
      <c r="O2" s="286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70"/>
      <c r="Y2" s="274"/>
      <c r="Z2" s="276"/>
      <c r="AA2" s="276"/>
      <c r="AB2" s="270"/>
      <c r="AC2" s="270"/>
      <c r="AD2" s="272"/>
      <c r="AE2" s="274"/>
      <c r="AF2" s="270"/>
      <c r="AG2" s="274"/>
      <c r="AH2" s="268"/>
      <c r="AI2" s="268"/>
      <c r="AJ2" s="270"/>
      <c r="AK2" s="266"/>
      <c r="AL2" s="266"/>
      <c r="AM2" s="266"/>
      <c r="AN2" s="288"/>
    </row>
    <row r="3" spans="1:40" ht="16.05" customHeight="1" collapsed="1">
      <c r="A3" s="170">
        <v>43344</v>
      </c>
      <c r="B3" s="171" t="s">
        <v>51</v>
      </c>
      <c r="C3" s="172">
        <v>4710</v>
      </c>
      <c r="D3" s="172">
        <v>14119</v>
      </c>
      <c r="E3" s="173">
        <f>D3/C3</f>
        <v>2.997664543524416</v>
      </c>
      <c r="F3" s="174">
        <v>0.66551678131634795</v>
      </c>
      <c r="G3" s="175">
        <v>19.04</v>
      </c>
      <c r="I3" s="176">
        <v>0.45900000000000002</v>
      </c>
      <c r="J3" s="176">
        <v>0.21099999999999999</v>
      </c>
      <c r="K3" s="176">
        <v>0.111</v>
      </c>
      <c r="L3" s="174">
        <v>8.2024222678659999</v>
      </c>
      <c r="M3" s="177">
        <v>8.0318011190594198</v>
      </c>
      <c r="N3" s="174">
        <v>11.2904221425727</v>
      </c>
      <c r="O3" s="55">
        <f>M3/N3</f>
        <v>0.71138182590834886</v>
      </c>
      <c r="P3" s="167">
        <v>2.3934687375547599</v>
      </c>
      <c r="Q3" s="167">
        <v>2.3845081640780599</v>
      </c>
      <c r="R3" s="167">
        <v>1.1592990840302699</v>
      </c>
      <c r="S3" s="167">
        <v>1.3912783751493401</v>
      </c>
      <c r="T3" s="167">
        <v>1.4945240939864599</v>
      </c>
      <c r="U3" s="167">
        <v>0.62375547590601399</v>
      </c>
      <c r="V3" s="167">
        <v>1.3805256869772999</v>
      </c>
      <c r="W3" s="167">
        <v>0.463062524890482</v>
      </c>
      <c r="X3" s="174">
        <v>4.32750194773001E-2</v>
      </c>
      <c r="Y3" s="173">
        <f>M3+X3</f>
        <v>8.0750761385367191</v>
      </c>
      <c r="Z3" s="178">
        <v>253</v>
      </c>
      <c r="AA3" s="178">
        <v>176</v>
      </c>
      <c r="AB3" s="174">
        <v>1393.47</v>
      </c>
      <c r="AC3" s="174">
        <v>1051.316</v>
      </c>
      <c r="AD3" s="179">
        <f t="shared" ref="AD3:AD31" si="0">Z3/D3</f>
        <v>1.7919116084708548E-2</v>
      </c>
      <c r="AE3" s="176">
        <f>AA3/D3</f>
        <v>1.2465472058927686E-2</v>
      </c>
      <c r="AF3" s="174">
        <f>AB3/Z3</f>
        <v>5.5077865612648225</v>
      </c>
      <c r="AG3" s="180">
        <f>AD3*AF3</f>
        <v>9.8694666761102057E-2</v>
      </c>
      <c r="AH3" s="181">
        <f>3489/C3</f>
        <v>0.74076433121019103</v>
      </c>
      <c r="AI3" s="181">
        <f>2236/C3</f>
        <v>0.47473460721868366</v>
      </c>
      <c r="AJ3" s="174">
        <f>8501/D3</f>
        <v>0.60209646575536513</v>
      </c>
    </row>
    <row r="4" spans="1:40" ht="16.05" hidden="1" customHeight="1" outlineLevel="1">
      <c r="A4" s="170">
        <v>43345</v>
      </c>
      <c r="B4" s="171" t="s">
        <v>51</v>
      </c>
      <c r="C4" s="172">
        <v>5277</v>
      </c>
      <c r="D4" s="172">
        <v>15370</v>
      </c>
      <c r="E4" s="173">
        <f t="shared" ref="E4:E39" si="1">D4/C4</f>
        <v>2.9126397574379381</v>
      </c>
      <c r="F4" s="174">
        <v>0.52101985976880805</v>
      </c>
      <c r="G4" s="175">
        <v>16.95</v>
      </c>
      <c r="I4" s="176">
        <v>0.443</v>
      </c>
      <c r="J4" s="176">
        <v>0.20799999999999999</v>
      </c>
      <c r="K4" s="176">
        <v>0.115</v>
      </c>
      <c r="L4" s="174">
        <v>8.1787247885491201</v>
      </c>
      <c r="M4" s="177">
        <v>7.9638256343526397</v>
      </c>
      <c r="N4" s="174">
        <v>11.1509519905256</v>
      </c>
      <c r="O4" s="55">
        <f t="shared" ref="O4:O67" si="2">M4/N4</f>
        <v>0.71418347430058882</v>
      </c>
      <c r="P4" s="174">
        <v>2.34107679693905</v>
      </c>
      <c r="Q4" s="174">
        <v>2.3847134918465902</v>
      </c>
      <c r="R4" s="174">
        <v>1.24524004737178</v>
      </c>
      <c r="S4" s="174">
        <v>1.3849867905620801</v>
      </c>
      <c r="T4" s="174">
        <v>1.44283501867541</v>
      </c>
      <c r="U4" s="174">
        <v>0.64780905529744004</v>
      </c>
      <c r="V4" s="174">
        <v>1.2678327411861201</v>
      </c>
      <c r="W4" s="174">
        <v>0.43645804864717103</v>
      </c>
      <c r="X4" s="174">
        <v>4.9251789199739701E-2</v>
      </c>
      <c r="Y4" s="173">
        <f t="shared" ref="Y4:Y67" si="3">M4+X4</f>
        <v>8.0130774235523798</v>
      </c>
      <c r="Z4" s="178">
        <v>218</v>
      </c>
      <c r="AA4" s="178">
        <v>168</v>
      </c>
      <c r="AB4" s="174">
        <v>963.82</v>
      </c>
      <c r="AC4" s="174">
        <v>820.68700000000001</v>
      </c>
      <c r="AD4" s="179">
        <f t="shared" si="0"/>
        <v>1.4183474300585556E-2</v>
      </c>
      <c r="AE4" s="176">
        <f t="shared" ref="AE4:AE67" si="4">AA4/D4</f>
        <v>1.0930383864671439E-2</v>
      </c>
      <c r="AF4" s="174">
        <f t="shared" ref="AF4:AF22" si="5">AB4/Z4</f>
        <v>4.4211926605504592</v>
      </c>
      <c r="AG4" s="180">
        <f t="shared" ref="AG4:AG42" si="6">AD4*AF4</f>
        <v>6.2707872478854926E-2</v>
      </c>
      <c r="AH4" s="181">
        <f>3879/C4</f>
        <v>0.73507674815235935</v>
      </c>
      <c r="AI4" s="181">
        <f>2523/C4</f>
        <v>0.47811256395679363</v>
      </c>
      <c r="AJ4" s="174">
        <f>9774/D4</f>
        <v>0.6359141184124919</v>
      </c>
    </row>
    <row r="5" spans="1:40" ht="16.05" hidden="1" customHeight="1" outlineLevel="1">
      <c r="A5" s="170">
        <v>43346</v>
      </c>
      <c r="B5" s="171" t="s">
        <v>51</v>
      </c>
      <c r="C5" s="172">
        <v>5355</v>
      </c>
      <c r="D5" s="172">
        <v>15999</v>
      </c>
      <c r="E5" s="173">
        <f t="shared" si="1"/>
        <v>2.9876750700280112</v>
      </c>
      <c r="F5" s="174">
        <v>0.59101981512604995</v>
      </c>
      <c r="G5" s="175">
        <v>18.010000000000002</v>
      </c>
      <c r="I5" s="176">
        <v>0.441</v>
      </c>
      <c r="J5" s="176">
        <v>0.21099999999999999</v>
      </c>
      <c r="K5" s="176">
        <v>0.11</v>
      </c>
      <c r="L5" s="174">
        <v>8.1991999499968706</v>
      </c>
      <c r="M5" s="177">
        <v>8.0261891368210492</v>
      </c>
      <c r="N5" s="174">
        <v>11.1187981643432</v>
      </c>
      <c r="O5" s="55">
        <f t="shared" si="2"/>
        <v>0.72185761610100829</v>
      </c>
      <c r="P5" s="174">
        <v>2.2541345571045102</v>
      </c>
      <c r="Q5" s="174">
        <v>2.3370854619447599</v>
      </c>
      <c r="R5" s="174">
        <v>1.2908476924409</v>
      </c>
      <c r="S5" s="174">
        <v>1.38661355961555</v>
      </c>
      <c r="T5" s="174">
        <v>1.4376136462031299</v>
      </c>
      <c r="U5" s="174">
        <v>0.64196034288683002</v>
      </c>
      <c r="V5" s="174">
        <v>1.3094640228591199</v>
      </c>
      <c r="W5" s="174">
        <v>0.461078881288423</v>
      </c>
      <c r="X5" s="174">
        <v>6.9129320582536402E-2</v>
      </c>
      <c r="Y5" s="173">
        <f t="shared" si="3"/>
        <v>8.0953184574035859</v>
      </c>
      <c r="Z5" s="178">
        <v>253</v>
      </c>
      <c r="AA5" s="178">
        <v>167</v>
      </c>
      <c r="AB5" s="174">
        <v>1217.47</v>
      </c>
      <c r="AC5" s="174">
        <v>1045.9259999999999</v>
      </c>
      <c r="AD5" s="179">
        <f t="shared" si="0"/>
        <v>1.5813488343021438E-2</v>
      </c>
      <c r="AE5" s="176">
        <f t="shared" si="4"/>
        <v>1.0438152384524033E-2</v>
      </c>
      <c r="AF5" s="174">
        <f t="shared" si="5"/>
        <v>4.8121343873517786</v>
      </c>
      <c r="AG5" s="180">
        <f t="shared" si="6"/>
        <v>7.6096631039439963E-2</v>
      </c>
      <c r="AH5" s="181">
        <f>3944/C5</f>
        <v>0.73650793650793656</v>
      </c>
      <c r="AI5" s="181">
        <f>2534/C5</f>
        <v>0.47320261437908495</v>
      </c>
      <c r="AJ5" s="174">
        <f>10343/D5</f>
        <v>0.64647790486905432</v>
      </c>
    </row>
    <row r="6" spans="1:40" ht="16.05" hidden="1" customHeight="1" outlineLevel="1">
      <c r="A6" s="170">
        <v>43347</v>
      </c>
      <c r="B6" s="171" t="s">
        <v>51</v>
      </c>
      <c r="C6" s="172">
        <v>5209</v>
      </c>
      <c r="D6" s="172">
        <v>16336</v>
      </c>
      <c r="E6" s="173">
        <f t="shared" si="1"/>
        <v>3.1361105778460359</v>
      </c>
      <c r="F6" s="174">
        <v>0.62554292570550996</v>
      </c>
      <c r="G6" s="175">
        <v>18.350000000000001</v>
      </c>
      <c r="I6" s="176">
        <v>0.438</v>
      </c>
      <c r="J6" s="176">
        <v>0.22</v>
      </c>
      <c r="K6" s="176">
        <v>0.113</v>
      </c>
      <c r="L6" s="174">
        <v>8.0546645445641492</v>
      </c>
      <c r="M6" s="177">
        <v>8.0378305582762</v>
      </c>
      <c r="N6" s="174">
        <v>11.215066621113801</v>
      </c>
      <c r="O6" s="55">
        <f t="shared" si="2"/>
        <v>0.71669931439764734</v>
      </c>
      <c r="P6" s="174">
        <v>2.28134608814486</v>
      </c>
      <c r="Q6" s="174">
        <v>2.3830714041680898</v>
      </c>
      <c r="R6" s="174">
        <v>1.2681926887598201</v>
      </c>
      <c r="S6" s="174">
        <v>1.37794670310899</v>
      </c>
      <c r="T6" s="174">
        <v>1.4808677827126799</v>
      </c>
      <c r="U6" s="174">
        <v>0.62666552784420904</v>
      </c>
      <c r="V6" s="174">
        <v>1.3299453365220399</v>
      </c>
      <c r="W6" s="174">
        <v>0.467031089853092</v>
      </c>
      <c r="X6" s="174">
        <v>9.9045053868756103E-2</v>
      </c>
      <c r="Y6" s="173">
        <f t="shared" si="3"/>
        <v>8.1368756121449568</v>
      </c>
      <c r="Z6" s="178">
        <v>216</v>
      </c>
      <c r="AA6" s="178">
        <v>162</v>
      </c>
      <c r="AB6" s="174">
        <v>1212.8399999999999</v>
      </c>
      <c r="AC6" s="174">
        <v>790.279</v>
      </c>
      <c r="AD6" s="179">
        <f t="shared" si="0"/>
        <v>1.3222331047992164E-2</v>
      </c>
      <c r="AE6" s="176">
        <f t="shared" si="4"/>
        <v>9.9167482859941238E-3</v>
      </c>
      <c r="AF6" s="174">
        <f t="shared" si="5"/>
        <v>5.6149999999999993</v>
      </c>
      <c r="AG6" s="180">
        <f t="shared" si="6"/>
        <v>7.4243388834475996E-2</v>
      </c>
      <c r="AH6" s="181">
        <f>3799/C6</f>
        <v>0.72931464772509114</v>
      </c>
      <c r="AI6" s="181">
        <f>2516/C6</f>
        <v>0.48301017469763868</v>
      </c>
      <c r="AJ6" s="174">
        <f>10985/D6</f>
        <v>0.67244123408423118</v>
      </c>
    </row>
    <row r="7" spans="1:40" ht="16.05" hidden="1" customHeight="1" outlineLevel="1">
      <c r="A7" s="170">
        <v>43348</v>
      </c>
      <c r="B7" s="171" t="s">
        <v>51</v>
      </c>
      <c r="C7" s="172">
        <v>4728</v>
      </c>
      <c r="D7" s="172">
        <v>15848</v>
      </c>
      <c r="E7" s="173">
        <f t="shared" si="1"/>
        <v>3.3519458544839256</v>
      </c>
      <c r="F7" s="174">
        <v>0.58560682318104895</v>
      </c>
      <c r="G7" s="175">
        <v>17.43</v>
      </c>
      <c r="I7" s="176">
        <v>0.437</v>
      </c>
      <c r="J7" s="176">
        <v>0.215</v>
      </c>
      <c r="K7" s="176">
        <v>9.6000000000000002E-2</v>
      </c>
      <c r="L7" s="174">
        <v>7.9279404341241797</v>
      </c>
      <c r="M7" s="177">
        <v>7.7954316002019199</v>
      </c>
      <c r="N7" s="174">
        <v>10.987371042333701</v>
      </c>
      <c r="O7" s="55">
        <f t="shared" si="2"/>
        <v>0.70949015648662228</v>
      </c>
      <c r="P7" s="174">
        <v>2.1850764852365701</v>
      </c>
      <c r="Q7" s="174">
        <v>2.2489327641408798</v>
      </c>
      <c r="R7" s="174">
        <v>1.24457488438278</v>
      </c>
      <c r="S7" s="174">
        <v>1.41648879402348</v>
      </c>
      <c r="T7" s="174">
        <v>1.48461401636428</v>
      </c>
      <c r="U7" s="174">
        <v>0.64140875133404496</v>
      </c>
      <c r="V7" s="174">
        <v>1.2975809320526499</v>
      </c>
      <c r="W7" s="174">
        <v>0.46869441479900398</v>
      </c>
      <c r="X7" s="174">
        <v>6.5497223624432097E-2</v>
      </c>
      <c r="Y7" s="173">
        <f t="shared" si="3"/>
        <v>7.8609288238263524</v>
      </c>
      <c r="Z7" s="178">
        <v>184</v>
      </c>
      <c r="AA7" s="178">
        <v>142</v>
      </c>
      <c r="AB7" s="174">
        <v>879.16</v>
      </c>
      <c r="AC7" s="174">
        <v>759.10799999999995</v>
      </c>
      <c r="AD7" s="179">
        <f t="shared" si="0"/>
        <v>1.1610297829379102E-2</v>
      </c>
      <c r="AE7" s="176">
        <f t="shared" si="4"/>
        <v>8.960121150933871E-3</v>
      </c>
      <c r="AF7" s="174">
        <f t="shared" si="5"/>
        <v>4.7780434782608694</v>
      </c>
      <c r="AG7" s="180">
        <f t="shared" si="6"/>
        <v>5.5474507824331144E-2</v>
      </c>
      <c r="AH7" s="181">
        <f>3491/C7</f>
        <v>0.73836717428087983</v>
      </c>
      <c r="AI7" s="181">
        <f>2433/C7</f>
        <v>0.51459390862944165</v>
      </c>
      <c r="AJ7" s="174">
        <f>11386/D7</f>
        <v>0.71845027763755676</v>
      </c>
    </row>
    <row r="8" spans="1:40" ht="16.05" hidden="1" customHeight="1" outlineLevel="1">
      <c r="A8" s="170">
        <v>43349</v>
      </c>
      <c r="B8" s="171" t="s">
        <v>51</v>
      </c>
      <c r="C8" s="172">
        <v>4384</v>
      </c>
      <c r="D8" s="172">
        <v>15490</v>
      </c>
      <c r="E8" s="173">
        <f t="shared" si="1"/>
        <v>3.5333029197080292</v>
      </c>
      <c r="F8" s="174">
        <v>0.64719917198905097</v>
      </c>
      <c r="G8" s="175">
        <v>18.71</v>
      </c>
      <c r="I8" s="176">
        <v>0.44700000000000001</v>
      </c>
      <c r="J8" s="176">
        <v>0.214</v>
      </c>
      <c r="K8" s="176">
        <v>0.109</v>
      </c>
      <c r="L8" s="174">
        <v>7.9708198837959996</v>
      </c>
      <c r="M8" s="177">
        <v>7.8067785668173002</v>
      </c>
      <c r="N8" s="174">
        <v>10.943619909502299</v>
      </c>
      <c r="O8" s="55">
        <f t="shared" si="2"/>
        <v>0.71336346029696329</v>
      </c>
      <c r="P8" s="174">
        <v>2.04280542986425</v>
      </c>
      <c r="Q8" s="174">
        <v>1.96787330316742</v>
      </c>
      <c r="R8" s="174">
        <v>1.1823529411764699</v>
      </c>
      <c r="S8" s="174">
        <v>1.66054298642534</v>
      </c>
      <c r="T8" s="174">
        <v>1.37457013574661</v>
      </c>
      <c r="U8" s="174">
        <v>0.673755656108597</v>
      </c>
      <c r="V8" s="174">
        <v>1.4369230769230801</v>
      </c>
      <c r="W8" s="174">
        <v>0.60479638009049796</v>
      </c>
      <c r="X8" s="174">
        <v>3.6346029696578401E-2</v>
      </c>
      <c r="Y8" s="173">
        <f t="shared" si="3"/>
        <v>7.8431245965138787</v>
      </c>
      <c r="Z8" s="178">
        <v>189</v>
      </c>
      <c r="AA8" s="178">
        <v>149</v>
      </c>
      <c r="AB8" s="174">
        <v>821.11</v>
      </c>
      <c r="AC8" s="174">
        <v>571.85799999999995</v>
      </c>
      <c r="AD8" s="179">
        <f t="shared" si="0"/>
        <v>1.2201420271142672E-2</v>
      </c>
      <c r="AE8" s="176">
        <f t="shared" si="4"/>
        <v>9.6191091026468691E-3</v>
      </c>
      <c r="AF8" s="174">
        <f t="shared" si="5"/>
        <v>4.3444973544973546</v>
      </c>
      <c r="AG8" s="180">
        <f t="shared" si="6"/>
        <v>5.300903808908973E-2</v>
      </c>
      <c r="AH8" s="181">
        <f>3316/C8</f>
        <v>0.75638686131386856</v>
      </c>
      <c r="AI8" s="181">
        <f>2229/C8</f>
        <v>0.5084397810218978</v>
      </c>
      <c r="AJ8" s="174">
        <f>12377/D8</f>
        <v>0.79903163331181404</v>
      </c>
    </row>
    <row r="9" spans="1:40" ht="16.05" hidden="1" customHeight="1" outlineLevel="1">
      <c r="A9" s="184">
        <v>43350</v>
      </c>
      <c r="B9" s="171" t="s">
        <v>51</v>
      </c>
      <c r="C9" s="172">
        <v>4503</v>
      </c>
      <c r="D9" s="172">
        <v>15472</v>
      </c>
      <c r="E9" s="173">
        <f t="shared" si="1"/>
        <v>3.4359316011547856</v>
      </c>
      <c r="F9" s="174">
        <v>0.56730273151232502</v>
      </c>
      <c r="G9" s="175">
        <v>17.600000000000001</v>
      </c>
      <c r="I9" s="176">
        <v>0.432</v>
      </c>
      <c r="J9" s="176">
        <v>0.22500000000000001</v>
      </c>
      <c r="K9" s="176">
        <v>0.109</v>
      </c>
      <c r="L9" s="174">
        <v>7.9618665977249199</v>
      </c>
      <c r="M9" s="177">
        <v>7.8530248190279197</v>
      </c>
      <c r="N9" s="174">
        <v>10.937258079035001</v>
      </c>
      <c r="O9" s="55">
        <f t="shared" si="2"/>
        <v>0.71800672182006298</v>
      </c>
      <c r="P9" s="174">
        <v>1.94274912233324</v>
      </c>
      <c r="Q9" s="174">
        <v>1.9381582500675101</v>
      </c>
      <c r="R9" s="174">
        <v>1.1040597713565601</v>
      </c>
      <c r="S9" s="174">
        <v>1.646952921055</v>
      </c>
      <c r="T9" s="174">
        <v>1.3395445134575601</v>
      </c>
      <c r="U9" s="174">
        <v>0.62723917544333396</v>
      </c>
      <c r="V9" s="174">
        <v>1.6440723737510099</v>
      </c>
      <c r="W9" s="174">
        <v>0.69448195157079795</v>
      </c>
      <c r="X9" s="174">
        <v>3.92321613236815E-2</v>
      </c>
      <c r="Y9" s="173">
        <f t="shared" si="3"/>
        <v>7.8922569803516014</v>
      </c>
      <c r="Z9" s="178">
        <v>153</v>
      </c>
      <c r="AA9" s="178">
        <v>112</v>
      </c>
      <c r="AB9" s="174">
        <v>594.47</v>
      </c>
      <c r="AC9" s="174">
        <v>573.25800000000004</v>
      </c>
      <c r="AD9" s="179">
        <f t="shared" si="0"/>
        <v>9.8888314374353664E-3</v>
      </c>
      <c r="AE9" s="176">
        <f t="shared" si="4"/>
        <v>7.2388831437435368E-3</v>
      </c>
      <c r="AF9" s="174">
        <f t="shared" si="5"/>
        <v>3.8854248366013073</v>
      </c>
      <c r="AG9" s="180">
        <f t="shared" si="6"/>
        <v>3.8422311271975179E-2</v>
      </c>
      <c r="AH9" s="181">
        <f>3237/C9</f>
        <v>0.7188540972684877</v>
      </c>
      <c r="AI9" s="181">
        <f>2204/C9</f>
        <v>0.48945147679324896</v>
      </c>
      <c r="AJ9" s="174">
        <f>11648/D9</f>
        <v>0.75284384694932782</v>
      </c>
    </row>
    <row r="10" spans="1:40" ht="16.05" hidden="1" customHeight="1" outlineLevel="1">
      <c r="A10" s="170">
        <v>43351</v>
      </c>
      <c r="B10" s="185" t="s">
        <v>51</v>
      </c>
      <c r="C10" s="172">
        <v>5636</v>
      </c>
      <c r="D10" s="172">
        <v>16652</v>
      </c>
      <c r="E10" s="173">
        <f t="shared" si="1"/>
        <v>2.9545777146912706</v>
      </c>
      <c r="F10" s="174">
        <v>0.55580690205819705</v>
      </c>
      <c r="G10" s="175">
        <v>17.7</v>
      </c>
      <c r="I10" s="176">
        <v>0.42199999999999999</v>
      </c>
      <c r="J10" s="176">
        <v>0.183</v>
      </c>
      <c r="K10" s="176">
        <v>9.2999999999999999E-2</v>
      </c>
      <c r="L10" s="174">
        <v>8.1185443190007192</v>
      </c>
      <c r="M10" s="177">
        <v>8.6584794619265004</v>
      </c>
      <c r="N10" s="174">
        <v>12.2853612815269</v>
      </c>
      <c r="O10" s="55">
        <f t="shared" si="2"/>
        <v>0.70478020658179386</v>
      </c>
      <c r="P10" s="174">
        <v>2.3091342876618901</v>
      </c>
      <c r="Q10" s="174">
        <v>2.2845092024539899</v>
      </c>
      <c r="R10" s="174">
        <v>1.28621336059986</v>
      </c>
      <c r="S10" s="174">
        <v>1.5247955010224901</v>
      </c>
      <c r="T10" s="174">
        <v>1.55828220858896</v>
      </c>
      <c r="U10" s="174">
        <v>0.59679618268575296</v>
      </c>
      <c r="V10" s="174">
        <v>1.9786980231765501</v>
      </c>
      <c r="W10" s="174">
        <v>0.746932515337423</v>
      </c>
      <c r="X10" s="174">
        <v>6.6598606773961094E-2</v>
      </c>
      <c r="Y10" s="173">
        <f t="shared" si="3"/>
        <v>8.7250780687004621</v>
      </c>
      <c r="Z10" s="178">
        <v>168</v>
      </c>
      <c r="AA10" s="178">
        <v>141</v>
      </c>
      <c r="AB10" s="174">
        <v>829.32</v>
      </c>
      <c r="AC10" s="174">
        <v>650.43299999999999</v>
      </c>
      <c r="AD10" s="179">
        <f t="shared" si="0"/>
        <v>1.0088878212827288E-2</v>
      </c>
      <c r="AE10" s="176">
        <f t="shared" si="4"/>
        <v>8.4674513571943305E-3</v>
      </c>
      <c r="AF10" s="174">
        <f t="shared" si="5"/>
        <v>4.9364285714285714</v>
      </c>
      <c r="AG10" s="180">
        <f t="shared" si="6"/>
        <v>4.9803026663463847E-2</v>
      </c>
      <c r="AH10" s="181">
        <f>3852/C10</f>
        <v>0.68346344925479063</v>
      </c>
      <c r="AI10" s="181">
        <f>2346/C10</f>
        <v>0.41625266146202983</v>
      </c>
      <c r="AJ10" s="174">
        <f>9964/D10</f>
        <v>0.59836656257506604</v>
      </c>
    </row>
    <row r="11" spans="1:40" ht="16.05" hidden="1" customHeight="1" outlineLevel="1">
      <c r="A11" s="170">
        <v>43352</v>
      </c>
      <c r="B11" s="185" t="s">
        <v>51</v>
      </c>
      <c r="C11" s="172">
        <v>5800</v>
      </c>
      <c r="D11" s="172">
        <v>17391</v>
      </c>
      <c r="E11" s="173">
        <f t="shared" si="1"/>
        <v>2.998448275862069</v>
      </c>
      <c r="F11" s="174">
        <v>0.58203854655172405</v>
      </c>
      <c r="G11" s="175">
        <v>17.53</v>
      </c>
      <c r="I11" s="176">
        <v>0.40799999999999997</v>
      </c>
      <c r="J11" s="176">
        <v>0.20499999999999999</v>
      </c>
      <c r="K11" s="176">
        <v>0.114</v>
      </c>
      <c r="L11" s="174">
        <v>8.1453050428382507</v>
      </c>
      <c r="M11" s="177">
        <v>8.6003680064401102</v>
      </c>
      <c r="N11" s="174">
        <v>12.088337509092399</v>
      </c>
      <c r="O11" s="55">
        <f t="shared" si="2"/>
        <v>0.71145995054913314</v>
      </c>
      <c r="P11" s="174">
        <v>2.18960640103451</v>
      </c>
      <c r="Q11" s="174">
        <v>2.23680594843611</v>
      </c>
      <c r="R11" s="174">
        <v>1.3460761335165301</v>
      </c>
      <c r="S11" s="174">
        <v>1.53406611169482</v>
      </c>
      <c r="T11" s="174">
        <v>1.49131172714782</v>
      </c>
      <c r="U11" s="174">
        <v>0.61723106764729696</v>
      </c>
      <c r="V11" s="174">
        <v>1.9196637840459101</v>
      </c>
      <c r="W11" s="174">
        <v>0.75357633556938497</v>
      </c>
      <c r="X11" s="174">
        <v>2.6335460870565201E-2</v>
      </c>
      <c r="Y11" s="173">
        <f t="shared" si="3"/>
        <v>8.6267034673106746</v>
      </c>
      <c r="Z11" s="178">
        <v>203</v>
      </c>
      <c r="AA11" s="178">
        <v>163</v>
      </c>
      <c r="AB11" s="174">
        <v>1076.97</v>
      </c>
      <c r="AC11" s="174">
        <v>979.09699999999998</v>
      </c>
      <c r="AD11" s="179">
        <f t="shared" si="0"/>
        <v>1.1672704272324766E-2</v>
      </c>
      <c r="AE11" s="176">
        <f t="shared" si="4"/>
        <v>9.3726640216203784E-3</v>
      </c>
      <c r="AF11" s="174">
        <f t="shared" si="5"/>
        <v>5.305270935960591</v>
      </c>
      <c r="AG11" s="180">
        <f t="shared" si="6"/>
        <v>6.1926858720027601E-2</v>
      </c>
      <c r="AH11" s="181">
        <f>4110/C11</f>
        <v>0.70862068965517244</v>
      </c>
      <c r="AI11" s="181">
        <f>2561/C11</f>
        <v>0.44155172413793103</v>
      </c>
      <c r="AJ11" s="174">
        <f>10984/D11</f>
        <v>0.63159105284342476</v>
      </c>
    </row>
    <row r="12" spans="1:40" ht="16.05" hidden="1" customHeight="1" outlineLevel="1">
      <c r="A12" s="170">
        <v>43353</v>
      </c>
      <c r="B12" s="185" t="s">
        <v>51</v>
      </c>
      <c r="C12" s="172">
        <v>5350</v>
      </c>
      <c r="D12" s="172">
        <v>17400</v>
      </c>
      <c r="E12" s="173">
        <f t="shared" si="1"/>
        <v>3.2523364485981308</v>
      </c>
      <c r="F12" s="174">
        <v>0.60224721682242999</v>
      </c>
      <c r="G12" s="175">
        <v>16.670000000000002</v>
      </c>
      <c r="I12" s="176">
        <v>0.41099999999999998</v>
      </c>
      <c r="J12" s="176">
        <v>0.2</v>
      </c>
      <c r="K12" s="176">
        <v>0.11</v>
      </c>
      <c r="L12" s="174">
        <v>8.2586781609195405</v>
      </c>
      <c r="M12" s="177">
        <v>8.6656896551724092</v>
      </c>
      <c r="N12" s="174">
        <v>12.1569781504475</v>
      </c>
      <c r="O12" s="55">
        <f t="shared" si="2"/>
        <v>0.71281609195402096</v>
      </c>
      <c r="P12" s="174">
        <v>2.1995484963315302</v>
      </c>
      <c r="Q12" s="174">
        <v>2.3204869789567</v>
      </c>
      <c r="R12" s="174">
        <v>1.3590260420865901</v>
      </c>
      <c r="S12" s="174">
        <v>1.49238087559461</v>
      </c>
      <c r="T12" s="174">
        <v>1.48802709022011</v>
      </c>
      <c r="U12" s="174">
        <v>0.58550350721599598</v>
      </c>
      <c r="V12" s="174">
        <v>1.96234781907603</v>
      </c>
      <c r="W12" s="174">
        <v>0.74965734096589498</v>
      </c>
      <c r="X12" s="174">
        <v>7.1206896551724103E-2</v>
      </c>
      <c r="Y12" s="173">
        <f t="shared" si="3"/>
        <v>8.7368965517241328</v>
      </c>
      <c r="Z12" s="178">
        <v>190</v>
      </c>
      <c r="AA12" s="178">
        <v>141</v>
      </c>
      <c r="AB12" s="174">
        <v>1012.1</v>
      </c>
      <c r="AC12" s="174">
        <v>584.101</v>
      </c>
      <c r="AD12" s="179">
        <f t="shared" si="0"/>
        <v>1.0919540229885057E-2</v>
      </c>
      <c r="AE12" s="176">
        <f t="shared" si="4"/>
        <v>8.1034482758620685E-3</v>
      </c>
      <c r="AF12" s="174">
        <f t="shared" si="5"/>
        <v>5.3268421052631583</v>
      </c>
      <c r="AG12" s="180">
        <f t="shared" si="6"/>
        <v>5.8166666666666672E-2</v>
      </c>
      <c r="AH12" s="181">
        <f>3774/C12</f>
        <v>0.70542056074766357</v>
      </c>
      <c r="AI12" s="181">
        <f>2424/C12</f>
        <v>0.4530841121495327</v>
      </c>
      <c r="AJ12" s="174">
        <f>11424/D12</f>
        <v>0.65655172413793106</v>
      </c>
    </row>
    <row r="13" spans="1:40" ht="16.05" hidden="1" customHeight="1" outlineLevel="1">
      <c r="A13" s="184">
        <v>43354</v>
      </c>
      <c r="B13" s="185" t="s">
        <v>51</v>
      </c>
      <c r="C13" s="172">
        <v>4933</v>
      </c>
      <c r="D13" s="172">
        <v>16913</v>
      </c>
      <c r="E13" s="173">
        <f t="shared" si="1"/>
        <v>3.4285424690857491</v>
      </c>
      <c r="F13" s="174">
        <v>0.64720814919927006</v>
      </c>
      <c r="G13" s="175">
        <v>16.88</v>
      </c>
      <c r="I13" s="176">
        <v>0.44700000000000001</v>
      </c>
      <c r="J13" s="176">
        <v>0.214</v>
      </c>
      <c r="K13" s="176">
        <v>0.104</v>
      </c>
      <c r="L13" s="174">
        <v>8.5240938922722194</v>
      </c>
      <c r="M13" s="177">
        <v>8.8562052858747702</v>
      </c>
      <c r="N13" s="174">
        <v>12.3239262794142</v>
      </c>
      <c r="O13" s="55">
        <f t="shared" si="2"/>
        <v>0.71861881393011195</v>
      </c>
      <c r="P13" s="174">
        <v>2.2303768306730301</v>
      </c>
      <c r="Q13" s="174">
        <v>2.4062859963797898</v>
      </c>
      <c r="R13" s="174">
        <v>1.3141352641105799</v>
      </c>
      <c r="S13" s="174">
        <v>1.5910811255553701</v>
      </c>
      <c r="T13" s="174">
        <v>1.52476550929735</v>
      </c>
      <c r="U13" s="174">
        <v>0.61847951291755798</v>
      </c>
      <c r="V13" s="174">
        <v>1.8969063682738201</v>
      </c>
      <c r="W13" s="174">
        <v>0.74189567220668096</v>
      </c>
      <c r="X13" s="174">
        <v>7.1424348134571006E-2</v>
      </c>
      <c r="Y13" s="173">
        <f t="shared" si="3"/>
        <v>8.9276296340093406</v>
      </c>
      <c r="Z13" s="178">
        <v>199</v>
      </c>
      <c r="AA13" s="178">
        <v>159</v>
      </c>
      <c r="AB13" s="174">
        <v>949.01</v>
      </c>
      <c r="AC13" s="174">
        <v>780.59100000000001</v>
      </c>
      <c r="AD13" s="179">
        <f t="shared" si="0"/>
        <v>1.1766097085082481E-2</v>
      </c>
      <c r="AE13" s="176">
        <f t="shared" si="4"/>
        <v>9.4010524448648967E-3</v>
      </c>
      <c r="AF13" s="174">
        <f t="shared" si="5"/>
        <v>4.7688944723618087</v>
      </c>
      <c r="AG13" s="180">
        <f t="shared" si="6"/>
        <v>5.6111275350322232E-2</v>
      </c>
      <c r="AH13" s="181">
        <f>3606/C13</f>
        <v>0.73099533752280554</v>
      </c>
      <c r="AI13" s="181">
        <f>2528/C13</f>
        <v>0.51246705858503949</v>
      </c>
      <c r="AJ13" s="174">
        <f>11361/D13</f>
        <v>0.6717318039377993</v>
      </c>
    </row>
    <row r="14" spans="1:40" ht="16.05" hidden="1" customHeight="1" outlineLevel="1">
      <c r="A14" s="170">
        <v>43355</v>
      </c>
      <c r="B14" s="171" t="s">
        <v>51</v>
      </c>
      <c r="C14" s="172">
        <v>4253</v>
      </c>
      <c r="D14" s="172">
        <v>16387</v>
      </c>
      <c r="E14" s="173">
        <f t="shared" si="1"/>
        <v>3.8530449094756642</v>
      </c>
      <c r="F14" s="174">
        <v>0.65452353632729798</v>
      </c>
      <c r="G14" s="175">
        <v>15.97</v>
      </c>
      <c r="I14" s="176">
        <v>0.44400000000000001</v>
      </c>
      <c r="J14" s="176">
        <v>0.20699999999999999</v>
      </c>
      <c r="K14" s="176">
        <v>0.106</v>
      </c>
      <c r="L14" s="174">
        <v>8.2937084274119695</v>
      </c>
      <c r="M14" s="177">
        <v>8.5604442545920492</v>
      </c>
      <c r="N14" s="174">
        <v>12.0920610292216</v>
      </c>
      <c r="O14" s="55">
        <f t="shared" si="2"/>
        <v>0.70793922011350519</v>
      </c>
      <c r="P14" s="174">
        <v>2.0618912162744598</v>
      </c>
      <c r="Q14" s="174">
        <v>2.2691147314886599</v>
      </c>
      <c r="R14" s="174">
        <v>1.2688561330919701</v>
      </c>
      <c r="S14" s="174">
        <v>1.9168175157314</v>
      </c>
      <c r="T14" s="174">
        <v>1.40867166623567</v>
      </c>
      <c r="U14" s="174">
        <v>0.62037755365916702</v>
      </c>
      <c r="V14" s="174">
        <v>1.8158779415567601</v>
      </c>
      <c r="W14" s="174">
        <v>0.73045427118351902</v>
      </c>
      <c r="X14" s="174">
        <f>1004/D14</f>
        <v>6.1268078354793434E-2</v>
      </c>
      <c r="Y14" s="173">
        <f t="shared" si="3"/>
        <v>8.6217123329468421</v>
      </c>
      <c r="Z14" s="178">
        <v>169</v>
      </c>
      <c r="AA14" s="178">
        <v>129</v>
      </c>
      <c r="AB14" s="174">
        <v>776.31</v>
      </c>
      <c r="AC14" s="174">
        <v>627.697</v>
      </c>
      <c r="AD14" s="179">
        <f t="shared" si="0"/>
        <v>1.0313053029840728E-2</v>
      </c>
      <c r="AE14" s="176">
        <f t="shared" si="4"/>
        <v>7.8720937328370048E-3</v>
      </c>
      <c r="AF14" s="174">
        <f t="shared" si="5"/>
        <v>4.5935502958579875</v>
      </c>
      <c r="AG14" s="180">
        <f t="shared" si="6"/>
        <v>4.7373527796423988E-2</v>
      </c>
      <c r="AH14" s="181">
        <f>3152/C14</f>
        <v>0.74112391253233012</v>
      </c>
      <c r="AI14" s="181">
        <f>2188/C14</f>
        <v>0.51446038090759461</v>
      </c>
      <c r="AJ14" s="174">
        <f>11715/D14</f>
        <v>0.7148959541099652</v>
      </c>
    </row>
    <row r="15" spans="1:40" ht="16.05" hidden="1" customHeight="1" outlineLevel="1">
      <c r="A15" s="170">
        <v>43356</v>
      </c>
      <c r="B15" s="171" t="s">
        <v>51</v>
      </c>
      <c r="C15" s="172">
        <v>4679</v>
      </c>
      <c r="D15" s="172">
        <v>16503</v>
      </c>
      <c r="E15" s="173">
        <f t="shared" si="1"/>
        <v>3.5270356913870486</v>
      </c>
      <c r="F15" s="174">
        <f t="shared" ref="F15:F32" si="7">3.5*M15*G15/1000+AB15/D15*3.5*0.7</f>
        <v>0.60332297158092463</v>
      </c>
      <c r="G15" s="175">
        <v>17.100000000000001</v>
      </c>
      <c r="I15" s="176">
        <v>0.433</v>
      </c>
      <c r="J15" s="176">
        <v>0.19700000000000001</v>
      </c>
      <c r="K15" s="176">
        <v>8.8999999999999996E-2</v>
      </c>
      <c r="L15" s="174">
        <f>128988/D15</f>
        <v>7.8160334484639158</v>
      </c>
      <c r="M15" s="177">
        <f>128740/D15</f>
        <v>7.8010058777192022</v>
      </c>
      <c r="N15" s="174">
        <f>128740/11623</f>
        <v>11.07631420459434</v>
      </c>
      <c r="O15" s="55">
        <f t="shared" si="2"/>
        <v>0.70429618857177478</v>
      </c>
      <c r="P15" s="174">
        <f>22669/11623</f>
        <v>1.9503570506753851</v>
      </c>
      <c r="Q15" s="174">
        <f>23462/11623</f>
        <v>2.018583842381485</v>
      </c>
      <c r="R15" s="174">
        <f>12733/11623</f>
        <v>1.0955003011270756</v>
      </c>
      <c r="S15" s="174">
        <f>20761/11623</f>
        <v>1.786199776305601</v>
      </c>
      <c r="T15" s="174">
        <f>15158/11623</f>
        <v>1.3041383463821732</v>
      </c>
      <c r="U15" s="174">
        <f>7196/11623</f>
        <v>0.61911726748687945</v>
      </c>
      <c r="V15" s="174">
        <f>18971/11623</f>
        <v>1.6321947861997763</v>
      </c>
      <c r="W15" s="174">
        <f>7790/11623</f>
        <v>0.67022283403596317</v>
      </c>
      <c r="X15" s="174">
        <f>953/D15</f>
        <v>5.7747076289159545E-2</v>
      </c>
      <c r="Y15" s="173">
        <f t="shared" si="3"/>
        <v>7.858752954008362</v>
      </c>
      <c r="Z15" s="178">
        <v>200</v>
      </c>
      <c r="AA15" s="178">
        <v>137</v>
      </c>
      <c r="AB15" s="174">
        <v>919</v>
      </c>
      <c r="AC15" s="174">
        <v>891.62</v>
      </c>
      <c r="AD15" s="179">
        <f t="shared" si="0"/>
        <v>1.2119008665091196E-2</v>
      </c>
      <c r="AE15" s="176">
        <f t="shared" si="4"/>
        <v>8.3015209355874683E-3</v>
      </c>
      <c r="AF15" s="174">
        <f t="shared" si="5"/>
        <v>4.5949999999999998</v>
      </c>
      <c r="AG15" s="180">
        <f t="shared" si="6"/>
        <v>5.5686844816094046E-2</v>
      </c>
      <c r="AH15" s="181">
        <f>3388/C15</f>
        <v>0.72408634323573418</v>
      </c>
      <c r="AI15" s="181">
        <f>2165/C15</f>
        <v>0.46270570634751013</v>
      </c>
      <c r="AJ15" s="174">
        <f>11998/D15</f>
        <v>0.72701932981882078</v>
      </c>
    </row>
    <row r="16" spans="1:40" ht="16.05" hidden="1" customHeight="1" outlineLevel="1">
      <c r="A16" s="170">
        <v>43357</v>
      </c>
      <c r="B16" s="171" t="s">
        <v>51</v>
      </c>
      <c r="C16" s="172">
        <v>4591</v>
      </c>
      <c r="D16" s="172">
        <v>16347</v>
      </c>
      <c r="E16" s="173">
        <f t="shared" si="1"/>
        <v>3.5606621651056414</v>
      </c>
      <c r="F16" s="174">
        <f t="shared" si="7"/>
        <v>0.53137788768581395</v>
      </c>
      <c r="G16" s="175">
        <v>16.46</v>
      </c>
      <c r="I16" s="176">
        <v>0.42799999999999999</v>
      </c>
      <c r="J16" s="176">
        <v>0.20300000000000001</v>
      </c>
      <c r="K16" s="176">
        <v>9.6000000000000002E-2</v>
      </c>
      <c r="L16" s="174">
        <f>124646/D16</f>
        <v>7.6250076466629961</v>
      </c>
      <c r="M16" s="177">
        <f>125503/D16</f>
        <v>7.6774331681654129</v>
      </c>
      <c r="N16" s="174">
        <f>125503/11418</f>
        <v>10.991679803818531</v>
      </c>
      <c r="O16" s="55">
        <f t="shared" si="2"/>
        <v>0.69847678473114339</v>
      </c>
      <c r="P16" s="174">
        <f>21884/11418</f>
        <v>1.9166228761604485</v>
      </c>
      <c r="Q16" s="174">
        <f>22763/11418</f>
        <v>1.9936065860921353</v>
      </c>
      <c r="R16" s="174">
        <f>12007/11418</f>
        <v>1.0515852163251007</v>
      </c>
      <c r="S16" s="174">
        <f>20998/11418</f>
        <v>1.839026099141706</v>
      </c>
      <c r="T16" s="174">
        <f>14464/11418</f>
        <v>1.2667717638815905</v>
      </c>
      <c r="U16" s="174">
        <f>7302/11418</f>
        <v>0.63951655281135045</v>
      </c>
      <c r="V16" s="174">
        <f>18244/11418</f>
        <v>1.5978279908915747</v>
      </c>
      <c r="W16" s="174">
        <f>7841/11418</f>
        <v>0.68672271851462607</v>
      </c>
      <c r="X16" s="174">
        <f>1067/D16</f>
        <v>6.5271915336147304E-2</v>
      </c>
      <c r="Y16" s="173">
        <f t="shared" si="3"/>
        <v>7.7427050835015603</v>
      </c>
      <c r="Z16" s="178">
        <v>163</v>
      </c>
      <c r="AA16" s="178">
        <v>126</v>
      </c>
      <c r="AB16" s="174">
        <v>594.37</v>
      </c>
      <c r="AC16" s="174">
        <v>712</v>
      </c>
      <c r="AD16" s="179">
        <f t="shared" si="0"/>
        <v>9.9712485471340311E-3</v>
      </c>
      <c r="AE16" s="176">
        <f t="shared" si="4"/>
        <v>7.7078363002385762E-3</v>
      </c>
      <c r="AF16" s="174">
        <f t="shared" si="5"/>
        <v>3.646441717791411</v>
      </c>
      <c r="AG16" s="180">
        <f t="shared" si="6"/>
        <v>3.6359576680736527E-2</v>
      </c>
      <c r="AH16" s="181">
        <f>3434/C16</f>
        <v>0.7479851884121107</v>
      </c>
      <c r="AI16" s="181">
        <f>2140/C16</f>
        <v>0.46612938357656286</v>
      </c>
      <c r="AJ16" s="174">
        <f>11736/D16</f>
        <v>0.71792989539365026</v>
      </c>
    </row>
    <row r="17" spans="1:36" ht="16.05" hidden="1" customHeight="1" outlineLevel="1">
      <c r="A17" s="170">
        <v>43358</v>
      </c>
      <c r="B17" s="185" t="s">
        <v>51</v>
      </c>
      <c r="C17" s="172">
        <v>4732</v>
      </c>
      <c r="D17" s="172">
        <v>16349</v>
      </c>
      <c r="E17" s="173">
        <f t="shared" si="1"/>
        <v>3.4549873203719357</v>
      </c>
      <c r="F17" s="174">
        <f t="shared" si="7"/>
        <v>0.64907814912227035</v>
      </c>
      <c r="G17" s="175">
        <v>16.059999999999999</v>
      </c>
      <c r="I17" s="176">
        <v>0.433</v>
      </c>
      <c r="J17" s="176">
        <v>0.17599999999999999</v>
      </c>
      <c r="K17" s="176">
        <v>8.7999999999999995E-2</v>
      </c>
      <c r="L17" s="174">
        <f>141326/D17</f>
        <v>8.6443207535629085</v>
      </c>
      <c r="M17" s="177">
        <f>151896/D17</f>
        <v>9.2908434766652395</v>
      </c>
      <c r="N17" s="174">
        <f>151896/11534</f>
        <v>13.16941217270678</v>
      </c>
      <c r="O17" s="55">
        <f t="shared" si="2"/>
        <v>0.70548657410239157</v>
      </c>
      <c r="P17" s="174">
        <f>25526/11534</f>
        <v>2.2131090688399513</v>
      </c>
      <c r="Q17" s="174">
        <f>28028/11534</f>
        <v>2.4300329460724814</v>
      </c>
      <c r="R17" s="174">
        <f>21598/11534</f>
        <v>1.8725507196115831</v>
      </c>
      <c r="S17" s="174">
        <f>21129/11534</f>
        <v>1.8318883301543263</v>
      </c>
      <c r="T17" s="174">
        <f>17550/11534</f>
        <v>1.5215883474943646</v>
      </c>
      <c r="U17" s="174">
        <f>6420/11534</f>
        <v>0.55661522455349399</v>
      </c>
      <c r="V17" s="174">
        <f>23011/11534</f>
        <v>1.995058089127796</v>
      </c>
      <c r="W17" s="174">
        <f>8634/11534</f>
        <v>0.74856944685278304</v>
      </c>
      <c r="X17" s="174">
        <f>1627/D17</f>
        <v>9.9516790017738083E-2</v>
      </c>
      <c r="Y17" s="173">
        <f t="shared" si="3"/>
        <v>9.3903602666829773</v>
      </c>
      <c r="Z17" s="178">
        <v>159</v>
      </c>
      <c r="AA17" s="178">
        <v>128</v>
      </c>
      <c r="AB17" s="174">
        <v>846.41</v>
      </c>
      <c r="AC17" s="174">
        <v>1117.3599999999999</v>
      </c>
      <c r="AD17" s="179">
        <f t="shared" si="0"/>
        <v>9.7253654657777234E-3</v>
      </c>
      <c r="AE17" s="176">
        <f t="shared" si="4"/>
        <v>7.829225029053765E-3</v>
      </c>
      <c r="AF17" s="174">
        <f t="shared" si="5"/>
        <v>5.3233333333333333</v>
      </c>
      <c r="AG17" s="180">
        <f t="shared" si="6"/>
        <v>5.1771362162823416E-2</v>
      </c>
      <c r="AH17" s="181">
        <f>3472/C17</f>
        <v>0.73372781065088755</v>
      </c>
      <c r="AI17" s="181">
        <f>2013/C17</f>
        <v>0.4254015215553677</v>
      </c>
      <c r="AJ17" s="174">
        <f>8603/D17</f>
        <v>0.52620955410116832</v>
      </c>
    </row>
    <row r="18" spans="1:36" ht="16.05" hidden="1" customHeight="1" outlineLevel="1">
      <c r="A18" s="170">
        <v>43359</v>
      </c>
      <c r="B18" s="185" t="s">
        <v>51</v>
      </c>
      <c r="C18" s="172">
        <v>5462</v>
      </c>
      <c r="D18" s="172">
        <v>17376</v>
      </c>
      <c r="E18" s="173">
        <f t="shared" si="1"/>
        <v>3.1812522885389969</v>
      </c>
      <c r="F18" s="174">
        <f t="shared" si="7"/>
        <v>0.60627202232965005</v>
      </c>
      <c r="G18" s="175">
        <v>16.12</v>
      </c>
      <c r="I18" s="176">
        <v>0.38100000000000001</v>
      </c>
      <c r="J18" s="176">
        <v>0.17299999999999999</v>
      </c>
      <c r="K18" s="176">
        <v>9.0999999999999998E-2</v>
      </c>
      <c r="L18" s="174">
        <f>141087/D18</f>
        <v>8.1196477900552484</v>
      </c>
      <c r="M18" s="177">
        <f>151398/D18</f>
        <v>8.7130524861878449</v>
      </c>
      <c r="N18" s="174">
        <f>151398/12158</f>
        <v>12.452541536436915</v>
      </c>
      <c r="O18" s="55">
        <f t="shared" si="2"/>
        <v>0.69970073664825039</v>
      </c>
      <c r="P18" s="174">
        <f>26489/12158</f>
        <v>2.1787300542852441</v>
      </c>
      <c r="Q18" s="174">
        <f>27664/12158</f>
        <v>2.2753742391840763</v>
      </c>
      <c r="R18" s="174">
        <f>19242/12158</f>
        <v>1.5826616219772989</v>
      </c>
      <c r="S18" s="174">
        <f>22059/12158</f>
        <v>1.8143609146241158</v>
      </c>
      <c r="T18" s="174">
        <f>17799/12158</f>
        <v>1.4639743378845205</v>
      </c>
      <c r="U18" s="174">
        <f>7200/12158</f>
        <v>0.59220266491199214</v>
      </c>
      <c r="V18" s="174">
        <f>22106/12158</f>
        <v>1.818226682020069</v>
      </c>
      <c r="W18" s="174">
        <f>8839/12158</f>
        <v>0.72701102154959696</v>
      </c>
      <c r="X18" s="174">
        <f>2059/D18</f>
        <v>0.11849677716390423</v>
      </c>
      <c r="Y18" s="173">
        <f t="shared" si="3"/>
        <v>8.8315492633517483</v>
      </c>
      <c r="Z18" s="178">
        <v>165</v>
      </c>
      <c r="AA18" s="178">
        <v>109</v>
      </c>
      <c r="AB18" s="174">
        <v>813.35</v>
      </c>
      <c r="AC18" s="174">
        <v>691.87</v>
      </c>
      <c r="AD18" s="179">
        <f t="shared" si="0"/>
        <v>9.4958563535911603E-3</v>
      </c>
      <c r="AE18" s="176">
        <f t="shared" si="4"/>
        <v>6.2730202578268873E-3</v>
      </c>
      <c r="AF18" s="174">
        <f t="shared" si="5"/>
        <v>4.9293939393939397</v>
      </c>
      <c r="AG18" s="180">
        <f t="shared" si="6"/>
        <v>4.68088167587477E-2</v>
      </c>
      <c r="AH18" s="181">
        <f>3899/C18</f>
        <v>0.71384108385206879</v>
      </c>
      <c r="AI18" s="181">
        <f>2339/C18</f>
        <v>0.42823141706334678</v>
      </c>
      <c r="AJ18" s="174">
        <f>9810/D18</f>
        <v>0.5645718232044199</v>
      </c>
    </row>
    <row r="19" spans="1:36" ht="16.05" hidden="1" customHeight="1" outlineLevel="1">
      <c r="A19" s="170">
        <v>43360</v>
      </c>
      <c r="B19" s="185" t="s">
        <v>51</v>
      </c>
      <c r="C19" s="172">
        <v>4818</v>
      </c>
      <c r="D19" s="172">
        <v>16876</v>
      </c>
      <c r="E19" s="173">
        <f t="shared" si="1"/>
        <v>3.5026982150269821</v>
      </c>
      <c r="F19" s="174">
        <f t="shared" si="7"/>
        <v>0.58737471823891918</v>
      </c>
      <c r="G19" s="175">
        <v>16.63</v>
      </c>
      <c r="I19" s="176">
        <v>0.42099999999999999</v>
      </c>
      <c r="J19" s="176">
        <v>0.189</v>
      </c>
      <c r="K19" s="176">
        <v>8.8999999999999996E-2</v>
      </c>
      <c r="L19" s="174">
        <f>132667/D19</f>
        <v>7.8612822943825549</v>
      </c>
      <c r="M19" s="177">
        <f>137789/D19</f>
        <v>8.1647902346527612</v>
      </c>
      <c r="N19" s="174">
        <f>137789/11825</f>
        <v>11.652346723044397</v>
      </c>
      <c r="O19" s="55">
        <f t="shared" si="2"/>
        <v>0.70069921782412892</v>
      </c>
      <c r="P19" s="174">
        <f>24559/11825</f>
        <v>2.0768710359408034</v>
      </c>
      <c r="Q19" s="174">
        <f>25629/11825</f>
        <v>2.1673572938689216</v>
      </c>
      <c r="R19" s="174">
        <f>16099/11825</f>
        <v>1.3614376321353066</v>
      </c>
      <c r="S19" s="174">
        <f>20637/11825</f>
        <v>1.745200845665962</v>
      </c>
      <c r="T19" s="174">
        <f>16352/11825</f>
        <v>1.3828329809725159</v>
      </c>
      <c r="U19" s="174">
        <f>6759/11825</f>
        <v>0.57158562367864696</v>
      </c>
      <c r="V19" s="174">
        <f>19654/11825</f>
        <v>1.6620718816067652</v>
      </c>
      <c r="W19" s="174">
        <f>8099/11825</f>
        <v>0.68490486257928118</v>
      </c>
      <c r="X19" s="174">
        <f>6456/D19</f>
        <v>0.38255510784546098</v>
      </c>
      <c r="Y19" s="173">
        <f t="shared" si="3"/>
        <v>8.5473453424982218</v>
      </c>
      <c r="Z19" s="178">
        <v>154</v>
      </c>
      <c r="AA19" s="178">
        <v>117</v>
      </c>
      <c r="AB19" s="174">
        <v>772.46</v>
      </c>
      <c r="AD19" s="179">
        <f t="shared" si="0"/>
        <v>9.1253851623607496E-3</v>
      </c>
      <c r="AE19" s="176">
        <f t="shared" si="4"/>
        <v>6.9329224934818676E-3</v>
      </c>
      <c r="AF19" s="174">
        <f t="shared" si="5"/>
        <v>5.0159740259740264</v>
      </c>
      <c r="AG19" s="180">
        <f t="shared" si="6"/>
        <v>4.5772694951410293E-2</v>
      </c>
      <c r="AH19" s="181">
        <f>3465/C19</f>
        <v>0.71917808219178081</v>
      </c>
      <c r="AI19" s="181">
        <f>2232/C19</f>
        <v>0.46326276463262767</v>
      </c>
      <c r="AJ19" s="174">
        <f>9854/D19</f>
        <v>0.58390613889547283</v>
      </c>
    </row>
    <row r="20" spans="1:36" ht="16.05" hidden="1" customHeight="1" outlineLevel="1">
      <c r="A20" s="184">
        <v>43361</v>
      </c>
      <c r="B20" s="185" t="s">
        <v>51</v>
      </c>
      <c r="C20" s="172">
        <v>3969</v>
      </c>
      <c r="D20" s="172">
        <v>15801</v>
      </c>
      <c r="E20" s="173">
        <f t="shared" si="1"/>
        <v>3.9811035525321241</v>
      </c>
      <c r="F20" s="174">
        <f t="shared" si="7"/>
        <v>0.60109646794506677</v>
      </c>
      <c r="G20" s="175">
        <v>16.14</v>
      </c>
      <c r="I20" s="176">
        <v>0.432</v>
      </c>
      <c r="J20" s="176">
        <v>0.20300000000000001</v>
      </c>
      <c r="K20" s="176">
        <v>0.09</v>
      </c>
      <c r="L20" s="174">
        <f>123292/D20</f>
        <v>7.8027972913106769</v>
      </c>
      <c r="M20" s="177">
        <f>129521/D20</f>
        <v>8.1970128472881463</v>
      </c>
      <c r="N20" s="174">
        <f>129521/11140</f>
        <v>11.626660682226213</v>
      </c>
      <c r="O20" s="55">
        <f t="shared" si="2"/>
        <v>0.70501866970444904</v>
      </c>
      <c r="P20" s="174">
        <f>22888/11140</f>
        <v>2.0545780969479353</v>
      </c>
      <c r="Q20" s="174">
        <f>24671/11140</f>
        <v>2.2146319569120285</v>
      </c>
      <c r="R20" s="174">
        <f>14365/11140</f>
        <v>1.2894973070017954</v>
      </c>
      <c r="S20" s="174">
        <f>19216/11140</f>
        <v>1.7249551166965889</v>
      </c>
      <c r="T20" s="174">
        <f>15197/11141</f>
        <v>1.3640606767794632</v>
      </c>
      <c r="U20" s="174">
        <f>6296/11141</f>
        <v>0.56511982766358493</v>
      </c>
      <c r="V20" s="174">
        <f>18947/11140</f>
        <v>1.7008078994614004</v>
      </c>
      <c r="W20" s="174">
        <f>7940/11140</f>
        <v>0.71274685816876127</v>
      </c>
      <c r="X20" s="174">
        <f>1692/D20</f>
        <v>0.10708183026390734</v>
      </c>
      <c r="Y20" s="173">
        <f t="shared" si="3"/>
        <v>8.3040946775520528</v>
      </c>
      <c r="Z20" s="178">
        <f>73+25+23+14+12+12+9</f>
        <v>168</v>
      </c>
      <c r="AA20" s="178">
        <v>120</v>
      </c>
      <c r="AB20" s="174">
        <v>890.32</v>
      </c>
      <c r="AD20" s="179">
        <f t="shared" si="0"/>
        <v>1.0632238465919878E-2</v>
      </c>
      <c r="AE20" s="176">
        <f t="shared" si="4"/>
        <v>7.5944560470856274E-3</v>
      </c>
      <c r="AF20" s="174">
        <f t="shared" si="5"/>
        <v>5.2995238095238095</v>
      </c>
      <c r="AG20" s="180">
        <f t="shared" si="6"/>
        <v>5.6345800898677294E-2</v>
      </c>
      <c r="AH20" s="181">
        <f>2927/C20</f>
        <v>0.73746535651297551</v>
      </c>
      <c r="AI20" s="181">
        <f>1986/C20</f>
        <v>0.50037792894935751</v>
      </c>
      <c r="AJ20" s="174">
        <f>9374/D20</f>
        <v>0.59325359154483892</v>
      </c>
    </row>
    <row r="21" spans="1:36" ht="16.05" hidden="1" customHeight="1" outlineLevel="1">
      <c r="A21" s="186">
        <v>43362</v>
      </c>
      <c r="B21" s="171" t="s">
        <v>51</v>
      </c>
      <c r="C21" s="172">
        <v>4442</v>
      </c>
      <c r="D21" s="172">
        <v>15993</v>
      </c>
      <c r="E21" s="173">
        <f t="shared" si="1"/>
        <v>3.6004052228725798</v>
      </c>
      <c r="F21" s="174">
        <f t="shared" si="7"/>
        <v>0.59563239636090781</v>
      </c>
      <c r="G21" s="175">
        <v>16.57</v>
      </c>
      <c r="I21" s="176">
        <v>0.41699999999999998</v>
      </c>
      <c r="J21" s="176">
        <v>0.183</v>
      </c>
      <c r="K21" s="176">
        <v>7.9000000000000001E-2</v>
      </c>
      <c r="L21" s="174">
        <f>127634/D21</f>
        <v>7.9806165197273806</v>
      </c>
      <c r="M21" s="177">
        <f>126017/D21</f>
        <v>7.8795097855311695</v>
      </c>
      <c r="N21" s="174">
        <f>126017/11086</f>
        <v>11.367219917012449</v>
      </c>
      <c r="O21" s="55">
        <f t="shared" si="2"/>
        <v>0.69317826549115236</v>
      </c>
      <c r="P21" s="174">
        <f>22044/11086</f>
        <v>1.9884539058271693</v>
      </c>
      <c r="Q21" s="174">
        <f>22422/11086</f>
        <v>2.0225509651813098</v>
      </c>
      <c r="R21" s="174">
        <f>14367/11086</f>
        <v>1.2959588670395092</v>
      </c>
      <c r="S21" s="174">
        <f>19890/11086</f>
        <v>1.7941547898250045</v>
      </c>
      <c r="T21" s="174">
        <f>14462/11086</f>
        <v>1.304528233808407</v>
      </c>
      <c r="U21" s="174">
        <f>6940/11086</f>
        <v>0.62601479343315891</v>
      </c>
      <c r="V21" s="174">
        <f>18457/11086</f>
        <v>1.664892657405737</v>
      </c>
      <c r="W21" s="174">
        <f>7435/11086</f>
        <v>0.67066570449215224</v>
      </c>
      <c r="X21" s="174">
        <f>1693/D21</f>
        <v>0.10585881323078847</v>
      </c>
      <c r="Y21" s="173">
        <f t="shared" si="3"/>
        <v>7.9853685987619576</v>
      </c>
      <c r="Z21" s="178">
        <f>73+37+31+21+14+6+4</f>
        <v>186</v>
      </c>
      <c r="AA21" s="178">
        <v>133</v>
      </c>
      <c r="AB21" s="174">
        <v>905.14</v>
      </c>
      <c r="AD21" s="179">
        <f t="shared" si="0"/>
        <v>1.1630088163571563E-2</v>
      </c>
      <c r="AE21" s="176">
        <f t="shared" si="4"/>
        <v>8.3161383105108486E-3</v>
      </c>
      <c r="AF21" s="174">
        <f t="shared" si="5"/>
        <v>4.8663440860215053</v>
      </c>
      <c r="AG21" s="180">
        <f t="shared" si="6"/>
        <v>5.6596010754705182E-2</v>
      </c>
      <c r="AH21" s="181">
        <f>3205/C21</f>
        <v>0.72152183701035566</v>
      </c>
      <c r="AI21" s="181">
        <f>1916/C21</f>
        <v>0.43133723547951375</v>
      </c>
      <c r="AJ21" s="174">
        <f>9973/D21</f>
        <v>0.62358531857687738</v>
      </c>
    </row>
    <row r="22" spans="1:36" ht="16.05" hidden="1" customHeight="1" outlineLevel="1">
      <c r="A22" s="186">
        <v>43363</v>
      </c>
      <c r="B22" s="171" t="s">
        <v>51</v>
      </c>
      <c r="C22" s="172">
        <v>4297</v>
      </c>
      <c r="D22" s="172">
        <v>15485</v>
      </c>
      <c r="E22" s="173">
        <f t="shared" si="1"/>
        <v>3.6036769839422855</v>
      </c>
      <c r="F22" s="174">
        <f t="shared" si="7"/>
        <v>0.49183893639005494</v>
      </c>
      <c r="G22" s="175">
        <v>15.21</v>
      </c>
      <c r="I22" s="176">
        <v>0.40699999999999997</v>
      </c>
      <c r="J22" s="176">
        <v>0.17699999999999999</v>
      </c>
      <c r="K22" s="176">
        <v>7.3999999999999996E-2</v>
      </c>
      <c r="L22" s="174">
        <f>120458/D22</f>
        <v>7.7790119470455279</v>
      </c>
      <c r="M22" s="177">
        <f>111238/D22</f>
        <v>7.1835970293832743</v>
      </c>
      <c r="N22" s="174">
        <f>111238/10735</f>
        <v>10.362179785747555</v>
      </c>
      <c r="O22" s="55">
        <f t="shared" si="2"/>
        <v>0.69325153374233128</v>
      </c>
      <c r="P22" s="174">
        <f>19172/10735</f>
        <v>1.7859338612016769</v>
      </c>
      <c r="Q22" s="174">
        <f>19809/10735</f>
        <v>1.8452724732184442</v>
      </c>
      <c r="R22" s="174">
        <f>10781/10735</f>
        <v>1.0042850489054496</v>
      </c>
      <c r="S22" s="174">
        <f>19394/10735</f>
        <v>1.8066138798323241</v>
      </c>
      <c r="T22" s="174">
        <f>12618/10735</f>
        <v>1.175407545412203</v>
      </c>
      <c r="U22" s="174">
        <f>6935/10735</f>
        <v>0.64601769911504425</v>
      </c>
      <c r="V22" s="174">
        <f>15791/10735</f>
        <v>1.470982766651141</v>
      </c>
      <c r="W22" s="174">
        <f>6738/10735</f>
        <v>0.6276665114112715</v>
      </c>
      <c r="X22" s="174">
        <f>3641/D22</f>
        <v>0.23513077171456248</v>
      </c>
      <c r="Y22" s="173">
        <f t="shared" si="3"/>
        <v>7.4187278010978366</v>
      </c>
      <c r="Z22" s="178">
        <f>59+27+18+16+12+10</f>
        <v>142</v>
      </c>
      <c r="AA22" s="178">
        <v>107</v>
      </c>
      <c r="AB22" s="174">
        <v>691.58</v>
      </c>
      <c r="AD22" s="179">
        <f t="shared" si="0"/>
        <v>9.1701646754924118E-3</v>
      </c>
      <c r="AE22" s="176">
        <f t="shared" si="4"/>
        <v>6.9099128188569586E-3</v>
      </c>
      <c r="AF22" s="174">
        <f t="shared" si="5"/>
        <v>4.8702816901408452</v>
      </c>
      <c r="AG22" s="180">
        <f t="shared" si="6"/>
        <v>4.466128511462706E-2</v>
      </c>
      <c r="AH22" s="181">
        <f>3056/C22</f>
        <v>0.71119385617872932</v>
      </c>
      <c r="AI22" s="181">
        <f>1806/C22</f>
        <v>0.42029322783337214</v>
      </c>
      <c r="AJ22" s="174">
        <f>10335/D22</f>
        <v>0.66742008395221186</v>
      </c>
    </row>
    <row r="23" spans="1:36" ht="16.05" hidden="1" customHeight="1" outlineLevel="1">
      <c r="A23" s="186">
        <v>43364</v>
      </c>
      <c r="B23" s="171" t="s">
        <v>51</v>
      </c>
      <c r="C23" s="172">
        <v>3940</v>
      </c>
      <c r="D23" s="172">
        <v>15028</v>
      </c>
      <c r="E23" s="173">
        <f t="shared" si="1"/>
        <v>3.8142131979695431</v>
      </c>
      <c r="F23" s="174">
        <f t="shared" si="7"/>
        <v>0.53415859262709608</v>
      </c>
      <c r="G23" s="175">
        <v>16.22</v>
      </c>
      <c r="I23" s="176">
        <v>0.38</v>
      </c>
      <c r="J23" s="176">
        <v>0.16</v>
      </c>
      <c r="K23" s="176">
        <v>7.6999999999999999E-2</v>
      </c>
      <c r="L23" s="174">
        <f>112857/D23</f>
        <v>7.5097817407505989</v>
      </c>
      <c r="M23" s="177">
        <f>103929/D23</f>
        <v>6.9156907106734096</v>
      </c>
      <c r="N23" s="174">
        <f>103929/10279</f>
        <v>10.110808444401206</v>
      </c>
      <c r="O23" s="55">
        <f t="shared" si="2"/>
        <v>0.68398988554697904</v>
      </c>
      <c r="P23" s="174">
        <f>18181/10279</f>
        <v>1.7687518241074034</v>
      </c>
      <c r="Q23" s="174">
        <f>18221/10279</f>
        <v>1.7726432532347505</v>
      </c>
      <c r="R23" s="174">
        <f>10075/10279</f>
        <v>0.98015371145053021</v>
      </c>
      <c r="S23" s="174">
        <f>18086/10279</f>
        <v>1.7595096799299543</v>
      </c>
      <c r="T23" s="174">
        <f>12130/10279</f>
        <v>1.1800758828679834</v>
      </c>
      <c r="U23" s="174">
        <f>6450/10279</f>
        <v>0.62749294678470668</v>
      </c>
      <c r="V23" s="174">
        <f>14471/10279</f>
        <v>1.4078217725459674</v>
      </c>
      <c r="W23" s="174">
        <f>6315/10279</f>
        <v>0.61435937347991054</v>
      </c>
      <c r="X23" s="174">
        <f>3260/D23</f>
        <v>0.21692840031940377</v>
      </c>
      <c r="Y23" s="173">
        <f t="shared" si="3"/>
        <v>7.1326191109928132</v>
      </c>
      <c r="Z23" s="178">
        <v>172</v>
      </c>
      <c r="AA23" s="178">
        <v>119</v>
      </c>
      <c r="AB23" s="174">
        <v>868.28</v>
      </c>
      <c r="AD23" s="179">
        <f t="shared" si="0"/>
        <v>1.1445302102741549E-2</v>
      </c>
      <c r="AE23" s="176">
        <f t="shared" si="4"/>
        <v>7.9185520361990946E-3</v>
      </c>
      <c r="AF23" s="174">
        <f t="shared" ref="AF23:AF31" si="8">AB23/Z23</f>
        <v>5.0481395348837204</v>
      </c>
      <c r="AG23" s="180">
        <f t="shared" si="6"/>
        <v>5.7777482033537386E-2</v>
      </c>
      <c r="AH23" s="181">
        <f>2898/C23</f>
        <v>0.73553299492385782</v>
      </c>
      <c r="AI23" s="181">
        <f>1739/C23</f>
        <v>0.44137055837563449</v>
      </c>
      <c r="AJ23" s="174">
        <f>9960/D23</f>
        <v>0.6627628426936385</v>
      </c>
    </row>
    <row r="24" spans="1:36" ht="16.05" hidden="1" customHeight="1" outlineLevel="1">
      <c r="A24" s="186">
        <v>43365</v>
      </c>
      <c r="B24" s="185" t="s">
        <v>51</v>
      </c>
      <c r="C24" s="172">
        <v>4409</v>
      </c>
      <c r="D24" s="172">
        <v>14699</v>
      </c>
      <c r="E24" s="173">
        <f t="shared" si="1"/>
        <v>3.3338625538670899</v>
      </c>
      <c r="F24" s="174">
        <f t="shared" si="7"/>
        <v>0.65679491325940542</v>
      </c>
      <c r="G24" s="175">
        <v>16.66</v>
      </c>
      <c r="I24" s="176">
        <v>0.39500000000000002</v>
      </c>
      <c r="J24" s="176">
        <v>0.161</v>
      </c>
      <c r="K24" s="176">
        <v>7.8E-2</v>
      </c>
      <c r="L24" s="174">
        <f>128113/D24</f>
        <v>8.7157629770732701</v>
      </c>
      <c r="M24" s="177">
        <f>118003/D24</f>
        <v>8.0279610857881494</v>
      </c>
      <c r="N24" s="174">
        <f>118003/10022</f>
        <v>11.774396328078227</v>
      </c>
      <c r="O24" s="55">
        <f t="shared" si="2"/>
        <v>0.6818150894618682</v>
      </c>
      <c r="P24" s="167">
        <v>2.2292955497904599</v>
      </c>
      <c r="Q24" s="167">
        <v>2.23079225703452</v>
      </c>
      <c r="R24" s="167">
        <v>1.04549990021952</v>
      </c>
      <c r="S24" s="167">
        <v>1.7618239872281001</v>
      </c>
      <c r="T24" s="167">
        <v>1.43374575932947</v>
      </c>
      <c r="U24" s="167">
        <v>0.59698662941528602</v>
      </c>
      <c r="V24" s="167">
        <v>1.7719018160047899</v>
      </c>
      <c r="W24" s="167">
        <v>0.70435042905607703</v>
      </c>
      <c r="X24" s="174">
        <f>4794/D24</f>
        <v>0.32614463568950269</v>
      </c>
      <c r="Y24" s="173">
        <f t="shared" si="3"/>
        <v>8.3541057214776515</v>
      </c>
      <c r="Z24" s="178">
        <f>72+53+21+17+12+16+6</f>
        <v>197</v>
      </c>
      <c r="AA24" s="178">
        <v>138</v>
      </c>
      <c r="AB24" s="174">
        <v>1132.03</v>
      </c>
      <c r="AD24" s="179">
        <f t="shared" si="0"/>
        <v>1.3402272263419281E-2</v>
      </c>
      <c r="AE24" s="176">
        <f t="shared" si="4"/>
        <v>9.3883937682835567E-3</v>
      </c>
      <c r="AF24" s="174">
        <f t="shared" si="8"/>
        <v>5.7463451776649741</v>
      </c>
      <c r="AG24" s="180">
        <f t="shared" si="6"/>
        <v>7.7014082590652427E-2</v>
      </c>
      <c r="AH24" s="181">
        <f>3109/C24</f>
        <v>0.70514855976411883</v>
      </c>
      <c r="AI24" s="181">
        <f>1620/C24</f>
        <v>0.36743025629394421</v>
      </c>
      <c r="AJ24" s="174">
        <f>7723/D24</f>
        <v>0.52540989182937614</v>
      </c>
    </row>
    <row r="25" spans="1:36" ht="16.05" hidden="1" customHeight="1" outlineLevel="1">
      <c r="A25" s="186">
        <v>43366</v>
      </c>
      <c r="B25" s="185" t="s">
        <v>51</v>
      </c>
      <c r="C25" s="172">
        <v>4833</v>
      </c>
      <c r="D25" s="172">
        <v>15346</v>
      </c>
      <c r="E25" s="173">
        <f t="shared" si="1"/>
        <v>3.175253465756259</v>
      </c>
      <c r="F25" s="174">
        <f t="shared" si="7"/>
        <v>0.66165644402450141</v>
      </c>
      <c r="G25" s="175">
        <v>15.53</v>
      </c>
      <c r="I25" s="176">
        <v>0.38600000000000001</v>
      </c>
      <c r="J25" s="176">
        <v>0.17</v>
      </c>
      <c r="K25" s="176">
        <v>8.5000000000000006E-2</v>
      </c>
      <c r="L25" s="174">
        <f>127770/D25</f>
        <v>8.3259481298058127</v>
      </c>
      <c r="M25" s="177">
        <f>131998/D25</f>
        <v>8.6014596637560281</v>
      </c>
      <c r="N25" s="174">
        <f>131998/10520</f>
        <v>12.547338403041826</v>
      </c>
      <c r="O25" s="55">
        <f t="shared" si="2"/>
        <v>0.68552065684869024</v>
      </c>
      <c r="P25" s="167">
        <v>2.25893536121673</v>
      </c>
      <c r="Q25" s="167">
        <v>2.3504752851710999</v>
      </c>
      <c r="R25" s="167">
        <v>1.17984790874525</v>
      </c>
      <c r="S25" s="167">
        <v>1.9493346007604599</v>
      </c>
      <c r="T25" s="167">
        <v>1.4619771863117901</v>
      </c>
      <c r="U25" s="167">
        <v>0.66739543726235695</v>
      </c>
      <c r="V25" s="167">
        <v>1.90598859315589</v>
      </c>
      <c r="W25" s="167">
        <v>0.77338403041825099</v>
      </c>
      <c r="X25" s="174">
        <f>5785/D25</f>
        <v>0.37697119770624266</v>
      </c>
      <c r="Y25" s="173">
        <f t="shared" si="3"/>
        <v>8.9784308614622717</v>
      </c>
      <c r="Z25" s="178">
        <f>75+46+25+22+13+11+15</f>
        <v>207</v>
      </c>
      <c r="AA25" s="178">
        <v>148</v>
      </c>
      <c r="AB25" s="174">
        <v>1215.93</v>
      </c>
      <c r="AD25" s="179">
        <f t="shared" si="0"/>
        <v>1.3488857031148181E-2</v>
      </c>
      <c r="AE25" s="176">
        <f t="shared" si="4"/>
        <v>9.6442069594682659E-3</v>
      </c>
      <c r="AF25" s="174">
        <f t="shared" si="8"/>
        <v>5.8740579710144933</v>
      </c>
      <c r="AG25" s="180">
        <f t="shared" si="6"/>
        <v>7.9234328163690873E-2</v>
      </c>
      <c r="AH25" s="181">
        <f>3495/C25</f>
        <v>0.72315332091868401</v>
      </c>
      <c r="AI25" s="181">
        <f>1940/C25</f>
        <v>0.40140699358576454</v>
      </c>
      <c r="AJ25" s="174">
        <f>8321/D25</f>
        <v>0.54222598722794213</v>
      </c>
    </row>
    <row r="26" spans="1:36" ht="16.05" hidden="1" customHeight="1" outlineLevel="1">
      <c r="A26" s="186">
        <v>43367</v>
      </c>
      <c r="B26" s="185" t="s">
        <v>51</v>
      </c>
      <c r="C26" s="172">
        <v>3848</v>
      </c>
      <c r="D26" s="172">
        <v>14324</v>
      </c>
      <c r="E26" s="173">
        <f t="shared" si="1"/>
        <v>3.7224532224532223</v>
      </c>
      <c r="F26" s="174">
        <f t="shared" si="7"/>
        <v>0.71556698303546495</v>
      </c>
      <c r="G26" s="175">
        <v>16.989999999999998</v>
      </c>
      <c r="I26" s="176">
        <v>0.41799999999999998</v>
      </c>
      <c r="J26" s="176">
        <v>0.182</v>
      </c>
      <c r="K26" s="176">
        <v>0.08</v>
      </c>
      <c r="L26" s="174">
        <f>118116/D26</f>
        <v>8.2460206646188219</v>
      </c>
      <c r="M26" s="177">
        <f>121801/D26</f>
        <v>8.5032812063669372</v>
      </c>
      <c r="N26" s="174">
        <f>121801/9920</f>
        <v>12.278326612903227</v>
      </c>
      <c r="O26" s="55">
        <f t="shared" si="2"/>
        <v>0.69254398212789725</v>
      </c>
      <c r="P26" s="167">
        <v>2.2246975806451599</v>
      </c>
      <c r="Q26" s="167">
        <v>2.2887096774193498</v>
      </c>
      <c r="R26" s="167">
        <v>1.3591733870967699</v>
      </c>
      <c r="S26" s="167">
        <v>1.81683467741935</v>
      </c>
      <c r="T26" s="167">
        <v>1.4894153225806499</v>
      </c>
      <c r="U26" s="167">
        <v>0.59798387096774197</v>
      </c>
      <c r="V26" s="167">
        <v>1.7554435483871</v>
      </c>
      <c r="W26" s="167">
        <v>0.74606854838709702</v>
      </c>
      <c r="X26" s="174">
        <f>5437/D26</f>
        <v>0.37957274504328398</v>
      </c>
      <c r="Y26" s="173">
        <f t="shared" si="3"/>
        <v>8.8828539514102207</v>
      </c>
      <c r="Z26" s="178">
        <f>60+34+19+18+14+16+9</f>
        <v>170</v>
      </c>
      <c r="AA26" s="178">
        <v>115</v>
      </c>
      <c r="AB26" s="174">
        <v>1227.3</v>
      </c>
      <c r="AD26" s="179">
        <f t="shared" si="0"/>
        <v>1.1868193242111143E-2</v>
      </c>
      <c r="AE26" s="176">
        <f t="shared" si="4"/>
        <v>8.028483663781066E-3</v>
      </c>
      <c r="AF26" s="174">
        <f t="shared" si="8"/>
        <v>7.2194117647058818</v>
      </c>
      <c r="AG26" s="180">
        <f t="shared" si="6"/>
        <v>8.5681373917900025E-2</v>
      </c>
      <c r="AH26" s="181">
        <f>2817/C26</f>
        <v>0.7320686070686071</v>
      </c>
      <c r="AI26" s="181">
        <f>1656/C26</f>
        <v>0.43035343035343038</v>
      </c>
      <c r="AJ26" s="174">
        <f>8315/D26</f>
        <v>0.5804942753420832</v>
      </c>
    </row>
    <row r="27" spans="1:36" ht="16.05" hidden="1" customHeight="1" outlineLevel="1">
      <c r="A27" s="186">
        <v>43368</v>
      </c>
      <c r="B27" s="185" t="s">
        <v>51</v>
      </c>
      <c r="C27" s="172">
        <v>3574</v>
      </c>
      <c r="D27" s="172">
        <v>13770</v>
      </c>
      <c r="E27" s="173">
        <f t="shared" si="1"/>
        <v>3.8528259653049806</v>
      </c>
      <c r="F27" s="174">
        <f t="shared" si="7"/>
        <v>0.64187405628177208</v>
      </c>
      <c r="G27" s="175">
        <v>16.21</v>
      </c>
      <c r="I27" s="176">
        <v>0.41599999999999998</v>
      </c>
      <c r="J27" s="176">
        <v>0.192</v>
      </c>
      <c r="K27" s="176">
        <v>8.1000000000000003E-2</v>
      </c>
      <c r="L27" s="174">
        <f>112611/D27</f>
        <v>8.177995642701525</v>
      </c>
      <c r="M27" s="177">
        <f>112033/D27</f>
        <v>8.1360203340595501</v>
      </c>
      <c r="N27" s="174">
        <f>112033/9573</f>
        <v>11.703018907343571</v>
      </c>
      <c r="O27" s="55">
        <f t="shared" si="2"/>
        <v>0.69520697167755985</v>
      </c>
      <c r="P27" s="174">
        <f>19473/9573</f>
        <v>2.0341585709808836</v>
      </c>
      <c r="Q27" s="174">
        <f>20532/9573</f>
        <v>2.1447821999373238</v>
      </c>
      <c r="R27" s="174">
        <f>11778/9573</f>
        <v>1.2303353180821059</v>
      </c>
      <c r="S27" s="174">
        <f>18253/9573</f>
        <v>1.9067168076882899</v>
      </c>
      <c r="T27" s="174">
        <f>13438/9573</f>
        <v>1.4037396845294057</v>
      </c>
      <c r="U27" s="174">
        <f>5854/9573</f>
        <v>0.6115115428810195</v>
      </c>
      <c r="V27" s="174">
        <f>15846/9573</f>
        <v>1.6552804763397053</v>
      </c>
      <c r="W27" s="174">
        <f>6859/9573</f>
        <v>0.71649430690483651</v>
      </c>
      <c r="X27" s="174">
        <f>4240/D27</f>
        <v>0.30791575889615103</v>
      </c>
      <c r="Y27" s="173">
        <f t="shared" si="3"/>
        <v>8.4439360929557008</v>
      </c>
      <c r="Z27" s="178">
        <f>77+30+21+15+14+13+7</f>
        <v>177</v>
      </c>
      <c r="AA27" s="178">
        <v>137</v>
      </c>
      <c r="AB27" s="174">
        <f>77*0.99+30*7.99+21*2.99+15*4.99+14*9.99+7*9.99+6*19.99+4*19.99+3*49.99</f>
        <v>1013.2300000000002</v>
      </c>
      <c r="AC27" s="194"/>
      <c r="AD27" s="179">
        <f t="shared" si="0"/>
        <v>1.2854030501089325E-2</v>
      </c>
      <c r="AE27" s="176">
        <f t="shared" si="4"/>
        <v>9.9491648511256352E-3</v>
      </c>
      <c r="AF27" s="174">
        <f t="shared" si="8"/>
        <v>5.7244632768361594</v>
      </c>
      <c r="AG27" s="180">
        <f t="shared" si="6"/>
        <v>7.3582425562817744E-2</v>
      </c>
      <c r="AH27" s="181">
        <f>2711/C27</f>
        <v>0.7585338556239507</v>
      </c>
      <c r="AI27" s="181">
        <f>1712/C27</f>
        <v>0.47901510912143258</v>
      </c>
      <c r="AJ27" s="174">
        <f>8718/D27</f>
        <v>0.6331154684095861</v>
      </c>
    </row>
    <row r="28" spans="1:36" ht="16.05" hidden="1" customHeight="1" outlineLevel="1">
      <c r="A28" s="170">
        <v>43369</v>
      </c>
      <c r="B28" s="187" t="s">
        <v>51</v>
      </c>
      <c r="C28" s="172">
        <v>4078</v>
      </c>
      <c r="D28" s="172">
        <v>13722</v>
      </c>
      <c r="E28" s="173">
        <f t="shared" si="1"/>
        <v>3.3648847474252084</v>
      </c>
      <c r="F28" s="174">
        <f t="shared" si="7"/>
        <v>0.49845010749161928</v>
      </c>
      <c r="G28" s="175">
        <v>14.49</v>
      </c>
      <c r="I28" s="176">
        <v>0.41599999999999998</v>
      </c>
      <c r="J28" s="176">
        <v>0.17599999999999999</v>
      </c>
      <c r="K28" s="176">
        <v>7.9000000000000001E-2</v>
      </c>
      <c r="L28" s="174">
        <f>108532/D28</f>
        <v>7.9093426614196183</v>
      </c>
      <c r="M28" s="177">
        <f>102425/D28</f>
        <v>7.464290919691007</v>
      </c>
      <c r="N28" s="174">
        <f>102425/9462</f>
        <v>10.824878461213274</v>
      </c>
      <c r="O28" s="55">
        <f t="shared" si="2"/>
        <v>0.68954962833406208</v>
      </c>
      <c r="P28" s="174">
        <f>18030/9462</f>
        <v>1.9055168040583386</v>
      </c>
      <c r="Q28" s="174">
        <f>17638/9462</f>
        <v>1.8640879306700486</v>
      </c>
      <c r="R28" s="174">
        <f>10655/9462</f>
        <v>1.1260832804903826</v>
      </c>
      <c r="S28" s="174">
        <f>17945/9462</f>
        <v>1.8965335024307757</v>
      </c>
      <c r="T28" s="174">
        <f>12113/9462</f>
        <v>1.2801733248784612</v>
      </c>
      <c r="U28" s="174">
        <f>6153/9462</f>
        <v>0.65028535193405201</v>
      </c>
      <c r="V28" s="174">
        <f>13630/9462</f>
        <v>1.4404988374550836</v>
      </c>
      <c r="W28" s="174">
        <f>6261/9462</f>
        <v>0.6616994292961319</v>
      </c>
      <c r="X28" s="174">
        <f>3562/C28</f>
        <v>0.87346738597351647</v>
      </c>
      <c r="Y28" s="173">
        <f t="shared" si="3"/>
        <v>8.3377583056645239</v>
      </c>
      <c r="Z28" s="178">
        <f>71+23+31+11+11</f>
        <v>147</v>
      </c>
      <c r="AA28" s="178">
        <v>108</v>
      </c>
      <c r="AB28" s="174">
        <f>71*0.99+23*7.99+19*4.99+12*9.99+11*2.99+5*9.99+6*19.99</f>
        <v>671.53</v>
      </c>
      <c r="AC28" s="194"/>
      <c r="AD28" s="179">
        <f t="shared" si="0"/>
        <v>1.0712724092697858E-2</v>
      </c>
      <c r="AE28" s="176">
        <f t="shared" si="4"/>
        <v>7.870572802798426E-3</v>
      </c>
      <c r="AF28" s="174">
        <f t="shared" si="8"/>
        <v>4.568231292517007</v>
      </c>
      <c r="AG28" s="180">
        <f t="shared" si="6"/>
        <v>4.8938201428363214E-2</v>
      </c>
      <c r="AH28" s="181">
        <f>2991/C28</f>
        <v>0.73344776851397742</v>
      </c>
      <c r="AI28" s="181">
        <f>1698/C28</f>
        <v>0.4163805787150564</v>
      </c>
      <c r="AJ28" s="174">
        <f>9552/D28</f>
        <v>0.69610843900306074</v>
      </c>
    </row>
    <row r="29" spans="1:36" ht="16.05" hidden="1" customHeight="1" outlineLevel="1">
      <c r="A29" s="170">
        <v>43370</v>
      </c>
      <c r="B29" s="187" t="s">
        <v>51</v>
      </c>
      <c r="C29" s="172">
        <v>4025</v>
      </c>
      <c r="D29" s="172">
        <v>13557</v>
      </c>
      <c r="E29" s="173">
        <f t="shared" si="1"/>
        <v>3.3681987577639751</v>
      </c>
      <c r="F29" s="174">
        <f t="shared" si="7"/>
        <v>0.51570629564062853</v>
      </c>
      <c r="G29" s="175">
        <v>15.47</v>
      </c>
      <c r="I29" s="176">
        <v>0.42</v>
      </c>
      <c r="J29" s="176">
        <v>0.17799999999999999</v>
      </c>
      <c r="K29" s="176">
        <v>8.4000000000000005E-2</v>
      </c>
      <c r="L29" s="174">
        <f>108336/D29</f>
        <v>7.9911484841779155</v>
      </c>
      <c r="M29" s="177">
        <f>98650/D29</f>
        <v>7.2766836320719923</v>
      </c>
      <c r="N29" s="174">
        <f>98650/9329</f>
        <v>10.57455247079001</v>
      </c>
      <c r="O29" s="55">
        <f t="shared" si="2"/>
        <v>0.6881315925352216</v>
      </c>
      <c r="P29" s="174">
        <f>17587/9329</f>
        <v>1.8851966984671455</v>
      </c>
      <c r="Q29" s="174">
        <f>16833/9329</f>
        <v>1.8043734591060134</v>
      </c>
      <c r="R29" s="174">
        <f>9447/9329</f>
        <v>1.0126487297673921</v>
      </c>
      <c r="S29" s="174">
        <f>17532/9329</f>
        <v>1.8793011040840391</v>
      </c>
      <c r="T29" s="174">
        <f>11752/9329</f>
        <v>1.2597277307321257</v>
      </c>
      <c r="U29" s="174">
        <f>5948/9329</f>
        <v>0.63758173437667487</v>
      </c>
      <c r="V29" s="174">
        <f>13258/9329</f>
        <v>1.4211598242040948</v>
      </c>
      <c r="W29" s="174">
        <f>6293/9329</f>
        <v>0.67456319005252441</v>
      </c>
      <c r="X29" s="174">
        <f>3249/D29</f>
        <v>0.2396547908829387</v>
      </c>
      <c r="Y29" s="173">
        <f t="shared" si="3"/>
        <v>7.5163384229549308</v>
      </c>
      <c r="Z29" s="178">
        <f>67+24+23+18+20</f>
        <v>152</v>
      </c>
      <c r="AA29" s="178">
        <v>116</v>
      </c>
      <c r="AB29" s="174">
        <f>67*0.99+24*4.99+23*7.99+18*2.99+9*9.99+6*9.99+5*19.99</f>
        <v>673.48</v>
      </c>
      <c r="AC29" s="194"/>
      <c r="AD29" s="179">
        <f t="shared" si="0"/>
        <v>1.1211920041307074E-2</v>
      </c>
      <c r="AE29" s="176">
        <f t="shared" si="4"/>
        <v>8.556465294681714E-3</v>
      </c>
      <c r="AF29" s="174">
        <f t="shared" si="8"/>
        <v>4.4307894736842108</v>
      </c>
      <c r="AG29" s="180">
        <f t="shared" si="6"/>
        <v>4.9677657298812426E-2</v>
      </c>
      <c r="AH29" s="181">
        <f>2900/C29</f>
        <v>0.72049689440993792</v>
      </c>
      <c r="AI29" s="181">
        <f>1689/C29</f>
        <v>0.41962732919254658</v>
      </c>
      <c r="AJ29" s="174">
        <f>8979/D29</f>
        <v>0.66231467138747513</v>
      </c>
    </row>
    <row r="30" spans="1:36" ht="16.05" hidden="1" customHeight="1" outlineLevel="1">
      <c r="A30" s="184">
        <v>43371</v>
      </c>
      <c r="B30" s="187" t="s">
        <v>51</v>
      </c>
      <c r="C30" s="172">
        <v>4044</v>
      </c>
      <c r="D30" s="172">
        <v>13691</v>
      </c>
      <c r="E30" s="173">
        <f t="shared" si="1"/>
        <v>3.3855093966369929</v>
      </c>
      <c r="F30" s="174">
        <f t="shared" si="7"/>
        <v>0.54698129866335554</v>
      </c>
      <c r="G30" s="175">
        <v>16.82</v>
      </c>
      <c r="I30" s="176">
        <v>0.4</v>
      </c>
      <c r="J30" s="176">
        <v>0.184</v>
      </c>
      <c r="K30" s="176">
        <v>0.08</v>
      </c>
      <c r="L30" s="174">
        <f>103676/D30</f>
        <v>7.5725659192170038</v>
      </c>
      <c r="M30" s="177">
        <f>95858/D30</f>
        <v>7.001533854356877</v>
      </c>
      <c r="N30" s="174">
        <f>95858/9266</f>
        <v>10.345132743362832</v>
      </c>
      <c r="O30" s="55">
        <f t="shared" si="2"/>
        <v>0.67679497480096418</v>
      </c>
      <c r="P30" s="167">
        <f>17261/9266</f>
        <v>1.8628318584070795</v>
      </c>
      <c r="Q30" s="167">
        <f>15894/9266</f>
        <v>1.7153032592272826</v>
      </c>
      <c r="R30" s="167">
        <f>9230/9266</f>
        <v>0.99611482840492127</v>
      </c>
      <c r="S30" s="167">
        <f>16699/9266</f>
        <v>1.8021800129505721</v>
      </c>
      <c r="T30" s="167">
        <f>11567/9266</f>
        <v>1.2483272177854521</v>
      </c>
      <c r="U30" s="167">
        <f>5818/9266</f>
        <v>0.62788689833800992</v>
      </c>
      <c r="V30" s="167">
        <f>13244/9266</f>
        <v>1.4293114612562055</v>
      </c>
      <c r="W30" s="167">
        <f>6145/9266</f>
        <v>0.66317720699330884</v>
      </c>
      <c r="X30" s="174">
        <f>2963/D30</f>
        <v>0.21641954568694763</v>
      </c>
      <c r="Y30" s="173">
        <f t="shared" si="3"/>
        <v>7.2179534000438244</v>
      </c>
      <c r="Z30" s="178">
        <f>78+27+22+21+11+12</f>
        <v>171</v>
      </c>
      <c r="AA30" s="178">
        <v>119</v>
      </c>
      <c r="AB30" s="174">
        <f>78*0.99+27*7.99+22*2.99+21*4.99+11*9.99+6*9.99+4*19.99+2*19.99</f>
        <v>753.29000000000019</v>
      </c>
      <c r="AC30" s="194"/>
      <c r="AD30" s="179">
        <f t="shared" si="0"/>
        <v>1.2489956905996641E-2</v>
      </c>
      <c r="AE30" s="176">
        <f t="shared" si="4"/>
        <v>8.6918413556350896E-3</v>
      </c>
      <c r="AF30" s="174">
        <f t="shared" si="8"/>
        <v>4.4052046783625745</v>
      </c>
      <c r="AG30" s="180">
        <f t="shared" si="6"/>
        <v>5.5020816594843348E-2</v>
      </c>
      <c r="AH30" s="181">
        <f>2924/C30</f>
        <v>0.72304648862512366</v>
      </c>
      <c r="AI30" s="181">
        <f>1817/C30</f>
        <v>0.44930761622156279</v>
      </c>
      <c r="AJ30" s="174">
        <f>8699/D30</f>
        <v>0.63538090716529105</v>
      </c>
    </row>
    <row r="31" spans="1:36" ht="16.05" hidden="1" customHeight="1" outlineLevel="1">
      <c r="A31" s="186">
        <v>43372</v>
      </c>
      <c r="B31" s="185" t="s">
        <v>51</v>
      </c>
      <c r="C31" s="172">
        <v>4693</v>
      </c>
      <c r="D31" s="172">
        <v>14304</v>
      </c>
      <c r="E31" s="173">
        <f t="shared" si="1"/>
        <v>3.0479437460046879</v>
      </c>
      <c r="F31" s="174">
        <f t="shared" si="7"/>
        <v>0.60829882550335568</v>
      </c>
      <c r="G31" s="175">
        <v>14.2</v>
      </c>
      <c r="I31" s="176">
        <v>0.40799999999999997</v>
      </c>
      <c r="J31" s="176">
        <v>0.17100000000000001</v>
      </c>
      <c r="K31" s="176">
        <v>8.7999999999999995E-2</v>
      </c>
      <c r="L31" s="174">
        <f>119350/D31</f>
        <v>8.3438199105145419</v>
      </c>
      <c r="M31" s="177">
        <f>118622/D31</f>
        <v>8.2929250559284124</v>
      </c>
      <c r="N31" s="174">
        <f>118622/9678</f>
        <v>12.256871254391402</v>
      </c>
      <c r="O31" s="55">
        <f t="shared" si="2"/>
        <v>0.67659395973154368</v>
      </c>
      <c r="P31" s="167">
        <f>21462/9678</f>
        <v>2.2176069435833852</v>
      </c>
      <c r="Q31" s="167">
        <f>21895/9678</f>
        <v>2.2623475924777847</v>
      </c>
      <c r="R31" s="167">
        <f>12165/9678</f>
        <v>1.2569745815251085</v>
      </c>
      <c r="S31" s="167">
        <f>18130/9678</f>
        <v>1.8733209340772887</v>
      </c>
      <c r="T31" s="167">
        <f>14536/9678</f>
        <v>1.501963215540401</v>
      </c>
      <c r="U31" s="167">
        <f>5863/9678</f>
        <v>0.60580698491423846</v>
      </c>
      <c r="V31" s="167">
        <f>17082/9678</f>
        <v>1.7650340979541228</v>
      </c>
      <c r="W31" s="167">
        <f>7499/9678</f>
        <v>0.77485017565612735</v>
      </c>
      <c r="X31" s="174">
        <f>4685/D31</f>
        <v>0.32753076062639819</v>
      </c>
      <c r="Y31" s="173">
        <f t="shared" si="3"/>
        <v>8.6204558165548111</v>
      </c>
      <c r="Z31" s="178">
        <f>57+52+27+23+19+8</f>
        <v>186</v>
      </c>
      <c r="AA31" s="178">
        <v>137</v>
      </c>
      <c r="AB31" s="174">
        <f>57*0.99+52*7.99+27*4.99+23*2.99+199.9+9*9.99+4*9.99+2*19.99+2*49.99</f>
        <v>1145.1400000000001</v>
      </c>
      <c r="AC31" s="194"/>
      <c r="AD31" s="179">
        <f t="shared" si="0"/>
        <v>1.3003355704697987E-2</v>
      </c>
      <c r="AE31" s="176">
        <f t="shared" si="4"/>
        <v>9.577740492170023E-3</v>
      </c>
      <c r="AF31" s="174">
        <f t="shared" si="8"/>
        <v>6.1566666666666672</v>
      </c>
      <c r="AG31" s="180">
        <f t="shared" si="6"/>
        <v>8.0057326621923941E-2</v>
      </c>
      <c r="AH31" s="181">
        <f>3310/C31</f>
        <v>0.70530577455785215</v>
      </c>
      <c r="AI31" s="181">
        <f>1992/C31</f>
        <v>0.4244619646281696</v>
      </c>
      <c r="AJ31" s="174">
        <f>7386/D31</f>
        <v>0.51635906040268453</v>
      </c>
    </row>
    <row r="32" spans="1:36" ht="16.05" hidden="1" customHeight="1" outlineLevel="1">
      <c r="A32" s="186">
        <v>43373</v>
      </c>
      <c r="B32" s="185" t="s">
        <v>51</v>
      </c>
      <c r="C32" s="172">
        <v>5684</v>
      </c>
      <c r="D32" s="172">
        <v>15680</v>
      </c>
      <c r="E32" s="173">
        <f t="shared" si="1"/>
        <v>2.7586206896551726</v>
      </c>
      <c r="F32" s="174">
        <f t="shared" si="7"/>
        <v>0.64204927455357175</v>
      </c>
      <c r="G32" s="175">
        <v>15.91</v>
      </c>
      <c r="I32" s="176">
        <v>0.36299999999999999</v>
      </c>
      <c r="J32" s="176">
        <v>0.16300000000000001</v>
      </c>
      <c r="K32" s="176">
        <v>8.6999999999999994E-2</v>
      </c>
      <c r="L32" s="174">
        <f>127182/D32</f>
        <v>8.1110969387755105</v>
      </c>
      <c r="M32" s="177">
        <v>7.9416454081632697</v>
      </c>
      <c r="N32" s="174">
        <v>11.7820985902167</v>
      </c>
      <c r="O32" s="55">
        <f t="shared" si="2"/>
        <v>0.67404336734693748</v>
      </c>
      <c r="P32" s="167">
        <v>1.76308070773015</v>
      </c>
      <c r="Q32" s="167">
        <v>2.2264168795534101</v>
      </c>
      <c r="R32" s="167">
        <v>1.4099725612640699</v>
      </c>
      <c r="S32" s="167">
        <v>1.9016936323209399</v>
      </c>
      <c r="T32" s="167">
        <v>1.25366638281767</v>
      </c>
      <c r="U32" s="167">
        <v>0.628630901693632</v>
      </c>
      <c r="V32" s="167">
        <v>1.7846532311476999</v>
      </c>
      <c r="W32" s="167">
        <v>0.81398429368909098</v>
      </c>
      <c r="X32" s="174">
        <f>4685/D32</f>
        <v>0.29878826530612246</v>
      </c>
      <c r="Y32" s="173">
        <f t="shared" si="3"/>
        <v>8.2404336734693917</v>
      </c>
      <c r="Z32" s="178">
        <v>216</v>
      </c>
      <c r="AA32" s="178">
        <v>148</v>
      </c>
      <c r="AB32" s="174">
        <v>1278.8399999999999</v>
      </c>
      <c r="AC32" s="194"/>
      <c r="AD32" s="179">
        <v>1.37755102040816E-2</v>
      </c>
      <c r="AE32" s="176">
        <f t="shared" si="4"/>
        <v>9.4387755102040821E-3</v>
      </c>
      <c r="AF32" s="174">
        <v>5.92055555555556</v>
      </c>
      <c r="AG32" s="180">
        <f t="shared" si="6"/>
        <v>8.1558673469387624E-2</v>
      </c>
      <c r="AH32" s="181">
        <f>3310/C32</f>
        <v>0.58233638282899369</v>
      </c>
      <c r="AI32" s="181">
        <f>1992/C32</f>
        <v>0.35045742434904997</v>
      </c>
      <c r="AJ32" s="174">
        <f>7386/D32</f>
        <v>0.47104591836734694</v>
      </c>
    </row>
    <row r="33" spans="1:39" ht="16.05" customHeight="1" collapsed="1">
      <c r="A33" s="186">
        <v>43374</v>
      </c>
      <c r="B33" s="185" t="s">
        <v>51</v>
      </c>
      <c r="C33" s="172">
        <v>5522</v>
      </c>
      <c r="D33" s="172">
        <v>15940</v>
      </c>
      <c r="E33" s="173">
        <f t="shared" si="1"/>
        <v>2.8866352770735242</v>
      </c>
      <c r="F33" s="167">
        <f t="shared" ref="F33:F39" si="9">3.3*M33*G33/1000+AB33/D33*3.3*0.7</f>
        <v>0.60413792296110402</v>
      </c>
      <c r="G33" s="175">
        <v>16.59</v>
      </c>
      <c r="I33" s="176">
        <v>0.40799999999999997</v>
      </c>
      <c r="J33" s="176">
        <v>0.17899999999999999</v>
      </c>
      <c r="K33" s="176">
        <v>0.10100000000000001</v>
      </c>
      <c r="L33" s="174">
        <f>129782/D33</f>
        <v>8.1419071518193231</v>
      </c>
      <c r="M33" s="177">
        <v>7.8378920953575903</v>
      </c>
      <c r="N33" s="174">
        <v>11.3557534993638</v>
      </c>
      <c r="O33" s="55">
        <f t="shared" si="2"/>
        <v>0.69021329987452651</v>
      </c>
      <c r="P33" s="167">
        <v>1.6365206326122499</v>
      </c>
      <c r="Q33" s="167">
        <v>2.1330667151427001</v>
      </c>
      <c r="R33" s="167">
        <v>1.3593892019632801</v>
      </c>
      <c r="S33" s="167">
        <v>1.85257225958917</v>
      </c>
      <c r="T33" s="167">
        <v>1.18987456826032</v>
      </c>
      <c r="U33" s="167">
        <v>0.61925104526449704</v>
      </c>
      <c r="V33" s="167">
        <v>1.7425922559534599</v>
      </c>
      <c r="W33" s="167">
        <v>0.82248682057807698</v>
      </c>
      <c r="X33" s="174">
        <f>6159/D33</f>
        <v>0.38638644918444165</v>
      </c>
      <c r="Y33" s="173">
        <f t="shared" si="3"/>
        <v>8.2242785445420328</v>
      </c>
      <c r="Z33" s="178">
        <v>217</v>
      </c>
      <c r="AA33" s="178">
        <v>152</v>
      </c>
      <c r="AB33" s="174">
        <v>1207.83</v>
      </c>
      <c r="AC33" s="194"/>
      <c r="AD33" s="179">
        <v>1.36135508155583E-2</v>
      </c>
      <c r="AE33" s="176">
        <f t="shared" si="4"/>
        <v>9.5357590966122958E-3</v>
      </c>
      <c r="AF33" s="174">
        <v>5.5660368663594504</v>
      </c>
      <c r="AG33" s="180">
        <f t="shared" si="6"/>
        <v>7.5773525721455265E-2</v>
      </c>
      <c r="AH33" s="181">
        <f>4060/C33</f>
        <v>0.73524085476276713</v>
      </c>
      <c r="AI33" s="181">
        <f>2534/C33</f>
        <v>0.45889170590365808</v>
      </c>
      <c r="AJ33" s="174">
        <f>9053/D33</f>
        <v>0.56794228356336263</v>
      </c>
    </row>
    <row r="34" spans="1:39" ht="16.05" hidden="1" customHeight="1" outlineLevel="1">
      <c r="A34" s="186">
        <v>43375</v>
      </c>
      <c r="B34" s="185" t="s">
        <v>51</v>
      </c>
      <c r="C34" s="172">
        <v>5348</v>
      </c>
      <c r="D34" s="172">
        <v>15909</v>
      </c>
      <c r="E34" s="173">
        <f t="shared" si="1"/>
        <v>2.974756918474196</v>
      </c>
      <c r="F34" s="167">
        <f t="shared" si="9"/>
        <v>0.61310324759570045</v>
      </c>
      <c r="G34" s="175">
        <v>16.63</v>
      </c>
      <c r="I34" s="176">
        <v>0.43</v>
      </c>
      <c r="J34" s="176">
        <v>0.20699999999999999</v>
      </c>
      <c r="K34" s="176">
        <v>0.11</v>
      </c>
      <c r="L34" s="174">
        <f>130668/D34</f>
        <v>8.2134640769375817</v>
      </c>
      <c r="M34" s="177">
        <v>7.5902948016845802</v>
      </c>
      <c r="N34" s="174">
        <v>11.023735621690699</v>
      </c>
      <c r="O34" s="55">
        <f t="shared" si="2"/>
        <v>0.68854107737758541</v>
      </c>
      <c r="P34" s="167">
        <v>1.49716998356765</v>
      </c>
      <c r="Q34" s="167">
        <v>2.0497535146978301</v>
      </c>
      <c r="R34" s="167">
        <v>1.3132189154646701</v>
      </c>
      <c r="S34" s="167">
        <v>1.9481467956910701</v>
      </c>
      <c r="T34" s="167">
        <v>1.0507577140770501</v>
      </c>
      <c r="U34" s="167">
        <v>0.63501917107905803</v>
      </c>
      <c r="V34" s="167">
        <v>1.72211064451342</v>
      </c>
      <c r="W34" s="167">
        <v>0.807558882599963</v>
      </c>
      <c r="Y34" s="173">
        <f t="shared" si="3"/>
        <v>7.5902948016845802</v>
      </c>
      <c r="Z34" s="178">
        <v>232</v>
      </c>
      <c r="AA34" s="178">
        <v>162</v>
      </c>
      <c r="AB34" s="174">
        <v>1353.68</v>
      </c>
      <c r="AC34" s="194"/>
      <c r="AD34" s="179">
        <v>1.4582940473945601E-2</v>
      </c>
      <c r="AE34" s="176">
        <f t="shared" si="4"/>
        <v>1.0182915330944748E-2</v>
      </c>
      <c r="AF34" s="174">
        <v>5.8348275862068997</v>
      </c>
      <c r="AG34" s="180">
        <f t="shared" si="6"/>
        <v>8.5088943365390912E-2</v>
      </c>
    </row>
    <row r="35" spans="1:39" ht="16.05" hidden="1" customHeight="1" outlineLevel="1">
      <c r="A35" s="186">
        <v>43376</v>
      </c>
      <c r="B35" s="187" t="s">
        <v>51</v>
      </c>
      <c r="C35" s="172">
        <v>4522</v>
      </c>
      <c r="D35" s="172">
        <v>15130</v>
      </c>
      <c r="E35" s="173">
        <f t="shared" si="1"/>
        <v>3.3458646616541352</v>
      </c>
      <c r="F35" s="167">
        <f t="shared" si="9"/>
        <v>0.65232661447455376</v>
      </c>
      <c r="G35" s="175">
        <v>17.91</v>
      </c>
      <c r="I35" s="176">
        <v>0.40899999999999997</v>
      </c>
      <c r="J35" s="176">
        <v>0.187</v>
      </c>
      <c r="K35" s="176">
        <v>0.104</v>
      </c>
      <c r="L35" s="174">
        <f>119458/D35</f>
        <v>7.8954395241242565</v>
      </c>
      <c r="M35" s="177">
        <v>7.0891606080634499</v>
      </c>
      <c r="N35" s="174">
        <v>10.2758191224372</v>
      </c>
      <c r="O35" s="55">
        <f t="shared" si="2"/>
        <v>0.6898876404494414</v>
      </c>
      <c r="P35" s="167">
        <v>1.32927763939452</v>
      </c>
      <c r="Q35" s="167">
        <v>1.8567733282237999</v>
      </c>
      <c r="R35" s="167">
        <v>1.18605096761832</v>
      </c>
      <c r="S35" s="167">
        <v>2.01657405633263</v>
      </c>
      <c r="T35" s="167">
        <v>0.90687871239701101</v>
      </c>
      <c r="U35" s="167">
        <v>0.65663920291243505</v>
      </c>
      <c r="V35" s="167">
        <v>1.5706073960528799</v>
      </c>
      <c r="W35" s="167">
        <v>0.75301781950565205</v>
      </c>
      <c r="Y35" s="173">
        <f t="shared" si="3"/>
        <v>7.0891606080634499</v>
      </c>
      <c r="Z35" s="178">
        <v>270</v>
      </c>
      <c r="AA35" s="178">
        <v>185</v>
      </c>
      <c r="AB35" s="174">
        <v>1528.3</v>
      </c>
      <c r="AC35" s="194"/>
      <c r="AD35" s="179">
        <v>1.7845340383344399E-2</v>
      </c>
      <c r="AE35" s="176">
        <f t="shared" si="4"/>
        <v>1.2227362855254461E-2</v>
      </c>
      <c r="AF35" s="174">
        <v>5.6603703703703703</v>
      </c>
      <c r="AG35" s="180">
        <f t="shared" si="6"/>
        <v>0.10101123595505646</v>
      </c>
    </row>
    <row r="36" spans="1:39" ht="16.05" hidden="1" customHeight="1" outlineLevel="1">
      <c r="A36" s="186">
        <v>43377</v>
      </c>
      <c r="B36" s="187" t="s">
        <v>51</v>
      </c>
      <c r="C36" s="172">
        <v>4670</v>
      </c>
      <c r="D36" s="172">
        <v>15110</v>
      </c>
      <c r="E36" s="173">
        <f t="shared" si="1"/>
        <v>3.2355460385438972</v>
      </c>
      <c r="F36" s="167">
        <f t="shared" si="9"/>
        <v>0.63411372766379892</v>
      </c>
      <c r="G36" s="175">
        <v>18.11</v>
      </c>
      <c r="I36" s="176">
        <v>0.43</v>
      </c>
      <c r="J36" s="176">
        <v>0.193</v>
      </c>
      <c r="K36" s="176">
        <v>0.10100000000000001</v>
      </c>
      <c r="L36" s="174">
        <f>115857/D36</f>
        <v>7.6675711449371278</v>
      </c>
      <c r="M36" s="177">
        <v>7.0532759761747199</v>
      </c>
      <c r="N36" s="174">
        <v>10.262397688974501</v>
      </c>
      <c r="O36" s="55">
        <f t="shared" si="2"/>
        <v>0.68729318332230205</v>
      </c>
      <c r="P36" s="167">
        <v>1.3200770341839201</v>
      </c>
      <c r="Q36" s="167">
        <v>1.8844487241213299</v>
      </c>
      <c r="R36" s="167">
        <v>1.25739046701974</v>
      </c>
      <c r="S36" s="167">
        <v>1.93220991815118</v>
      </c>
      <c r="T36" s="167">
        <v>0.89754453538757795</v>
      </c>
      <c r="U36" s="167">
        <v>0.64997592681752503</v>
      </c>
      <c r="V36" s="167">
        <v>1.53731343283582</v>
      </c>
      <c r="W36" s="167">
        <v>0.78343765045739</v>
      </c>
      <c r="Y36" s="173">
        <f t="shared" si="3"/>
        <v>7.0532759761747199</v>
      </c>
      <c r="Z36" s="178">
        <v>243</v>
      </c>
      <c r="AA36" s="178">
        <v>165</v>
      </c>
      <c r="AB36" s="174">
        <v>1390.57</v>
      </c>
      <c r="AC36" s="194"/>
      <c r="AD36" s="179">
        <v>1.6082064857710101E-2</v>
      </c>
      <c r="AE36" s="176">
        <f t="shared" si="4"/>
        <v>1.0919920582395765E-2</v>
      </c>
      <c r="AF36" s="174">
        <v>5.7225102880658403</v>
      </c>
      <c r="AG36" s="180">
        <f t="shared" si="6"/>
        <v>9.2029781601588159E-2</v>
      </c>
    </row>
    <row r="37" spans="1:39" ht="16.05" hidden="1" customHeight="1" outlineLevel="1">
      <c r="A37" s="184">
        <v>43378</v>
      </c>
      <c r="B37" s="187" t="s">
        <v>51</v>
      </c>
      <c r="C37" s="172">
        <v>6382</v>
      </c>
      <c r="D37" s="172">
        <v>16934</v>
      </c>
      <c r="E37" s="173">
        <f t="shared" si="1"/>
        <v>2.6534001880288312</v>
      </c>
      <c r="F37" s="167">
        <f t="shared" si="9"/>
        <v>0.55317379101216491</v>
      </c>
      <c r="G37" s="175">
        <v>16.11</v>
      </c>
      <c r="I37" s="176">
        <v>0.41199999999999998</v>
      </c>
      <c r="J37" s="176">
        <v>0.21</v>
      </c>
      <c r="K37" s="176">
        <v>9.7000000000000003E-2</v>
      </c>
      <c r="L37" s="174">
        <f>128863/D37</f>
        <v>7.6097200897602457</v>
      </c>
      <c r="M37" s="177">
        <v>6.7957363883311697</v>
      </c>
      <c r="N37" s="174">
        <v>10.001651312358799</v>
      </c>
      <c r="O37" s="55">
        <f t="shared" si="2"/>
        <v>0.67946143852604046</v>
      </c>
      <c r="P37" s="167">
        <v>1.34373370415435</v>
      </c>
      <c r="Q37" s="167">
        <v>1.82887189292543</v>
      </c>
      <c r="R37" s="167">
        <v>1.1314096992873299</v>
      </c>
      <c r="S37" s="167">
        <v>1.9169129150008699</v>
      </c>
      <c r="T37" s="167">
        <v>0.85616200243351304</v>
      </c>
      <c r="U37" s="167">
        <v>0.65809143055797004</v>
      </c>
      <c r="V37" s="167">
        <v>1.51477490005215</v>
      </c>
      <c r="W37" s="167">
        <v>0.75169476794715795</v>
      </c>
      <c r="Y37" s="173">
        <f t="shared" si="3"/>
        <v>6.7957363883311697</v>
      </c>
      <c r="Z37" s="178">
        <v>229</v>
      </c>
      <c r="AA37" s="178">
        <v>171</v>
      </c>
      <c r="AB37" s="174">
        <v>1406.71</v>
      </c>
      <c r="AC37" s="194"/>
      <c r="AD37" s="179">
        <v>1.3514311006196499E-2</v>
      </c>
      <c r="AE37" s="176">
        <f t="shared" si="4"/>
        <v>1.0098027636707215E-2</v>
      </c>
      <c r="AF37" s="174">
        <v>6.1428384279476003</v>
      </c>
      <c r="AG37" s="180">
        <f t="shared" si="6"/>
        <v>8.301622897609906E-2</v>
      </c>
    </row>
    <row r="38" spans="1:39" ht="16.05" hidden="1" customHeight="1" outlineLevel="1">
      <c r="A38" s="186">
        <v>43379</v>
      </c>
      <c r="B38" s="185" t="s">
        <v>51</v>
      </c>
      <c r="C38" s="172">
        <v>5858</v>
      </c>
      <c r="D38" s="172">
        <v>17044</v>
      </c>
      <c r="E38" s="173">
        <f t="shared" si="1"/>
        <v>2.9095254353021507</v>
      </c>
      <c r="F38" s="167">
        <f t="shared" si="9"/>
        <v>0.65897799906125298</v>
      </c>
      <c r="G38" s="175">
        <v>14.28</v>
      </c>
      <c r="I38" s="176">
        <v>0.40899999999999997</v>
      </c>
      <c r="J38" s="176">
        <v>0.20699999999999999</v>
      </c>
      <c r="K38" s="176">
        <v>9.9000000000000005E-2</v>
      </c>
      <c r="L38" s="174">
        <f>157774/D38</f>
        <v>9.2568645857779863</v>
      </c>
      <c r="M38" s="177">
        <v>8.9508918094344008</v>
      </c>
      <c r="N38" s="174">
        <v>12.8028700906344</v>
      </c>
      <c r="O38" s="55">
        <f t="shared" si="2"/>
        <v>0.69913165923492326</v>
      </c>
      <c r="P38" s="167">
        <v>1.6094326955354099</v>
      </c>
      <c r="Q38" s="167">
        <v>2.6672541121181599</v>
      </c>
      <c r="R38" s="167">
        <v>1.33190668009399</v>
      </c>
      <c r="S38" s="167">
        <v>2.2292715676401502</v>
      </c>
      <c r="T38" s="167">
        <v>1.08291372943941</v>
      </c>
      <c r="U38" s="167">
        <v>0.62344746559248099</v>
      </c>
      <c r="V38" s="167">
        <v>2.2916247062772701</v>
      </c>
      <c r="W38" s="167">
        <v>0.967019133937563</v>
      </c>
      <c r="Y38" s="173">
        <f t="shared" si="3"/>
        <v>8.9508918094344008</v>
      </c>
      <c r="Z38" s="178">
        <v>303</v>
      </c>
      <c r="AA38" s="178">
        <v>209</v>
      </c>
      <c r="AB38" s="174">
        <v>1749.97</v>
      </c>
      <c r="AC38" s="194"/>
      <c r="AD38" s="179">
        <v>1.7777517014785301E-2</v>
      </c>
      <c r="AE38" s="176">
        <f t="shared" si="4"/>
        <v>1.2262379723069702E-2</v>
      </c>
      <c r="AF38" s="174">
        <v>5.7754785478547896</v>
      </c>
      <c r="AG38" s="180">
        <f t="shared" si="6"/>
        <v>0.10267366815301603</v>
      </c>
    </row>
    <row r="39" spans="1:39" ht="16.05" hidden="1" customHeight="1" outlineLevel="1">
      <c r="A39" s="186">
        <v>43380</v>
      </c>
      <c r="B39" s="185" t="s">
        <v>51</v>
      </c>
      <c r="C39" s="188">
        <v>5420</v>
      </c>
      <c r="D39" s="188">
        <v>17246</v>
      </c>
      <c r="E39" s="189">
        <f t="shared" si="1"/>
        <v>3.181918819188192</v>
      </c>
      <c r="F39" s="167">
        <f t="shared" si="9"/>
        <v>0.62586909463063867</v>
      </c>
      <c r="G39" s="190">
        <v>15.42</v>
      </c>
      <c r="H39" s="190"/>
      <c r="I39" s="176">
        <v>0.42699999999999999</v>
      </c>
      <c r="J39" s="176">
        <v>0.19500000000000001</v>
      </c>
      <c r="K39" s="176">
        <v>0.1</v>
      </c>
      <c r="L39" s="174">
        <f>158757/D39</f>
        <v>9.2054389423634468</v>
      </c>
      <c r="M39" s="177">
        <v>9.0554911283775894</v>
      </c>
      <c r="N39" s="174">
        <v>12.8705290918081</v>
      </c>
      <c r="O39" s="55">
        <f t="shared" si="2"/>
        <v>0.70358343963817882</v>
      </c>
      <c r="P39" s="167">
        <v>1.3261084555793601</v>
      </c>
      <c r="Q39" s="167">
        <v>2.8558595681556</v>
      </c>
      <c r="R39" s="167">
        <v>1.6341684522828399</v>
      </c>
      <c r="S39" s="167">
        <v>2.2678424262403198</v>
      </c>
      <c r="T39" s="167">
        <v>0.88841272457557297</v>
      </c>
      <c r="U39" s="167">
        <v>0.61373001483434997</v>
      </c>
      <c r="V39" s="167">
        <v>2.3038569309378598</v>
      </c>
      <c r="W39" s="167">
        <v>0.98055051920224201</v>
      </c>
      <c r="Y39" s="173">
        <f t="shared" si="3"/>
        <v>9.0554911283775894</v>
      </c>
      <c r="Z39" s="178">
        <f>112+47+34+27+22+9+10</f>
        <v>261</v>
      </c>
      <c r="AA39" s="178">
        <v>199</v>
      </c>
      <c r="AB39" s="174">
        <f>112*0.99+47*7.99+34*2.99+27*4.99+22*9.99+9*9.99+10*19.99</f>
        <v>1232.3899999999999</v>
      </c>
      <c r="AC39" s="194"/>
      <c r="AD39" s="195">
        <f>Z39/D39</f>
        <v>1.5133944102980402E-2</v>
      </c>
      <c r="AE39" s="176">
        <f t="shared" si="4"/>
        <v>1.1538907572770497E-2</v>
      </c>
      <c r="AF39" s="174">
        <f>AB39/Z39</f>
        <v>4.7218007662835246</v>
      </c>
      <c r="AG39" s="180">
        <f t="shared" si="6"/>
        <v>7.1459468862344888E-2</v>
      </c>
      <c r="AH39" s="181">
        <f>4028/C39</f>
        <v>0.74317343173431738</v>
      </c>
      <c r="AI39" s="181">
        <f>2871/C39</f>
        <v>0.52970479704797047</v>
      </c>
      <c r="AJ39" s="174">
        <f>12521/D39</f>
        <v>0.72602342572190648</v>
      </c>
    </row>
    <row r="40" spans="1:39" ht="16.05" hidden="1" customHeight="1" outlineLevel="1">
      <c r="A40" s="186">
        <v>43381</v>
      </c>
      <c r="B40" s="185" t="s">
        <v>51</v>
      </c>
      <c r="C40" s="188">
        <v>5476</v>
      </c>
      <c r="D40" s="188">
        <v>18004</v>
      </c>
      <c r="E40" s="189">
        <v>3.2878013148283398</v>
      </c>
      <c r="F40" s="167">
        <v>0.63399495889802304</v>
      </c>
      <c r="G40" s="190">
        <v>14.41</v>
      </c>
      <c r="H40" s="190"/>
      <c r="I40" s="176">
        <v>0.43</v>
      </c>
      <c r="J40" s="176">
        <v>0.214</v>
      </c>
      <c r="K40" s="176">
        <v>0.108</v>
      </c>
      <c r="L40" s="174">
        <v>9.1557431681848502</v>
      </c>
      <c r="M40" s="177">
        <v>8.7080648744723401</v>
      </c>
      <c r="N40" s="167">
        <v>12.3351691581432</v>
      </c>
      <c r="O40" s="193">
        <f t="shared" si="2"/>
        <v>0.70595423239280131</v>
      </c>
      <c r="P40" s="167">
        <v>1.2075531077891399</v>
      </c>
      <c r="Q40" s="167">
        <v>2.7421715184893798</v>
      </c>
      <c r="R40" s="167">
        <v>1.58945712037766</v>
      </c>
      <c r="S40" s="167">
        <v>2.2196695515342202</v>
      </c>
      <c r="T40" s="167">
        <v>0.78835562549173899</v>
      </c>
      <c r="U40" s="167">
        <v>0.61030684500393395</v>
      </c>
      <c r="V40" s="167">
        <v>2.2185680566483099</v>
      </c>
      <c r="W40" s="167">
        <v>0.95908733280881198</v>
      </c>
      <c r="X40" s="167">
        <v>0.35408798044878897</v>
      </c>
      <c r="Y40" s="173">
        <f t="shared" si="3"/>
        <v>9.0621528549211288</v>
      </c>
      <c r="Z40" s="178">
        <v>311</v>
      </c>
      <c r="AA40" s="178">
        <v>216</v>
      </c>
      <c r="AB40" s="174">
        <v>1713.89</v>
      </c>
      <c r="AC40" s="194"/>
      <c r="AD40" s="195">
        <v>1.7273939124638999E-2</v>
      </c>
      <c r="AE40" s="176">
        <f t="shared" si="4"/>
        <v>1.1997333925794268E-2</v>
      </c>
      <c r="AF40" s="174">
        <v>5.51090032154341</v>
      </c>
      <c r="AG40" s="180">
        <f t="shared" si="6"/>
        <v>9.5194956676294351E-2</v>
      </c>
      <c r="AH40" s="181">
        <v>0.75</v>
      </c>
      <c r="AI40" s="181">
        <v>0.54035792549306105</v>
      </c>
      <c r="AJ40" s="174">
        <v>0.74877804932237302</v>
      </c>
      <c r="AK40" s="58">
        <v>9.0979782270606505E-2</v>
      </c>
      <c r="AL40" s="58">
        <v>1.6996223061541901E-2</v>
      </c>
      <c r="AM40" s="182">
        <v>0.36269717840479898</v>
      </c>
    </row>
    <row r="41" spans="1:39" ht="16.05" hidden="1" customHeight="1" outlineLevel="1">
      <c r="A41" s="186">
        <v>43382</v>
      </c>
      <c r="B41" s="185" t="s">
        <v>51</v>
      </c>
      <c r="C41" s="188">
        <v>4052</v>
      </c>
      <c r="D41" s="188">
        <v>16873</v>
      </c>
      <c r="E41" s="189">
        <v>4.1641164856860797</v>
      </c>
      <c r="F41" s="167">
        <v>0.59370996455876202</v>
      </c>
      <c r="G41" s="190">
        <v>15.42</v>
      </c>
      <c r="H41" s="190"/>
      <c r="I41" s="176">
        <v>0.42099999999999999</v>
      </c>
      <c r="J41" s="176">
        <v>0.20799999999999999</v>
      </c>
      <c r="K41" s="176">
        <v>0.10299999999999999</v>
      </c>
      <c r="L41" s="174">
        <v>8.8987731879333793</v>
      </c>
      <c r="M41" s="177">
        <v>8.4609731523736205</v>
      </c>
      <c r="N41" s="167">
        <v>11.978687699278399</v>
      </c>
      <c r="O41" s="193">
        <f t="shared" si="2"/>
        <v>0.70633556569667577</v>
      </c>
      <c r="P41" s="167">
        <v>1.30172847793254</v>
      </c>
      <c r="Q41" s="167">
        <v>2.5181238462829301</v>
      </c>
      <c r="R41" s="167">
        <v>1.58415841584158</v>
      </c>
      <c r="S41" s="167">
        <v>2.1736868602114399</v>
      </c>
      <c r="T41" s="167">
        <v>0.85224030877664003</v>
      </c>
      <c r="U41" s="167">
        <v>0.59288471220003403</v>
      </c>
      <c r="V41" s="167">
        <v>2.06267830172848</v>
      </c>
      <c r="W41" s="167">
        <v>0.89318677630474896</v>
      </c>
      <c r="X41" s="167">
        <v>0.33651395720974298</v>
      </c>
      <c r="Y41" s="173">
        <f t="shared" si="3"/>
        <v>8.7974871095833631</v>
      </c>
      <c r="Z41" s="178">
        <v>219</v>
      </c>
      <c r="AA41" s="178">
        <v>164</v>
      </c>
      <c r="AB41" s="174">
        <v>1191.81</v>
      </c>
      <c r="AC41" s="194"/>
      <c r="AD41" s="195">
        <v>1.2979316067089399E-2</v>
      </c>
      <c r="AE41" s="176">
        <f t="shared" si="4"/>
        <v>9.7196704794642336E-3</v>
      </c>
      <c r="AF41" s="174">
        <v>5.4420547945205504</v>
      </c>
      <c r="AG41" s="180">
        <f t="shared" si="6"/>
        <v>7.0634149232501484E-2</v>
      </c>
      <c r="AH41" s="181">
        <v>0.74975320829220105</v>
      </c>
      <c r="AI41" s="181">
        <v>0.57477788746298097</v>
      </c>
      <c r="AJ41" s="174">
        <v>0.76690570734309205</v>
      </c>
      <c r="AK41" s="58">
        <v>0.101345344633438</v>
      </c>
      <c r="AL41" s="58">
        <v>2.10395306110354E-2</v>
      </c>
      <c r="AM41" s="182">
        <v>0.30652521780359199</v>
      </c>
    </row>
    <row r="42" spans="1:39" ht="16.05" hidden="1" customHeight="1" outlineLevel="1">
      <c r="A42" s="186">
        <v>43383</v>
      </c>
      <c r="B42" s="187" t="s">
        <v>51</v>
      </c>
      <c r="C42" s="188">
        <v>4397</v>
      </c>
      <c r="D42" s="188">
        <v>16384</v>
      </c>
      <c r="E42" s="189">
        <v>3.7261769388219199</v>
      </c>
      <c r="F42" s="167">
        <v>0.55317266546630794</v>
      </c>
      <c r="G42" s="190">
        <v>16.21</v>
      </c>
      <c r="H42" s="190"/>
      <c r="I42" s="176">
        <v>0.45600000000000002</v>
      </c>
      <c r="J42" s="176">
        <v>0.19500000000000001</v>
      </c>
      <c r="K42" s="176">
        <v>0.1</v>
      </c>
      <c r="L42" s="174">
        <v>8.21868896484375</v>
      </c>
      <c r="M42" s="177">
        <v>7.58709716796875</v>
      </c>
      <c r="N42" s="167">
        <v>10.960850013226301</v>
      </c>
      <c r="O42" s="193">
        <f t="shared" si="2"/>
        <v>0.69219970703125289</v>
      </c>
      <c r="P42" s="167">
        <v>1.3264262410722201</v>
      </c>
      <c r="Q42" s="167">
        <v>2.1502513005907802</v>
      </c>
      <c r="R42" s="167">
        <v>1.34088704699762</v>
      </c>
      <c r="S42" s="167">
        <v>2.1491931928401402</v>
      </c>
      <c r="T42" s="167">
        <v>0.80372101225641501</v>
      </c>
      <c r="U42" s="167">
        <v>0.62075654704170702</v>
      </c>
      <c r="V42" s="167">
        <v>1.75663521735297</v>
      </c>
      <c r="W42" s="167">
        <v>0.81297945507450797</v>
      </c>
      <c r="X42" s="167">
        <v>0.26666259765625</v>
      </c>
      <c r="Y42" s="173">
        <f t="shared" si="3"/>
        <v>7.853759765625</v>
      </c>
      <c r="Z42" s="178">
        <v>214</v>
      </c>
      <c r="AA42" s="178">
        <v>175</v>
      </c>
      <c r="AB42" s="174">
        <v>1044.8599999999999</v>
      </c>
      <c r="AC42" s="194"/>
      <c r="AD42" s="195">
        <v>1.30615234375E-2</v>
      </c>
      <c r="AE42" s="176">
        <f t="shared" si="4"/>
        <v>1.068115234375E-2</v>
      </c>
      <c r="AF42" s="174">
        <v>4.88252336448598</v>
      </c>
      <c r="AG42" s="180">
        <f t="shared" si="6"/>
        <v>6.377319335937498E-2</v>
      </c>
      <c r="AH42" s="181">
        <v>0.72913350011371403</v>
      </c>
      <c r="AI42" s="181">
        <v>0.52672276552194697</v>
      </c>
      <c r="AJ42" s="174">
        <v>0.8382568359375</v>
      </c>
      <c r="AK42" s="58">
        <v>0.11065673828125</v>
      </c>
      <c r="AL42" s="58">
        <v>2.3681640625E-2</v>
      </c>
      <c r="AM42" s="182">
        <v>0</v>
      </c>
    </row>
    <row r="43" spans="1:39" ht="16.05" hidden="1" customHeight="1" outlineLevel="1">
      <c r="A43" s="186">
        <v>43384</v>
      </c>
      <c r="B43" s="187" t="s">
        <v>51</v>
      </c>
      <c r="C43" s="188">
        <v>4414</v>
      </c>
      <c r="D43" s="188">
        <v>16485</v>
      </c>
      <c r="E43" s="189">
        <v>3.7347077480743098</v>
      </c>
      <c r="F43" s="167">
        <v>0.49959990573248397</v>
      </c>
      <c r="G43" s="190">
        <v>13.51</v>
      </c>
      <c r="H43" s="190"/>
      <c r="I43" s="176">
        <v>0.442</v>
      </c>
      <c r="J43" s="176">
        <v>0.21</v>
      </c>
      <c r="K43" s="176">
        <v>9.5000000000000001E-2</v>
      </c>
      <c r="L43" s="174">
        <v>8.2768577494692206</v>
      </c>
      <c r="M43" s="177">
        <v>7.6106763724598103</v>
      </c>
      <c r="N43" s="167">
        <v>10.9144845585037</v>
      </c>
      <c r="O43" s="193">
        <f t="shared" si="2"/>
        <v>0.69730057628146769</v>
      </c>
      <c r="P43" s="167">
        <v>1.34684645498043</v>
      </c>
      <c r="Q43" s="167">
        <v>2.1115267507611999</v>
      </c>
      <c r="R43" s="167">
        <v>1.31692040017399</v>
      </c>
      <c r="S43" s="167">
        <v>2.1158764680295801</v>
      </c>
      <c r="T43" s="167">
        <v>0.87420617659852096</v>
      </c>
      <c r="U43" s="167">
        <v>0.62183558068725497</v>
      </c>
      <c r="V43" s="167">
        <v>1.71900826446281</v>
      </c>
      <c r="W43" s="167">
        <v>0.80826446280991704</v>
      </c>
      <c r="X43" s="167">
        <v>0.27534121929026401</v>
      </c>
      <c r="Y43" s="173">
        <f t="shared" si="3"/>
        <v>7.8860175917500746</v>
      </c>
      <c r="Z43" s="178">
        <v>209</v>
      </c>
      <c r="AA43" s="178">
        <v>167</v>
      </c>
      <c r="AB43" s="174">
        <v>1143.9100000000001</v>
      </c>
      <c r="AC43" s="194"/>
      <c r="AD43" s="195">
        <v>1.2678192296026699E-2</v>
      </c>
      <c r="AE43" s="176">
        <f t="shared" si="4"/>
        <v>1.0130421595389748E-2</v>
      </c>
      <c r="AF43" s="174">
        <v>5.4732535885167497</v>
      </c>
      <c r="AG43" s="180">
        <v>6.9390961480133406E-2</v>
      </c>
      <c r="AH43" s="181">
        <v>0.75260534662437695</v>
      </c>
      <c r="AI43" s="181">
        <v>0.53942002718622595</v>
      </c>
      <c r="AJ43" s="174">
        <v>0.83639672429481304</v>
      </c>
      <c r="AK43" s="58">
        <v>0.10706703063391</v>
      </c>
      <c r="AL43" s="58">
        <v>2.3111919927206601E-2</v>
      </c>
      <c r="AM43" s="182">
        <v>0</v>
      </c>
    </row>
    <row r="44" spans="1:39" ht="16.05" hidden="1" customHeight="1" outlineLevel="1">
      <c r="A44" s="186">
        <v>43385</v>
      </c>
      <c r="B44" s="187" t="s">
        <v>51</v>
      </c>
      <c r="C44" s="188">
        <v>4682</v>
      </c>
      <c r="D44" s="188">
        <v>16658</v>
      </c>
      <c r="E44" s="189">
        <v>3.5578812473301999</v>
      </c>
      <c r="F44" s="167">
        <f>3.3*M44*G44/1000+AB44/D44*3.3*0.7</f>
        <v>0.49510493120422616</v>
      </c>
      <c r="G44" s="190">
        <v>14.24</v>
      </c>
      <c r="H44" s="190"/>
      <c r="I44" s="176">
        <v>0.437</v>
      </c>
      <c r="J44" s="176">
        <v>0.19900000000000001</v>
      </c>
      <c r="K44" s="176">
        <v>8.5999999999999993E-2</v>
      </c>
      <c r="L44" s="174">
        <v>8.14833713531036</v>
      </c>
      <c r="M44" s="177">
        <v>7.6739104334253803</v>
      </c>
      <c r="N44" s="167">
        <v>11.080176822397499</v>
      </c>
      <c r="O44" s="193">
        <f t="shared" si="2"/>
        <v>0.69258014167367055</v>
      </c>
      <c r="P44" s="167">
        <v>1.5255265666984501</v>
      </c>
      <c r="Q44" s="167">
        <v>2.11640807835659</v>
      </c>
      <c r="R44" s="167">
        <v>1.2748548149432299</v>
      </c>
      <c r="S44" s="167">
        <v>2.0930917916269398</v>
      </c>
      <c r="T44" s="167">
        <v>0.952587327728179</v>
      </c>
      <c r="U44" s="167">
        <v>0.60856375140851204</v>
      </c>
      <c r="V44" s="167">
        <v>1.69645488428534</v>
      </c>
      <c r="W44" s="167">
        <v>0.81268960735026397</v>
      </c>
      <c r="X44" s="167">
        <v>0.28796974426701899</v>
      </c>
      <c r="Y44" s="173">
        <f t="shared" si="3"/>
        <v>7.9618801776923993</v>
      </c>
      <c r="Z44" s="178">
        <v>214</v>
      </c>
      <c r="AA44" s="178">
        <v>158</v>
      </c>
      <c r="AB44" s="174">
        <v>969.86</v>
      </c>
      <c r="AC44" s="194"/>
      <c r="AD44" s="195">
        <v>1.2846680273742301E-2</v>
      </c>
      <c r="AE44" s="176">
        <f t="shared" si="4"/>
        <v>9.4849321647256582E-3</v>
      </c>
      <c r="AF44" s="174">
        <v>4.5320560747663601</v>
      </c>
      <c r="AG44" s="180">
        <v>5.8221875375195097E-2</v>
      </c>
      <c r="AH44" s="181">
        <v>0.71977787270397298</v>
      </c>
      <c r="AI44" s="181">
        <v>0.49700982486117001</v>
      </c>
      <c r="AJ44" s="174">
        <v>0.82416856765518098</v>
      </c>
      <c r="AK44" s="58">
        <v>0.10013206867571101</v>
      </c>
      <c r="AL44" s="58">
        <v>2.20914875735382E-2</v>
      </c>
      <c r="AM44" s="182">
        <v>0</v>
      </c>
    </row>
    <row r="45" spans="1:39" ht="16.05" hidden="1" customHeight="1" outlineLevel="1">
      <c r="A45" s="186">
        <v>43386</v>
      </c>
      <c r="B45" s="185" t="s">
        <v>51</v>
      </c>
      <c r="C45" s="188">
        <v>8067</v>
      </c>
      <c r="D45" s="188">
        <v>19886</v>
      </c>
      <c r="E45" s="189">
        <v>2.4651047477376999</v>
      </c>
      <c r="F45" s="167">
        <f>3.3*M45*G45/1000+AB45/D45*3.3*0.7</f>
        <v>0.55050130870964487</v>
      </c>
      <c r="G45" s="190">
        <v>12.45</v>
      </c>
      <c r="H45" s="190"/>
      <c r="I45" s="176">
        <v>0.36699999999999999</v>
      </c>
      <c r="J45" s="176">
        <v>0.16300000000000001</v>
      </c>
      <c r="K45" s="176">
        <v>7.0000000000000007E-2</v>
      </c>
      <c r="L45" s="174">
        <v>9.0807603339032497</v>
      </c>
      <c r="M45" s="177">
        <v>9.3123302826108798</v>
      </c>
      <c r="N45" s="167">
        <v>13.8249346771183</v>
      </c>
      <c r="O45" s="193">
        <f t="shared" si="2"/>
        <v>0.67358945992155406</v>
      </c>
      <c r="P45" s="167">
        <v>2.2160507652109001</v>
      </c>
      <c r="Q45" s="167">
        <v>2.5591638671145902</v>
      </c>
      <c r="R45" s="167">
        <v>1.9534901082493501</v>
      </c>
      <c r="S45" s="167">
        <v>2.1801418439716298</v>
      </c>
      <c r="T45" s="167">
        <v>1.2904068682344201</v>
      </c>
      <c r="U45" s="167">
        <v>0.59141470698021603</v>
      </c>
      <c r="V45" s="167">
        <v>2.1016050765210901</v>
      </c>
      <c r="W45" s="167">
        <v>0.932661440836133</v>
      </c>
      <c r="X45" s="167">
        <v>0.41918937946293899</v>
      </c>
      <c r="Y45" s="173">
        <f t="shared" si="3"/>
        <v>9.7315196620738185</v>
      </c>
      <c r="Z45" s="178">
        <v>257</v>
      </c>
      <c r="AA45" s="178">
        <v>189</v>
      </c>
      <c r="AB45" s="174">
        <v>1445.43</v>
      </c>
      <c r="AC45" s="194"/>
      <c r="AD45" s="195">
        <v>1.29236648898723E-2</v>
      </c>
      <c r="AE45" s="176">
        <f t="shared" si="4"/>
        <v>9.5041737906064565E-3</v>
      </c>
      <c r="AF45" s="174">
        <v>5.6242412451361901</v>
      </c>
      <c r="AG45" s="180">
        <v>7.2685809111938102E-2</v>
      </c>
      <c r="AH45" s="181">
        <v>0.65141936283624602</v>
      </c>
      <c r="AI45" s="181">
        <v>0.439320689227718</v>
      </c>
      <c r="AJ45" s="174">
        <v>0.59584632404706805</v>
      </c>
      <c r="AK45" s="58">
        <v>7.7692849240671796E-2</v>
      </c>
      <c r="AL45" s="58">
        <v>1.54379965805089E-2</v>
      </c>
      <c r="AM45" s="182">
        <v>0.35291159609775702</v>
      </c>
    </row>
    <row r="46" spans="1:39" ht="16.05" hidden="1" customHeight="1" outlineLevel="1">
      <c r="A46" s="186">
        <v>43387</v>
      </c>
      <c r="B46" s="185" t="s">
        <v>51</v>
      </c>
      <c r="C46" s="188">
        <v>6499</v>
      </c>
      <c r="D46" s="188">
        <v>19630</v>
      </c>
      <c r="E46" s="189">
        <v>3.0204646868749001</v>
      </c>
      <c r="F46" s="167">
        <v>0.58769939724910802</v>
      </c>
      <c r="G46" s="190">
        <v>13.09</v>
      </c>
      <c r="H46" s="190"/>
      <c r="I46" s="176">
        <v>0.4</v>
      </c>
      <c r="J46" s="176">
        <v>0.17699999999999999</v>
      </c>
      <c r="K46" s="176">
        <v>9.2999999999999999E-2</v>
      </c>
      <c r="L46" s="174">
        <v>9.4689760570555297</v>
      </c>
      <c r="M46" s="177">
        <v>9.7679062659195104</v>
      </c>
      <c r="N46" s="167">
        <v>13.855336368234701</v>
      </c>
      <c r="O46" s="193">
        <f t="shared" si="2"/>
        <v>0.70499235863474263</v>
      </c>
      <c r="P46" s="167">
        <v>2.1631620781848402</v>
      </c>
      <c r="Q46" s="167">
        <v>2.6681118577931899</v>
      </c>
      <c r="R46" s="167">
        <v>1.8301900426331399</v>
      </c>
      <c r="S46" s="167">
        <v>2.1892477780186401</v>
      </c>
      <c r="T46" s="167">
        <v>1.3539995664426601</v>
      </c>
      <c r="U46" s="167">
        <v>0.59433485078401604</v>
      </c>
      <c r="V46" s="167">
        <v>2.08663920803526</v>
      </c>
      <c r="W46" s="167">
        <v>0.969650986342944</v>
      </c>
      <c r="X46" s="167">
        <v>0.53458991339785999</v>
      </c>
      <c r="Y46" s="173">
        <f t="shared" si="3"/>
        <v>10.302496179317369</v>
      </c>
      <c r="Z46" s="178">
        <v>244</v>
      </c>
      <c r="AA46" s="178">
        <v>184</v>
      </c>
      <c r="AB46" s="174">
        <v>1408.56</v>
      </c>
      <c r="AC46" s="194"/>
      <c r="AD46" s="195">
        <v>1.24299541518085E-2</v>
      </c>
      <c r="AE46" s="176">
        <f t="shared" si="4"/>
        <v>9.3734080489047376E-3</v>
      </c>
      <c r="AF46" s="174">
        <v>5.7727868852458997</v>
      </c>
      <c r="AG46" s="180">
        <v>7.1755476311767694E-2</v>
      </c>
      <c r="AH46" s="181">
        <v>0.72580396984151396</v>
      </c>
      <c r="AI46" s="181">
        <v>0.52361901831050905</v>
      </c>
      <c r="AJ46" s="174">
        <v>0.60840550178298503</v>
      </c>
      <c r="AK46" s="58">
        <v>7.6770249617931705E-2</v>
      </c>
      <c r="AL46" s="58">
        <v>1.4009169638308699E-2</v>
      </c>
      <c r="AM46" s="182">
        <v>0.377840040753948</v>
      </c>
    </row>
    <row r="47" spans="1:39" ht="16.05" hidden="1" customHeight="1" outlineLevel="1">
      <c r="A47" s="186">
        <v>43388</v>
      </c>
      <c r="B47" s="185" t="s">
        <v>51</v>
      </c>
      <c r="C47" s="188">
        <v>3165</v>
      </c>
      <c r="D47" s="188">
        <v>16614</v>
      </c>
      <c r="E47" s="189">
        <v>5.2492890995260701</v>
      </c>
      <c r="F47" s="167">
        <v>0.551853011375948</v>
      </c>
      <c r="G47" s="190">
        <v>12.87</v>
      </c>
      <c r="H47" s="190"/>
      <c r="I47" s="176">
        <v>0.35699999999999998</v>
      </c>
      <c r="J47" s="176">
        <v>0.16500000000000001</v>
      </c>
      <c r="K47" s="176">
        <v>9.4E-2</v>
      </c>
      <c r="L47" s="174">
        <v>9.5469483568075102</v>
      </c>
      <c r="M47" s="177">
        <v>9.8206933911159293</v>
      </c>
      <c r="N47" s="167">
        <v>13.650213335564301</v>
      </c>
      <c r="O47" s="193">
        <f t="shared" si="2"/>
        <v>0.71945347297459961</v>
      </c>
      <c r="P47" s="167">
        <v>2.1110181544382201</v>
      </c>
      <c r="Q47" s="167">
        <v>2.73998159457877</v>
      </c>
      <c r="R47" s="167">
        <v>1.7986279595080701</v>
      </c>
      <c r="S47" s="167">
        <v>2.1075043922027898</v>
      </c>
      <c r="T47" s="167">
        <v>1.38350204969464</v>
      </c>
      <c r="U47" s="167">
        <v>0.54915084079310605</v>
      </c>
      <c r="V47" s="167">
        <v>2.0212498954237401</v>
      </c>
      <c r="W47" s="167">
        <v>0.93917844892495606</v>
      </c>
      <c r="X47" s="167">
        <v>0.49843505477308298</v>
      </c>
      <c r="Y47" s="173">
        <f t="shared" si="3"/>
        <v>10.319128445889012</v>
      </c>
      <c r="Z47" s="178">
        <v>179</v>
      </c>
      <c r="AA47" s="178">
        <v>144</v>
      </c>
      <c r="AB47" s="174">
        <v>969.21</v>
      </c>
      <c r="AC47" s="194"/>
      <c r="AD47" s="195">
        <v>1.0774045985313599E-2</v>
      </c>
      <c r="AE47" s="176">
        <f t="shared" si="4"/>
        <v>8.6673889490790895E-3</v>
      </c>
      <c r="AF47" s="174">
        <v>5.4145810055865899</v>
      </c>
      <c r="AG47" s="180">
        <v>5.8336944745395497E-2</v>
      </c>
      <c r="AH47" s="181">
        <v>0.81484992101105802</v>
      </c>
      <c r="AI47" s="181">
        <v>0.71974723538704599</v>
      </c>
      <c r="AJ47" s="174">
        <v>0.66179126038281</v>
      </c>
      <c r="AK47" s="58">
        <v>8.4687612856626904E-2</v>
      </c>
      <c r="AL47" s="58">
        <v>1.67328758878055E-2</v>
      </c>
      <c r="AM47" s="182">
        <v>0.40796918261706999</v>
      </c>
    </row>
    <row r="48" spans="1:39" ht="16.05" hidden="1" customHeight="1" outlineLevel="1">
      <c r="A48" s="184">
        <v>43389</v>
      </c>
      <c r="B48" s="185" t="s">
        <v>51</v>
      </c>
      <c r="C48" s="188">
        <v>1533</v>
      </c>
      <c r="D48" s="188">
        <v>13712</v>
      </c>
      <c r="E48" s="189">
        <v>8.9445531637312499</v>
      </c>
      <c r="F48" s="167">
        <f>3.3*M48*G48/1000+AB48/D48*3.3*0.7</f>
        <v>0.59987368713535605</v>
      </c>
      <c r="G48" s="190">
        <v>16.14</v>
      </c>
      <c r="H48" s="190"/>
      <c r="I48" s="176">
        <v>0.47399999999999998</v>
      </c>
      <c r="J48" s="176">
        <v>0.222</v>
      </c>
      <c r="K48" s="176">
        <v>0.1</v>
      </c>
      <c r="L48" s="174">
        <v>8.7222870478413093</v>
      </c>
      <c r="M48" s="177">
        <v>8.9869457409568305</v>
      </c>
      <c r="N48" s="167">
        <v>12.573104785226001</v>
      </c>
      <c r="O48" s="193">
        <f t="shared" si="2"/>
        <v>0.71477537922987178</v>
      </c>
      <c r="P48" s="167">
        <v>1.9801040710131601</v>
      </c>
      <c r="Q48" s="167">
        <v>2.5016835016835</v>
      </c>
      <c r="R48" s="167">
        <v>1.60422405876951</v>
      </c>
      <c r="S48" s="167">
        <v>1.96847260483624</v>
      </c>
      <c r="T48" s="167">
        <v>1.3081318232833401</v>
      </c>
      <c r="U48" s="167">
        <v>0.50647893072135497</v>
      </c>
      <c r="V48" s="167">
        <v>1.8748086929905099</v>
      </c>
      <c r="W48" s="167">
        <v>0.82920110192837504</v>
      </c>
      <c r="X48" s="167">
        <v>0.50758459743290596</v>
      </c>
      <c r="Y48" s="173">
        <f t="shared" si="3"/>
        <v>9.4945303383897368</v>
      </c>
      <c r="Z48" s="178">
        <v>150</v>
      </c>
      <c r="AA48" s="178">
        <v>108</v>
      </c>
      <c r="AB48" s="174">
        <v>719.5</v>
      </c>
      <c r="AC48" s="194"/>
      <c r="AD48" s="195">
        <v>1.09393232205368E-2</v>
      </c>
      <c r="AE48" s="176">
        <f t="shared" si="4"/>
        <v>7.8763127187864643E-3</v>
      </c>
      <c r="AF48" s="174">
        <v>4.7966666666666704</v>
      </c>
      <c r="AG48" s="180">
        <v>5.24722870478413E-2</v>
      </c>
      <c r="AH48" s="181">
        <v>0.78408349641226305</v>
      </c>
      <c r="AI48" s="181">
        <v>0.75733855185910004</v>
      </c>
      <c r="AJ48" s="174">
        <v>0.68392648774795795</v>
      </c>
      <c r="AK48" s="58">
        <v>9.62660443407235E-2</v>
      </c>
      <c r="AL48" s="58">
        <v>2.3483080513418901E-2</v>
      </c>
      <c r="AM48" s="182">
        <v>0.494311551925321</v>
      </c>
    </row>
    <row r="49" spans="1:39" ht="16.05" hidden="1" customHeight="1" outlineLevel="1">
      <c r="A49" s="186">
        <v>43390</v>
      </c>
      <c r="B49" s="187" t="s">
        <v>51</v>
      </c>
      <c r="C49" s="188">
        <v>2831</v>
      </c>
      <c r="D49" s="188">
        <v>13652</v>
      </c>
      <c r="E49" s="189">
        <v>4.8223242670434496</v>
      </c>
      <c r="F49" s="167">
        <v>0.495230622912394</v>
      </c>
      <c r="G49" s="190">
        <v>13.07</v>
      </c>
      <c r="H49" s="190"/>
      <c r="I49" s="176">
        <v>0.42299999999999999</v>
      </c>
      <c r="J49" s="176">
        <v>0.2</v>
      </c>
      <c r="K49" s="176">
        <v>9.2999999999999999E-2</v>
      </c>
      <c r="L49" s="174">
        <v>7.9567828889539998</v>
      </c>
      <c r="M49" s="177">
        <v>7.7456782888953999</v>
      </c>
      <c r="N49" s="167">
        <v>11.298643017416399</v>
      </c>
      <c r="O49" s="193">
        <f t="shared" si="2"/>
        <v>0.68554058013477825</v>
      </c>
      <c r="P49" s="167">
        <v>1.87584143605086</v>
      </c>
      <c r="Q49" s="167">
        <v>2.0304519713644602</v>
      </c>
      <c r="R49" s="167">
        <v>1.2320760765039001</v>
      </c>
      <c r="S49" s="167">
        <v>2.02425472806924</v>
      </c>
      <c r="T49" s="167">
        <v>1.1348434661822799</v>
      </c>
      <c r="U49" s="167">
        <v>0.57698472058980699</v>
      </c>
      <c r="V49" s="167">
        <v>1.6460091890159201</v>
      </c>
      <c r="W49" s="167">
        <v>0.77818142963991899</v>
      </c>
      <c r="X49" s="167">
        <v>0.32171110460005897</v>
      </c>
      <c r="Y49" s="173">
        <f t="shared" si="3"/>
        <v>8.0673893934954588</v>
      </c>
      <c r="Z49" s="178">
        <v>160</v>
      </c>
      <c r="AA49" s="178">
        <v>112</v>
      </c>
      <c r="AB49" s="174">
        <v>952.4</v>
      </c>
      <c r="AC49" s="194"/>
      <c r="AD49" s="195">
        <v>1.1719894520949301E-2</v>
      </c>
      <c r="AE49" s="176">
        <f t="shared" si="4"/>
        <v>8.2039261646645184E-3</v>
      </c>
      <c r="AF49" s="174">
        <v>5.9524999999999997</v>
      </c>
      <c r="AG49" s="180">
        <v>6.9762672135950804E-2</v>
      </c>
      <c r="AH49" s="181">
        <v>0.72341928647121201</v>
      </c>
      <c r="AI49" s="181">
        <v>0.51042034616743204</v>
      </c>
      <c r="AJ49" s="174">
        <v>0.77094931145619705</v>
      </c>
      <c r="AK49" s="58">
        <v>0.104673307940229</v>
      </c>
      <c r="AL49" s="58">
        <v>2.7395253442719002E-2</v>
      </c>
      <c r="AM49" s="182">
        <v>0</v>
      </c>
    </row>
    <row r="50" spans="1:39" ht="16.05" hidden="1" customHeight="1" outlineLevel="1">
      <c r="A50" s="186">
        <v>43391</v>
      </c>
      <c r="B50" s="187" t="s">
        <v>51</v>
      </c>
      <c r="C50" s="188">
        <v>2666</v>
      </c>
      <c r="D50" s="188">
        <v>12776</v>
      </c>
      <c r="E50" s="189">
        <v>4.7921980495123799</v>
      </c>
      <c r="F50" s="167">
        <v>0.51489422667501605</v>
      </c>
      <c r="G50" s="190">
        <v>14.09</v>
      </c>
      <c r="H50" s="190"/>
      <c r="I50" s="176">
        <v>0.435</v>
      </c>
      <c r="J50" s="176">
        <v>0.19600000000000001</v>
      </c>
      <c r="K50" s="176">
        <v>9.1999999999999998E-2</v>
      </c>
      <c r="L50" s="174">
        <v>8.3444740137758302</v>
      </c>
      <c r="M50" s="177">
        <v>8.3609893550407008</v>
      </c>
      <c r="N50" s="167">
        <v>12.138636363636399</v>
      </c>
      <c r="O50" s="193">
        <f t="shared" si="2"/>
        <v>0.68879148403255896</v>
      </c>
      <c r="P50" s="167">
        <v>2.0242045454545501</v>
      </c>
      <c r="Q50" s="167">
        <v>2.1411363636363601</v>
      </c>
      <c r="R50" s="167">
        <v>1.2735227272727301</v>
      </c>
      <c r="S50" s="167">
        <v>2.29454545454545</v>
      </c>
      <c r="T50" s="167">
        <v>1.23352272727273</v>
      </c>
      <c r="U50" s="167">
        <v>0.60852272727272705</v>
      </c>
      <c r="V50" s="167">
        <v>1.75727272727273</v>
      </c>
      <c r="W50" s="167">
        <v>0.80590909090909102</v>
      </c>
      <c r="X50" s="167">
        <v>0.37734815278647499</v>
      </c>
      <c r="Y50" s="173">
        <f t="shared" si="3"/>
        <v>8.7383375078271754</v>
      </c>
      <c r="Z50" s="178">
        <v>139</v>
      </c>
      <c r="AA50" s="178">
        <v>107</v>
      </c>
      <c r="AB50" s="174">
        <v>697.61</v>
      </c>
      <c r="AC50" s="194"/>
      <c r="AD50" s="195">
        <v>1.08797745773325E-2</v>
      </c>
      <c r="AE50" s="176">
        <f t="shared" si="4"/>
        <v>8.37507827175955E-3</v>
      </c>
      <c r="AF50" s="174">
        <v>5.0187769784172698</v>
      </c>
      <c r="AG50" s="180">
        <v>5.4603162179085798E-2</v>
      </c>
      <c r="AH50" s="181">
        <v>0.70742685671417904</v>
      </c>
      <c r="AI50" s="181">
        <v>0.535633908477119</v>
      </c>
      <c r="AJ50" s="174">
        <v>0.79735441452723899</v>
      </c>
      <c r="AK50" s="58">
        <v>0.10668440826549801</v>
      </c>
      <c r="AL50" s="58">
        <v>2.9430181590482201E-2</v>
      </c>
      <c r="AM50" s="182">
        <v>0</v>
      </c>
    </row>
    <row r="51" spans="1:39" ht="16.05" hidden="1" customHeight="1" outlineLevel="1">
      <c r="A51" s="186">
        <v>43392</v>
      </c>
      <c r="B51" s="187" t="s">
        <v>51</v>
      </c>
      <c r="C51" s="188">
        <v>2399</v>
      </c>
      <c r="D51" s="188">
        <v>12112</v>
      </c>
      <c r="E51" s="189">
        <v>5.04877032096707</v>
      </c>
      <c r="F51" s="167">
        <v>0.52223305928005304</v>
      </c>
      <c r="G51" s="190">
        <v>13.62</v>
      </c>
      <c r="H51" s="190"/>
      <c r="I51" s="176">
        <v>0.43099999999999999</v>
      </c>
      <c r="J51" s="176">
        <v>0.188</v>
      </c>
      <c r="K51" s="176">
        <v>8.5000000000000006E-2</v>
      </c>
      <c r="L51" s="174">
        <v>8.2870706737120194</v>
      </c>
      <c r="M51" s="177">
        <v>7.9969451783355296</v>
      </c>
      <c r="N51" s="167">
        <v>11.797685749086501</v>
      </c>
      <c r="O51" s="193">
        <f t="shared" si="2"/>
        <v>0.67784015852047386</v>
      </c>
      <c r="P51" s="167">
        <v>1.9786845310596799</v>
      </c>
      <c r="Q51" s="167">
        <v>2.0896467722289902</v>
      </c>
      <c r="R51" s="167">
        <v>1.2147381242387301</v>
      </c>
      <c r="S51" s="167">
        <v>2.3023142509135202</v>
      </c>
      <c r="T51" s="167">
        <v>1.2109622411693099</v>
      </c>
      <c r="U51" s="167">
        <v>0.56029232643118099</v>
      </c>
      <c r="V51" s="167">
        <v>1.65834348355664</v>
      </c>
      <c r="W51" s="167">
        <v>0.78270401948842905</v>
      </c>
      <c r="X51" s="167">
        <v>0.35501981505944502</v>
      </c>
      <c r="Y51" s="173">
        <f t="shared" si="3"/>
        <v>8.351964993394974</v>
      </c>
      <c r="Z51" s="178">
        <v>138</v>
      </c>
      <c r="AA51" s="178">
        <v>96</v>
      </c>
      <c r="AB51" s="174">
        <v>853.62</v>
      </c>
      <c r="AC51" s="194"/>
      <c r="AD51" s="195">
        <v>1.1393659180977501E-2</v>
      </c>
      <c r="AE51" s="176">
        <f t="shared" si="4"/>
        <v>7.9260237780713338E-3</v>
      </c>
      <c r="AF51" s="174">
        <v>6.1856521739130397</v>
      </c>
      <c r="AG51" s="180">
        <v>7.0477212681637993E-2</v>
      </c>
      <c r="AH51" s="181">
        <v>0.72238432680283404</v>
      </c>
      <c r="AI51" s="181">
        <v>0.53730721133805703</v>
      </c>
      <c r="AJ51" s="174">
        <v>0.75999009247027705</v>
      </c>
      <c r="AK51" s="58">
        <v>0.104029062087186</v>
      </c>
      <c r="AL51" s="58">
        <v>2.8649273447820301E-2</v>
      </c>
      <c r="AM51" s="182">
        <v>0</v>
      </c>
    </row>
    <row r="52" spans="1:39" ht="16.05" hidden="1" customHeight="1" outlineLevel="1">
      <c r="A52" s="186">
        <v>43393</v>
      </c>
      <c r="B52" s="185" t="s">
        <v>51</v>
      </c>
      <c r="C52" s="188">
        <v>3045</v>
      </c>
      <c r="D52" s="188">
        <v>12250</v>
      </c>
      <c r="E52" s="189">
        <v>4.0229885057471302</v>
      </c>
      <c r="F52" s="167">
        <v>0.66209112514285695</v>
      </c>
      <c r="G52" s="190">
        <v>14.49</v>
      </c>
      <c r="H52" s="190"/>
      <c r="I52" s="176">
        <v>0.4</v>
      </c>
      <c r="J52" s="176">
        <v>0.17699999999999999</v>
      </c>
      <c r="K52" s="176">
        <v>9.1999999999999998E-2</v>
      </c>
      <c r="L52" s="174">
        <v>9.3239183673469395</v>
      </c>
      <c r="M52" s="177">
        <v>9.7958367346938804</v>
      </c>
      <c r="N52" s="167">
        <v>14.294103633114901</v>
      </c>
      <c r="O52" s="193">
        <f t="shared" si="2"/>
        <v>0.68530612244898215</v>
      </c>
      <c r="P52" s="167">
        <v>2.4713519952352598</v>
      </c>
      <c r="Q52" s="167">
        <v>2.7780821917808201</v>
      </c>
      <c r="R52" s="167">
        <v>1.34746873138773</v>
      </c>
      <c r="S52" s="167">
        <v>2.3954734961286501</v>
      </c>
      <c r="T52" s="167">
        <v>1.60941036331149</v>
      </c>
      <c r="U52" s="167">
        <v>0.52519356759976199</v>
      </c>
      <c r="V52" s="167">
        <v>2.24026206075045</v>
      </c>
      <c r="W52" s="167">
        <v>0.92686122692078599</v>
      </c>
      <c r="X52" s="167">
        <v>0.53991836734693899</v>
      </c>
      <c r="Y52" s="173">
        <f t="shared" si="3"/>
        <v>10.335755102040819</v>
      </c>
      <c r="Z52" s="178">
        <v>189</v>
      </c>
      <c r="AA52" s="178">
        <v>138</v>
      </c>
      <c r="AB52" s="174">
        <v>1027.1099999999999</v>
      </c>
      <c r="AC52" s="194"/>
      <c r="AD52" s="195">
        <v>1.5428571428571399E-2</v>
      </c>
      <c r="AE52" s="176">
        <f t="shared" si="4"/>
        <v>1.1265306122448979E-2</v>
      </c>
      <c r="AF52" s="174">
        <v>5.4344444444444404</v>
      </c>
      <c r="AG52" s="180">
        <v>8.3845714285714301E-2</v>
      </c>
      <c r="AH52" s="181">
        <v>0.69228243021346503</v>
      </c>
      <c r="AI52" s="181">
        <v>0.47454844006568098</v>
      </c>
      <c r="AJ52" s="174">
        <v>0.63118367346938797</v>
      </c>
      <c r="AK52" s="58">
        <v>9.3387755102040795E-2</v>
      </c>
      <c r="AL52" s="58">
        <v>2.6693877551020401E-2</v>
      </c>
      <c r="AM52" s="182">
        <v>0.38946938775510198</v>
      </c>
    </row>
    <row r="53" spans="1:39" ht="16.05" hidden="1" customHeight="1" outlineLevel="1">
      <c r="A53" s="186">
        <v>43394</v>
      </c>
      <c r="B53" s="185" t="s">
        <v>51</v>
      </c>
      <c r="C53" s="188">
        <v>3016</v>
      </c>
      <c r="D53" s="188">
        <v>12520</v>
      </c>
      <c r="E53" s="189">
        <v>4.1511936339522499</v>
      </c>
      <c r="F53" s="167">
        <v>0.70787359289137397</v>
      </c>
      <c r="G53" s="190">
        <v>14.37</v>
      </c>
      <c r="H53" s="190"/>
      <c r="I53" s="176">
        <v>0.378</v>
      </c>
      <c r="J53" s="176">
        <v>0.17299999999999999</v>
      </c>
      <c r="K53" s="176">
        <v>9.0999999999999998E-2</v>
      </c>
      <c r="L53" s="174">
        <v>9.5260383386581502</v>
      </c>
      <c r="M53" s="177">
        <v>10.097683706070301</v>
      </c>
      <c r="N53" s="167">
        <v>14.578297970479699</v>
      </c>
      <c r="O53" s="193">
        <f t="shared" si="2"/>
        <v>0.69265175718849958</v>
      </c>
      <c r="P53" s="167">
        <v>2.34375</v>
      </c>
      <c r="Q53" s="167">
        <v>2.8244926199261999</v>
      </c>
      <c r="R53" s="167">
        <v>1.51499077490775</v>
      </c>
      <c r="S53" s="167">
        <v>2.6481780442804399</v>
      </c>
      <c r="T53" s="167">
        <v>1.4983856088560901</v>
      </c>
      <c r="U53" s="167">
        <v>0.54508763837638396</v>
      </c>
      <c r="V53" s="167">
        <v>2.26568265682657</v>
      </c>
      <c r="W53" s="167">
        <v>0.93773062730627299</v>
      </c>
      <c r="X53" s="167">
        <v>0.52324281150159702</v>
      </c>
      <c r="Y53" s="173">
        <f t="shared" si="3"/>
        <v>10.620926517571897</v>
      </c>
      <c r="Z53" s="178">
        <v>167</v>
      </c>
      <c r="AA53" s="178">
        <v>135</v>
      </c>
      <c r="AB53" s="174">
        <v>1241.33</v>
      </c>
      <c r="AC53" s="194"/>
      <c r="AD53" s="195">
        <v>1.33386581469649E-2</v>
      </c>
      <c r="AE53" s="176">
        <f t="shared" si="4"/>
        <v>1.0782747603833865E-2</v>
      </c>
      <c r="AF53" s="174">
        <v>7.4331137724550898</v>
      </c>
      <c r="AG53" s="180">
        <v>9.9147763578274803E-2</v>
      </c>
      <c r="AH53" s="181">
        <v>0.71187002652519904</v>
      </c>
      <c r="AI53" s="181">
        <v>0.46949602122015899</v>
      </c>
      <c r="AJ53" s="174">
        <v>0.65223642172523999</v>
      </c>
      <c r="AK53" s="58">
        <v>8.7220447284345096E-2</v>
      </c>
      <c r="AL53" s="58">
        <v>2.47603833865815E-2</v>
      </c>
      <c r="AM53" s="182">
        <v>0.400079872204473</v>
      </c>
    </row>
    <row r="54" spans="1:39" ht="16.05" hidden="1" customHeight="1" outlineLevel="1">
      <c r="A54" s="186">
        <v>43395</v>
      </c>
      <c r="B54" s="185" t="s">
        <v>51</v>
      </c>
      <c r="C54" s="188">
        <v>2986</v>
      </c>
      <c r="D54" s="188">
        <v>12467</v>
      </c>
      <c r="E54" s="189">
        <v>4.1751507032819797</v>
      </c>
      <c r="F54" s="167">
        <v>0.64235679233175602</v>
      </c>
      <c r="G54" s="190">
        <v>13.97</v>
      </c>
      <c r="H54" s="190"/>
      <c r="I54" s="176">
        <v>0.38900000000000001</v>
      </c>
      <c r="J54" s="176">
        <v>0.18099999999999999</v>
      </c>
      <c r="K54" s="176">
        <v>0.09</v>
      </c>
      <c r="L54" s="174">
        <v>9.2242720782866794</v>
      </c>
      <c r="M54" s="177">
        <v>9.6197962621320308</v>
      </c>
      <c r="N54" s="167">
        <v>13.893651529193701</v>
      </c>
      <c r="O54" s="193">
        <f t="shared" si="2"/>
        <v>0.69238790406673623</v>
      </c>
      <c r="P54" s="167">
        <v>2.20678869323448</v>
      </c>
      <c r="Q54" s="167">
        <v>2.6053058387395698</v>
      </c>
      <c r="R54" s="167">
        <v>1.5466867469879499</v>
      </c>
      <c r="S54" s="167">
        <v>2.5714782205746101</v>
      </c>
      <c r="T54" s="167">
        <v>1.4631603336422601</v>
      </c>
      <c r="U54" s="167">
        <v>0.53104726598702501</v>
      </c>
      <c r="V54" s="167">
        <v>2.0870018535681201</v>
      </c>
      <c r="W54" s="167">
        <v>0.88218257645968501</v>
      </c>
      <c r="X54" s="167">
        <v>0.58233737065853897</v>
      </c>
      <c r="Y54" s="173">
        <f t="shared" si="3"/>
        <v>10.20213363279057</v>
      </c>
      <c r="Z54" s="178">
        <v>168</v>
      </c>
      <c r="AA54" s="178">
        <v>126</v>
      </c>
      <c r="AB54" s="174">
        <v>1073.32</v>
      </c>
      <c r="AC54" s="194"/>
      <c r="AD54" s="195">
        <v>1.34755755193711E-2</v>
      </c>
      <c r="AE54" s="176">
        <f t="shared" si="4"/>
        <v>1.0106681639528355E-2</v>
      </c>
      <c r="AF54" s="174">
        <v>6.3888095238095204</v>
      </c>
      <c r="AG54" s="180">
        <v>8.6092885216972795E-2</v>
      </c>
      <c r="AH54" s="181">
        <v>0.67615539182853301</v>
      </c>
      <c r="AI54" s="181">
        <v>0.46282652377762901</v>
      </c>
      <c r="AJ54" s="174">
        <v>0.66190743563006305</v>
      </c>
      <c r="AK54" s="58">
        <v>8.1575358947621704E-2</v>
      </c>
      <c r="AL54" s="58">
        <v>2.27801395684607E-2</v>
      </c>
      <c r="AM54" s="182">
        <v>0.37587230287960199</v>
      </c>
    </row>
    <row r="55" spans="1:39" ht="16.05" hidden="1" customHeight="1" outlineLevel="1">
      <c r="A55" s="184">
        <v>43396</v>
      </c>
      <c r="B55" s="185" t="s">
        <v>51</v>
      </c>
      <c r="C55" s="188">
        <v>2445</v>
      </c>
      <c r="D55" s="188">
        <v>11678</v>
      </c>
      <c r="E55" s="189">
        <v>4.7762781186094099</v>
      </c>
      <c r="F55" s="167">
        <v>0.80612049032368605</v>
      </c>
      <c r="G55" s="190">
        <v>15.47</v>
      </c>
      <c r="H55" s="190"/>
      <c r="I55" s="176">
        <v>0.41099999999999998</v>
      </c>
      <c r="J55" s="176">
        <v>0.20699999999999999</v>
      </c>
      <c r="K55" s="176">
        <v>9.4E-2</v>
      </c>
      <c r="L55" s="174">
        <v>8.9624935776674093</v>
      </c>
      <c r="M55" s="177">
        <v>9.0671347833533105</v>
      </c>
      <c r="N55" s="167">
        <v>13.1160658986746</v>
      </c>
      <c r="O55" s="193">
        <f t="shared" si="2"/>
        <v>0.69129988011645771</v>
      </c>
      <c r="P55" s="167">
        <v>2.0847268673355601</v>
      </c>
      <c r="Q55" s="167">
        <v>2.4086461042982799</v>
      </c>
      <c r="R55" s="167">
        <v>1.4318097361575599</v>
      </c>
      <c r="S55" s="167">
        <v>2.6641892728849199</v>
      </c>
      <c r="T55" s="167">
        <v>1.2924563359346</v>
      </c>
      <c r="U55" s="167">
        <v>0.53734671125975497</v>
      </c>
      <c r="V55" s="167">
        <v>1.88294314381271</v>
      </c>
      <c r="W55" s="167">
        <v>0.81394772699120499</v>
      </c>
      <c r="X55" s="167">
        <v>0.42592909744819302</v>
      </c>
      <c r="Y55" s="173">
        <f t="shared" si="3"/>
        <v>9.493063880801504</v>
      </c>
      <c r="Z55" s="178">
        <v>181</v>
      </c>
      <c r="AA55" s="178">
        <v>108</v>
      </c>
      <c r="AB55" s="174">
        <v>1735.19</v>
      </c>
      <c r="AC55" s="194"/>
      <c r="AD55" s="195">
        <v>1.5499229320089101E-2</v>
      </c>
      <c r="AE55" s="176">
        <f t="shared" si="4"/>
        <v>9.2481589313238577E-3</v>
      </c>
      <c r="AF55" s="174">
        <v>9.5866850828729309</v>
      </c>
      <c r="AG55" s="180">
        <v>0.148586230518924</v>
      </c>
      <c r="AH55" s="181">
        <v>0.70511247443762803</v>
      </c>
      <c r="AI55" s="181">
        <v>0.49897750511247402</v>
      </c>
      <c r="AJ55" s="174">
        <v>0.707227264942627</v>
      </c>
      <c r="AK55" s="58">
        <v>8.7001198835417001E-2</v>
      </c>
      <c r="AL55" s="58">
        <v>2.5518068162356598E-2</v>
      </c>
      <c r="AM55" s="182">
        <v>0.32248672717931198</v>
      </c>
    </row>
    <row r="56" spans="1:39" ht="16.05" hidden="1" customHeight="1" outlineLevel="1">
      <c r="A56" s="186">
        <v>43397</v>
      </c>
      <c r="B56" s="187" t="s">
        <v>51</v>
      </c>
      <c r="C56" s="188">
        <v>2288</v>
      </c>
      <c r="D56" s="188">
        <v>11188</v>
      </c>
      <c r="E56" s="189">
        <v>4.88986013986014</v>
      </c>
      <c r="F56" s="167">
        <v>0.65160777082588495</v>
      </c>
      <c r="G56" s="190">
        <v>19.440000000000001</v>
      </c>
      <c r="H56" s="190"/>
      <c r="I56" s="176">
        <v>0.42099999999999999</v>
      </c>
      <c r="J56" s="176">
        <v>0.19700000000000001</v>
      </c>
      <c r="K56" s="176">
        <v>9.9000000000000005E-2</v>
      </c>
      <c r="L56" s="174">
        <v>8.4778333929209904</v>
      </c>
      <c r="M56" s="177">
        <v>8.6516803718269593</v>
      </c>
      <c r="N56" s="167">
        <v>12.7462470371346</v>
      </c>
      <c r="O56" s="193">
        <f t="shared" si="2"/>
        <v>0.67876296031462191</v>
      </c>
      <c r="P56" s="167">
        <v>1.90492494074269</v>
      </c>
      <c r="Q56" s="167">
        <v>2.0375296286542</v>
      </c>
      <c r="R56" s="167">
        <v>1.2474321833026101</v>
      </c>
      <c r="S56" s="167">
        <v>3.2499341585462198</v>
      </c>
      <c r="T56" s="167">
        <v>1.1850144851198301</v>
      </c>
      <c r="U56" s="167">
        <v>0.58770081643402705</v>
      </c>
      <c r="V56" s="167">
        <v>1.7114827495391101</v>
      </c>
      <c r="W56" s="167">
        <v>0.822228074795891</v>
      </c>
      <c r="X56" s="167">
        <v>0.34939220593492998</v>
      </c>
      <c r="Y56" s="173">
        <f t="shared" si="3"/>
        <v>9.0010725777618887</v>
      </c>
      <c r="Z56" s="178">
        <v>121</v>
      </c>
      <c r="AA56" s="178">
        <v>97</v>
      </c>
      <c r="AB56" s="174">
        <v>467.79</v>
      </c>
      <c r="AC56" s="194"/>
      <c r="AD56" s="195">
        <v>1.08151590990347E-2</v>
      </c>
      <c r="AE56" s="176">
        <f t="shared" si="4"/>
        <v>8.6700035752592056E-3</v>
      </c>
      <c r="AF56" s="174">
        <v>3.8660330578512401</v>
      </c>
      <c r="AG56" s="180">
        <v>4.1811762602788703E-2</v>
      </c>
      <c r="AH56" s="181">
        <v>0.73120629370629397</v>
      </c>
      <c r="AI56" s="181">
        <v>0.536713286713287</v>
      </c>
      <c r="AJ56" s="174">
        <v>0.780389703253486</v>
      </c>
      <c r="AK56" s="58">
        <v>0.10904540579192</v>
      </c>
      <c r="AL56" s="58">
        <v>3.2087951376474799E-2</v>
      </c>
      <c r="AM56" s="182">
        <v>0</v>
      </c>
    </row>
    <row r="57" spans="1:39" ht="16.05" hidden="1" customHeight="1" outlineLevel="1">
      <c r="A57" s="186">
        <v>43398</v>
      </c>
      <c r="B57" s="187" t="s">
        <v>51</v>
      </c>
      <c r="C57" s="188">
        <v>2588</v>
      </c>
      <c r="D57" s="188">
        <v>11047</v>
      </c>
      <c r="E57" s="189">
        <v>4.26854714064915</v>
      </c>
      <c r="F57" s="167">
        <v>0.73009765185118103</v>
      </c>
      <c r="G57" s="190">
        <v>16.600000000000001</v>
      </c>
      <c r="H57" s="190"/>
      <c r="I57" s="176">
        <v>0.41799999999999998</v>
      </c>
      <c r="J57" s="176">
        <v>0.21</v>
      </c>
      <c r="K57" s="176">
        <v>0.1</v>
      </c>
      <c r="L57" s="174">
        <v>8.4880057934280799</v>
      </c>
      <c r="M57" s="177">
        <v>8.9338281886484996</v>
      </c>
      <c r="N57" s="167">
        <v>13.151918976545801</v>
      </c>
      <c r="O57" s="193">
        <f t="shared" si="2"/>
        <v>0.67927944238254923</v>
      </c>
      <c r="P57" s="167">
        <v>1.97321428571429</v>
      </c>
      <c r="Q57" s="167">
        <v>2.1211353944562901</v>
      </c>
      <c r="R57" s="167">
        <v>1.2174840085287799</v>
      </c>
      <c r="S57" s="167">
        <v>3.5274520255863502</v>
      </c>
      <c r="T57" s="167">
        <v>1.2277452025586399</v>
      </c>
      <c r="U57" s="167">
        <v>0.60207889125799596</v>
      </c>
      <c r="V57" s="167">
        <v>1.7033582089552199</v>
      </c>
      <c r="W57" s="167">
        <v>0.77945095948827303</v>
      </c>
      <c r="X57" s="167">
        <v>0.39956549289399801</v>
      </c>
      <c r="Y57" s="173">
        <f t="shared" si="3"/>
        <v>9.333393681542498</v>
      </c>
      <c r="Z57" s="178">
        <v>190</v>
      </c>
      <c r="AA57" s="178">
        <v>131</v>
      </c>
      <c r="AB57" s="174">
        <v>1151.0999999999999</v>
      </c>
      <c r="AC57" s="194"/>
      <c r="AD57" s="195">
        <v>1.7199239612564501E-2</v>
      </c>
      <c r="AE57" s="176">
        <f t="shared" si="4"/>
        <v>1.1858423101294469E-2</v>
      </c>
      <c r="AF57" s="174">
        <v>6.05842105263158</v>
      </c>
      <c r="AG57" s="180">
        <v>0.10420023535801599</v>
      </c>
      <c r="AH57" s="181">
        <v>0.72256568778979902</v>
      </c>
      <c r="AI57" s="181">
        <v>0.50077279752704795</v>
      </c>
      <c r="AJ57" s="174">
        <v>0.78790621888295498</v>
      </c>
      <c r="AK57" s="58">
        <v>0.105549017832896</v>
      </c>
      <c r="AL57" s="58">
        <v>3.0958631302616099E-2</v>
      </c>
      <c r="AM57" s="182">
        <v>0</v>
      </c>
    </row>
    <row r="58" spans="1:39" ht="16.05" hidden="1" customHeight="1" outlineLevel="1">
      <c r="A58" s="186">
        <v>43399</v>
      </c>
      <c r="B58" s="187" t="s">
        <v>51</v>
      </c>
      <c r="C58" s="188">
        <v>2440</v>
      </c>
      <c r="D58" s="188">
        <v>10887</v>
      </c>
      <c r="E58" s="189">
        <v>4.46188524590164</v>
      </c>
      <c r="F58" s="167">
        <v>0.66758281620281101</v>
      </c>
      <c r="G58" s="190">
        <v>15.97</v>
      </c>
      <c r="H58" s="190"/>
      <c r="I58" s="176">
        <v>0.4</v>
      </c>
      <c r="J58" s="176">
        <v>0.189</v>
      </c>
      <c r="K58" s="176">
        <v>8.8999999999999996E-2</v>
      </c>
      <c r="L58" s="174">
        <v>8.4853494994029592</v>
      </c>
      <c r="M58" s="177">
        <v>8.8931753467438206</v>
      </c>
      <c r="N58" s="167">
        <v>13.006448146158</v>
      </c>
      <c r="O58" s="193">
        <f t="shared" si="2"/>
        <v>0.68375126297418809</v>
      </c>
      <c r="P58" s="167">
        <v>1.97125201504567</v>
      </c>
      <c r="Q58" s="167">
        <v>2.1933100483610999</v>
      </c>
      <c r="R58" s="167">
        <v>1.2149382052659901</v>
      </c>
      <c r="S58" s="167">
        <v>3.3460505104782401</v>
      </c>
      <c r="T58" s="167">
        <v>1.2029822675980699</v>
      </c>
      <c r="U58" s="167">
        <v>0.57898979043525001</v>
      </c>
      <c r="V58" s="167">
        <v>1.6914293390650199</v>
      </c>
      <c r="W58" s="167">
        <v>0.80749596990865102</v>
      </c>
      <c r="X58" s="167">
        <v>0.43602461651510999</v>
      </c>
      <c r="Y58" s="173">
        <f t="shared" si="3"/>
        <v>9.3291999632589313</v>
      </c>
      <c r="Z58" s="178">
        <v>157</v>
      </c>
      <c r="AA58" s="178">
        <v>108</v>
      </c>
      <c r="AB58" s="174">
        <v>937.43</v>
      </c>
      <c r="AC58" s="194"/>
      <c r="AD58" s="195">
        <v>1.44208689262423E-2</v>
      </c>
      <c r="AE58" s="176">
        <f t="shared" si="4"/>
        <v>9.9200881785615879E-3</v>
      </c>
      <c r="AF58" s="174">
        <v>5.9708917197452198</v>
      </c>
      <c r="AG58" s="180">
        <v>8.6105446863231405E-2</v>
      </c>
      <c r="AH58" s="181">
        <v>0.69508196721311499</v>
      </c>
      <c r="AI58" s="181">
        <v>0.49344262295081998</v>
      </c>
      <c r="AJ58" s="174">
        <v>0.79204555892348705</v>
      </c>
      <c r="AK58" s="58">
        <v>0.108202443280977</v>
      </c>
      <c r="AL58" s="58">
        <v>3.1138054560485001E-2</v>
      </c>
      <c r="AM58" s="182">
        <v>0</v>
      </c>
    </row>
    <row r="59" spans="1:39" ht="16.05" hidden="1" customHeight="1" outlineLevel="1">
      <c r="A59" s="186">
        <v>43400</v>
      </c>
      <c r="B59" s="185" t="s">
        <v>51</v>
      </c>
      <c r="C59" s="188">
        <v>3103</v>
      </c>
      <c r="D59" s="188">
        <v>11214</v>
      </c>
      <c r="E59" s="189">
        <v>3.6139220109571402</v>
      </c>
      <c r="F59" s="167">
        <v>0.91512923274478297</v>
      </c>
      <c r="G59" s="190">
        <v>17.32</v>
      </c>
      <c r="H59" s="190"/>
      <c r="I59" s="176">
        <v>0.35499999999999998</v>
      </c>
      <c r="J59" s="176">
        <v>0.16300000000000001</v>
      </c>
      <c r="K59" s="176">
        <v>8.5999999999999993E-2</v>
      </c>
      <c r="L59" s="174">
        <v>9.6593543784555003</v>
      </c>
      <c r="M59" s="177">
        <v>10.449973247726099</v>
      </c>
      <c r="N59" s="167">
        <v>15.5708211533351</v>
      </c>
      <c r="O59" s="193">
        <f t="shared" si="2"/>
        <v>0.67112537899055047</v>
      </c>
      <c r="P59" s="167">
        <v>2.4504384799362202</v>
      </c>
      <c r="Q59" s="167">
        <v>2.90499601381876</v>
      </c>
      <c r="R59" s="167">
        <v>1.68349720967313</v>
      </c>
      <c r="S59" s="167">
        <v>3.2731862875365398</v>
      </c>
      <c r="T59" s="167">
        <v>1.5637788998139801</v>
      </c>
      <c r="U59" s="167">
        <v>0.52537868721764502</v>
      </c>
      <c r="V59" s="167">
        <v>2.2788998139782102</v>
      </c>
      <c r="W59" s="167">
        <v>0.89064576136061702</v>
      </c>
      <c r="X59" s="167">
        <v>0.61396468699839502</v>
      </c>
      <c r="Y59" s="173">
        <f t="shared" si="3"/>
        <v>11.063937934724494</v>
      </c>
      <c r="Z59" s="178">
        <v>198</v>
      </c>
      <c r="AA59" s="178">
        <v>131</v>
      </c>
      <c r="AB59" s="174">
        <v>1543.02</v>
      </c>
      <c r="AC59" s="194"/>
      <c r="AD59" s="195">
        <v>1.7656500802568201E-2</v>
      </c>
      <c r="AE59" s="176">
        <f t="shared" si="4"/>
        <v>1.1681826288567862E-2</v>
      </c>
      <c r="AF59" s="174">
        <v>7.7930303030303003</v>
      </c>
      <c r="AG59" s="180">
        <v>0.137597645799893</v>
      </c>
      <c r="AH59" s="181">
        <v>0.61069932323557896</v>
      </c>
      <c r="AI59" s="181">
        <v>0.40928134063809202</v>
      </c>
      <c r="AJ59" s="174">
        <v>0.614588906723738</v>
      </c>
      <c r="AK59" s="58">
        <v>9.5862314963438597E-2</v>
      </c>
      <c r="AL59" s="58">
        <v>2.41662207954343E-2</v>
      </c>
      <c r="AM59" s="182">
        <v>0.37872302479044101</v>
      </c>
    </row>
    <row r="60" spans="1:39" ht="16.05" hidden="1" customHeight="1" outlineLevel="1">
      <c r="A60" s="186">
        <v>43401</v>
      </c>
      <c r="B60" s="185" t="s">
        <v>51</v>
      </c>
      <c r="C60" s="188">
        <v>3199</v>
      </c>
      <c r="D60" s="188">
        <v>11615</v>
      </c>
      <c r="E60" s="189">
        <v>3.6308221319162199</v>
      </c>
      <c r="F60" s="167">
        <v>0.71467657064141199</v>
      </c>
      <c r="G60" s="190">
        <v>15.12</v>
      </c>
      <c r="H60" s="190"/>
      <c r="I60" s="176">
        <v>0.313</v>
      </c>
      <c r="J60" s="176">
        <v>0.16200000000000001</v>
      </c>
      <c r="K60" s="176">
        <v>9.4E-2</v>
      </c>
      <c r="L60" s="174">
        <v>9.3547137322427893</v>
      </c>
      <c r="M60" s="177">
        <v>10.177184674989199</v>
      </c>
      <c r="N60" s="167">
        <v>15.184071933204899</v>
      </c>
      <c r="O60" s="193">
        <f t="shared" si="2"/>
        <v>0.6702539819199278</v>
      </c>
      <c r="P60" s="167">
        <v>2.3388567758510002</v>
      </c>
      <c r="Q60" s="167">
        <v>2.8407193320488102</v>
      </c>
      <c r="R60" s="167">
        <v>1.6877328195247301</v>
      </c>
      <c r="S60" s="167">
        <v>3.1850995504174699</v>
      </c>
      <c r="T60" s="167">
        <v>1.4967244701348701</v>
      </c>
      <c r="U60" s="167">
        <v>0.52421323057161195</v>
      </c>
      <c r="V60" s="167">
        <v>2.19165061014772</v>
      </c>
      <c r="W60" s="167">
        <v>0.919075144508671</v>
      </c>
      <c r="X60" s="167">
        <v>0.49091691777873397</v>
      </c>
      <c r="Y60" s="173">
        <f t="shared" si="3"/>
        <v>10.668101592767933</v>
      </c>
      <c r="Z60" s="178">
        <v>180</v>
      </c>
      <c r="AA60" s="178">
        <v>135</v>
      </c>
      <c r="AB60" s="174">
        <v>1040.2</v>
      </c>
      <c r="AC60" s="194"/>
      <c r="AD60" s="195">
        <v>1.5497201894102501E-2</v>
      </c>
      <c r="AE60" s="176">
        <f t="shared" si="4"/>
        <v>1.162290142057684E-2</v>
      </c>
      <c r="AF60" s="174">
        <v>5.7788888888888899</v>
      </c>
      <c r="AG60" s="180">
        <v>8.9556607834696503E-2</v>
      </c>
      <c r="AH60" s="181">
        <v>0.58205689277899297</v>
      </c>
      <c r="AI60" s="181">
        <v>0.40637699281025302</v>
      </c>
      <c r="AJ60" s="174">
        <v>0.59629789065863104</v>
      </c>
      <c r="AK60" s="58">
        <v>8.73869995695222E-2</v>
      </c>
      <c r="AL60" s="58">
        <v>2.4881618596642299E-2</v>
      </c>
      <c r="AM60" s="182">
        <v>0.36883340507963802</v>
      </c>
    </row>
    <row r="61" spans="1:39" ht="16.05" hidden="1" customHeight="1" outlineLevel="1">
      <c r="A61" s="184">
        <v>43402</v>
      </c>
      <c r="B61" s="185" t="s">
        <v>51</v>
      </c>
      <c r="C61" s="188">
        <v>3183</v>
      </c>
      <c r="D61" s="188">
        <v>11535</v>
      </c>
      <c r="E61" s="189">
        <v>3.6239396795476</v>
      </c>
      <c r="F61" s="167">
        <v>0.96537063094928499</v>
      </c>
      <c r="G61" s="190">
        <v>23.34</v>
      </c>
      <c r="H61" s="190"/>
      <c r="I61" s="176">
        <v>0.33400000000000002</v>
      </c>
      <c r="J61" s="176">
        <v>0.16</v>
      </c>
      <c r="K61" s="176">
        <v>9.8000000000000004E-2</v>
      </c>
      <c r="L61" s="174">
        <v>9.2402254009536193</v>
      </c>
      <c r="M61" s="177">
        <v>9.5382748157780703</v>
      </c>
      <c r="N61" s="167">
        <v>14.454019968470799</v>
      </c>
      <c r="O61" s="193">
        <f t="shared" si="2"/>
        <v>0.65990463805808597</v>
      </c>
      <c r="P61" s="167">
        <v>2.1724908039936901</v>
      </c>
      <c r="Q61" s="167">
        <v>2.7456647398843899</v>
      </c>
      <c r="R61" s="167">
        <v>1.6175775091960101</v>
      </c>
      <c r="S61" s="167">
        <v>3.1491066736731499</v>
      </c>
      <c r="T61" s="167">
        <v>1.3783499737256999</v>
      </c>
      <c r="U61" s="167">
        <v>0.50709406200735696</v>
      </c>
      <c r="V61" s="167">
        <v>2.01287440882817</v>
      </c>
      <c r="W61" s="167">
        <v>0.870861797162375</v>
      </c>
      <c r="X61" s="167">
        <v>0.39549198092761201</v>
      </c>
      <c r="Y61" s="173">
        <f t="shared" si="3"/>
        <v>9.9337667967056831</v>
      </c>
      <c r="Z61" s="178">
        <v>193</v>
      </c>
      <c r="AA61" s="178">
        <v>127</v>
      </c>
      <c r="AB61" s="174">
        <v>1152.07</v>
      </c>
      <c r="AC61" s="194"/>
      <c r="AD61" s="195">
        <v>1.6731686172518401E-2</v>
      </c>
      <c r="AE61" s="176">
        <f t="shared" si="4"/>
        <v>1.1009969657563935E-2</v>
      </c>
      <c r="AF61" s="174">
        <v>5.9692746113989603</v>
      </c>
      <c r="AG61" s="180">
        <v>9.9876029475509304E-2</v>
      </c>
      <c r="AH61" s="181">
        <v>0.57587181903864304</v>
      </c>
      <c r="AI61" s="181">
        <v>0.38956958843857997</v>
      </c>
      <c r="AJ61" s="174">
        <v>0.61889900303424406</v>
      </c>
      <c r="AK61" s="58">
        <v>8.74729085392284E-2</v>
      </c>
      <c r="AL61" s="58">
        <v>2.1413090593844799E-2</v>
      </c>
      <c r="AM61" s="182">
        <v>0.34971824880797597</v>
      </c>
    </row>
    <row r="62" spans="1:39" ht="16.05" hidden="1" customHeight="1" outlineLevel="1">
      <c r="A62" s="186">
        <v>43403</v>
      </c>
      <c r="B62" s="185" t="s">
        <v>51</v>
      </c>
      <c r="C62" s="188">
        <v>2088</v>
      </c>
      <c r="D62" s="188">
        <v>10579</v>
      </c>
      <c r="E62" s="189">
        <v>5.0665708812260499</v>
      </c>
      <c r="F62" s="167">
        <v>0.82571702864164898</v>
      </c>
      <c r="G62" s="190">
        <v>19.21</v>
      </c>
      <c r="H62" s="190"/>
      <c r="I62" s="176">
        <v>0.39300000000000002</v>
      </c>
      <c r="J62" s="176">
        <v>0.19700000000000001</v>
      </c>
      <c r="K62" s="176">
        <v>0.112</v>
      </c>
      <c r="L62" s="174">
        <v>9.2527649116173496</v>
      </c>
      <c r="M62" s="177">
        <v>9.7383495604499508</v>
      </c>
      <c r="N62" s="167">
        <v>13.967190889370899</v>
      </c>
      <c r="O62" s="193">
        <f t="shared" si="2"/>
        <v>0.69723036203800171</v>
      </c>
      <c r="P62" s="167">
        <v>2.0563991323210402</v>
      </c>
      <c r="Q62" s="167">
        <v>2.5173535791756998</v>
      </c>
      <c r="R62" s="167">
        <v>1.4913232104121501</v>
      </c>
      <c r="S62" s="167">
        <v>3.2608459869848199</v>
      </c>
      <c r="T62" s="167">
        <v>1.3150759219088901</v>
      </c>
      <c r="U62" s="167">
        <v>0.53253796095444705</v>
      </c>
      <c r="V62" s="167">
        <v>1.9019793926247299</v>
      </c>
      <c r="W62" s="167">
        <v>0.89167570498915405</v>
      </c>
      <c r="X62" s="167">
        <v>0.27185934398336298</v>
      </c>
      <c r="Y62" s="173">
        <f t="shared" si="3"/>
        <v>10.010208904433314</v>
      </c>
      <c r="Z62" s="178">
        <v>172</v>
      </c>
      <c r="AA62" s="178">
        <v>119</v>
      </c>
      <c r="AB62" s="174">
        <v>954.28</v>
      </c>
      <c r="AC62" s="194"/>
      <c r="AD62" s="195">
        <v>1.6258625578977198E-2</v>
      </c>
      <c r="AE62" s="176">
        <f t="shared" si="4"/>
        <v>1.1248700255222611E-2</v>
      </c>
      <c r="AF62" s="174">
        <v>5.5481395348837204</v>
      </c>
      <c r="AG62" s="180">
        <v>9.0205123357595299E-2</v>
      </c>
      <c r="AH62" s="181">
        <v>0.72270114942528696</v>
      </c>
      <c r="AI62" s="181">
        <v>0.52346743295019205</v>
      </c>
      <c r="AJ62" s="174">
        <v>0.71244919179506605</v>
      </c>
      <c r="AK62" s="58">
        <v>0.11872577748369401</v>
      </c>
      <c r="AL62" s="58">
        <v>2.7696379620001901E-2</v>
      </c>
      <c r="AM62" s="182">
        <v>0.308441251536062</v>
      </c>
    </row>
    <row r="63" spans="1:39" ht="16.05" hidden="1" customHeight="1" outlineLevel="1">
      <c r="A63" s="186">
        <v>43404</v>
      </c>
      <c r="B63" s="187" t="s">
        <v>51</v>
      </c>
      <c r="C63" s="188">
        <v>2110</v>
      </c>
      <c r="D63" s="188">
        <v>10003</v>
      </c>
      <c r="E63" s="189">
        <v>4.7407582938388604</v>
      </c>
      <c r="F63" s="167">
        <v>0.63149908797360799</v>
      </c>
      <c r="G63" s="191">
        <v>15.43</v>
      </c>
      <c r="H63" s="191"/>
      <c r="I63" s="176">
        <v>0.40100000000000002</v>
      </c>
      <c r="J63" s="176">
        <v>0.19800000000000001</v>
      </c>
      <c r="K63" s="176">
        <v>0.105</v>
      </c>
      <c r="L63" s="174">
        <v>8.5979206238128594</v>
      </c>
      <c r="M63" s="177">
        <v>9.0655803259022303</v>
      </c>
      <c r="N63" s="167">
        <v>13.304430751173699</v>
      </c>
      <c r="O63" s="193">
        <f t="shared" si="2"/>
        <v>0.68139558132560285</v>
      </c>
      <c r="P63" s="167">
        <v>1.92194835680751</v>
      </c>
      <c r="Q63" s="167">
        <v>2.2087734741784</v>
      </c>
      <c r="R63" s="167">
        <v>1.2865316901408499</v>
      </c>
      <c r="S63" s="167">
        <v>3.66578638497653</v>
      </c>
      <c r="T63" s="167">
        <v>1.19028755868545</v>
      </c>
      <c r="U63" s="167">
        <v>0.54900234741784004</v>
      </c>
      <c r="V63" s="167">
        <v>1.6949823943661999</v>
      </c>
      <c r="W63" s="167">
        <v>0.787118544600939</v>
      </c>
      <c r="X63" s="167">
        <v>0.248925322403279</v>
      </c>
      <c r="Y63" s="173">
        <f t="shared" si="3"/>
        <v>9.3145056483055093</v>
      </c>
      <c r="Z63" s="178">
        <v>133</v>
      </c>
      <c r="AA63" s="178">
        <v>104</v>
      </c>
      <c r="AB63" s="174">
        <v>735.67</v>
      </c>
      <c r="AC63" s="194"/>
      <c r="AD63" s="195">
        <v>1.3296011196641E-2</v>
      </c>
      <c r="AE63" s="176">
        <f t="shared" si="4"/>
        <v>1.0396880935719284E-2</v>
      </c>
      <c r="AF63" s="174">
        <v>5.5313533834586499</v>
      </c>
      <c r="AG63" s="180">
        <v>7.3544936519044299E-2</v>
      </c>
      <c r="AH63" s="181">
        <v>0.65876777251184804</v>
      </c>
      <c r="AI63" s="181">
        <v>0.48436018957346</v>
      </c>
      <c r="AJ63" s="174">
        <v>0.79876037188843396</v>
      </c>
      <c r="AK63" s="58">
        <v>0.1592522243327</v>
      </c>
      <c r="AL63" s="58">
        <v>3.6389083275017498E-2</v>
      </c>
      <c r="AM63" s="182">
        <v>0</v>
      </c>
    </row>
    <row r="64" spans="1:39" ht="16.05" customHeight="1" collapsed="1">
      <c r="A64" s="186">
        <v>43405</v>
      </c>
      <c r="B64" s="187" t="s">
        <v>51</v>
      </c>
      <c r="C64" s="188">
        <v>2468</v>
      </c>
      <c r="D64" s="188">
        <v>9959</v>
      </c>
      <c r="E64" s="189">
        <v>4.0352512155591604</v>
      </c>
      <c r="F64" s="167">
        <v>0.62904552615724496</v>
      </c>
      <c r="G64" s="192">
        <v>16.91</v>
      </c>
      <c r="H64" s="192">
        <v>28.94</v>
      </c>
      <c r="I64" s="176">
        <v>0.39800000000000002</v>
      </c>
      <c r="J64" s="176">
        <v>0.20300000000000001</v>
      </c>
      <c r="K64" s="176">
        <v>9.7000000000000003E-2</v>
      </c>
      <c r="L64" s="174">
        <v>8.2241188874385003</v>
      </c>
      <c r="M64" s="177">
        <v>8.4700271111557406</v>
      </c>
      <c r="N64" s="167">
        <v>12.6333682791673</v>
      </c>
      <c r="O64" s="193">
        <f t="shared" si="2"/>
        <v>0.67044884024500417</v>
      </c>
      <c r="P64" s="167">
        <v>1.89126853377265</v>
      </c>
      <c r="Q64" s="167">
        <v>1.9877190354949801</v>
      </c>
      <c r="R64" s="167">
        <v>1.1499176276770999</v>
      </c>
      <c r="S64" s="167">
        <v>3.5372173131645899</v>
      </c>
      <c r="T64" s="167">
        <v>1.2086266287254801</v>
      </c>
      <c r="U64" s="167">
        <v>0.575258349558185</v>
      </c>
      <c r="V64" s="167">
        <v>1.54635315261345</v>
      </c>
      <c r="W64" s="167">
        <v>0.73700763816085102</v>
      </c>
      <c r="X64" s="167">
        <v>0.185661210964956</v>
      </c>
      <c r="Y64" s="173">
        <f t="shared" si="3"/>
        <v>8.6556883221206959</v>
      </c>
      <c r="Z64" s="178">
        <v>137</v>
      </c>
      <c r="AA64" s="178">
        <v>107</v>
      </c>
      <c r="AB64" s="174">
        <v>717.63</v>
      </c>
      <c r="AC64" s="194"/>
      <c r="AD64" s="195">
        <v>1.37564012451049E-2</v>
      </c>
      <c r="AE64" s="176">
        <f t="shared" si="4"/>
        <v>1.0744050607490712E-2</v>
      </c>
      <c r="AF64" s="174">
        <v>5.2381751824817497</v>
      </c>
      <c r="AG64" s="180">
        <v>7.2058439602369698E-2</v>
      </c>
      <c r="AH64" s="181">
        <v>0.63614262560778001</v>
      </c>
      <c r="AI64" s="181">
        <v>0.45421393841166902</v>
      </c>
      <c r="AJ64" s="174">
        <v>0.75087860226930403</v>
      </c>
      <c r="AK64" s="58">
        <v>0.15935334872979201</v>
      </c>
      <c r="AL64" s="58">
        <v>3.5947384275529702E-2</v>
      </c>
      <c r="AM64" s="182">
        <v>0</v>
      </c>
    </row>
    <row r="65" spans="1:39" ht="16.05" hidden="1" customHeight="1" outlineLevel="1">
      <c r="A65" s="186">
        <v>43406</v>
      </c>
      <c r="B65" s="187" t="s">
        <v>51</v>
      </c>
      <c r="C65" s="188">
        <v>2775</v>
      </c>
      <c r="D65" s="188">
        <v>10539</v>
      </c>
      <c r="E65" s="189">
        <v>3.7978378378378399</v>
      </c>
      <c r="F65" s="167">
        <v>0.69407376031881596</v>
      </c>
      <c r="G65" s="192">
        <v>15.86</v>
      </c>
      <c r="H65" s="192">
        <v>27.28</v>
      </c>
      <c r="I65" s="176">
        <v>0.40200000000000002</v>
      </c>
      <c r="J65" s="176">
        <v>0.20599999999999999</v>
      </c>
      <c r="K65" s="176">
        <v>0.10299999999999999</v>
      </c>
      <c r="L65" s="174">
        <v>8.5919916500616793</v>
      </c>
      <c r="M65" s="177">
        <v>8.8751304677863203</v>
      </c>
      <c r="N65" s="167">
        <v>13.136938202247199</v>
      </c>
      <c r="O65" s="193">
        <f t="shared" si="2"/>
        <v>0.67558591896764375</v>
      </c>
      <c r="P65" s="167">
        <v>1.9808988764044899</v>
      </c>
      <c r="Q65" s="167">
        <v>2.0695224719101102</v>
      </c>
      <c r="R65" s="167">
        <v>1.15589887640449</v>
      </c>
      <c r="S65" s="167">
        <v>3.6919943820224699</v>
      </c>
      <c r="T65" s="167">
        <v>1.2252808988763999</v>
      </c>
      <c r="U65" s="167">
        <v>0.58117977528089904</v>
      </c>
      <c r="V65" s="167">
        <v>1.6495786516853901</v>
      </c>
      <c r="W65" s="167">
        <v>0.78258426966292105</v>
      </c>
      <c r="X65" s="167">
        <v>0.19347186640098701</v>
      </c>
      <c r="Y65" s="173">
        <f t="shared" si="3"/>
        <v>9.0686023341873074</v>
      </c>
      <c r="Z65" s="178">
        <v>193</v>
      </c>
      <c r="AA65" s="178">
        <v>143</v>
      </c>
      <c r="AB65" s="174">
        <v>1066.07</v>
      </c>
      <c r="AC65" s="194"/>
      <c r="AD65" s="195">
        <v>1.83129329158364E-2</v>
      </c>
      <c r="AE65" s="176">
        <f t="shared" si="4"/>
        <v>1.3568649777018693E-2</v>
      </c>
      <c r="AF65" s="174">
        <v>5.5236787564766798</v>
      </c>
      <c r="AG65" s="180">
        <v>0.101154758515988</v>
      </c>
      <c r="AH65" s="181">
        <v>0.658738738738739</v>
      </c>
      <c r="AI65" s="181">
        <v>0.47063063063063099</v>
      </c>
      <c r="AJ65" s="174">
        <v>0.77512097922003997</v>
      </c>
      <c r="AK65" s="58">
        <v>0.17345099155517599</v>
      </c>
      <c r="AL65" s="58">
        <v>3.6625865831672801E-2</v>
      </c>
      <c r="AM65" s="182">
        <v>0</v>
      </c>
    </row>
    <row r="66" spans="1:39" ht="16.05" hidden="1" customHeight="1" outlineLevel="1">
      <c r="A66" s="184">
        <v>43407</v>
      </c>
      <c r="B66" s="185" t="s">
        <v>51</v>
      </c>
      <c r="C66" s="188">
        <v>2959</v>
      </c>
      <c r="D66" s="188">
        <v>10762</v>
      </c>
      <c r="E66" s="189">
        <v>3.6370395403852598</v>
      </c>
      <c r="F66" s="167">
        <v>0.38963273555101302</v>
      </c>
      <c r="G66" s="192">
        <v>15.54</v>
      </c>
      <c r="H66" s="192">
        <v>28.76</v>
      </c>
      <c r="I66" s="176">
        <v>0.39600000000000002</v>
      </c>
      <c r="J66" s="176">
        <v>0.19700000000000001</v>
      </c>
      <c r="K66" s="176">
        <v>0.10299999999999999</v>
      </c>
      <c r="L66" s="174">
        <v>10.284333766957801</v>
      </c>
      <c r="M66" s="177">
        <v>10.842408474261299</v>
      </c>
      <c r="N66" s="167">
        <v>15.618524963191</v>
      </c>
      <c r="O66" s="193">
        <f t="shared" si="2"/>
        <v>0.69420182122282192</v>
      </c>
      <c r="P66" s="167">
        <v>2.4164101191272902</v>
      </c>
      <c r="Q66" s="167">
        <v>2.78168919823317</v>
      </c>
      <c r="R66" s="167">
        <v>1.4051666443581801</v>
      </c>
      <c r="S66" s="167">
        <v>3.60594297952081</v>
      </c>
      <c r="T66" s="167">
        <v>1.5485209476643</v>
      </c>
      <c r="U66" s="167">
        <v>0.52697095435684604</v>
      </c>
      <c r="V66" s="167">
        <v>2.40744210949003</v>
      </c>
      <c r="W66" s="167">
        <v>0.92638201044036905</v>
      </c>
      <c r="X66" s="167">
        <v>0.24028990893885899</v>
      </c>
      <c r="Y66" s="173">
        <f t="shared" si="3"/>
        <v>11.082698383200158</v>
      </c>
      <c r="Z66" s="178">
        <v>275</v>
      </c>
      <c r="AA66" s="178">
        <v>175</v>
      </c>
      <c r="AB66" s="174">
        <v>1815.25</v>
      </c>
      <c r="AC66" s="194"/>
      <c r="AD66" s="195">
        <v>2.5552871213529098E-2</v>
      </c>
      <c r="AE66" s="176">
        <f t="shared" si="4"/>
        <v>1.6260918044973052E-2</v>
      </c>
      <c r="AF66" s="174">
        <v>6.6009090909090897</v>
      </c>
      <c r="AG66" s="180">
        <v>0.168672179892213</v>
      </c>
      <c r="AH66" s="181">
        <v>0.65697870902331901</v>
      </c>
      <c r="AI66" s="181">
        <v>0.42244001351808003</v>
      </c>
      <c r="AJ66" s="174">
        <v>0.64811373350678303</v>
      </c>
      <c r="AK66" s="58">
        <v>0.17050734064300299</v>
      </c>
      <c r="AL66" s="58">
        <v>3.2893514216688298E-2</v>
      </c>
      <c r="AM66" s="182">
        <v>0.40373536517376002</v>
      </c>
    </row>
    <row r="67" spans="1:39" ht="16.05" hidden="1" customHeight="1" outlineLevel="1">
      <c r="A67" s="186">
        <v>43408</v>
      </c>
      <c r="B67" s="185" t="s">
        <v>51</v>
      </c>
      <c r="C67" s="188">
        <v>3200</v>
      </c>
      <c r="D67" s="188">
        <v>11520</v>
      </c>
      <c r="E67" s="189">
        <v>3.6</v>
      </c>
      <c r="F67" s="167">
        <v>0.80773632500000003</v>
      </c>
      <c r="G67" s="192">
        <v>15.16</v>
      </c>
      <c r="H67" s="192">
        <v>25.98</v>
      </c>
      <c r="I67" s="176">
        <v>0.39500000000000002</v>
      </c>
      <c r="J67" s="176">
        <v>0.19800000000000001</v>
      </c>
      <c r="K67" s="176">
        <v>0.104</v>
      </c>
      <c r="L67" s="174">
        <v>10.457725694444401</v>
      </c>
      <c r="M67" s="177">
        <v>11.282291666666699</v>
      </c>
      <c r="N67" s="167">
        <v>16.012319822594598</v>
      </c>
      <c r="O67" s="193">
        <f t="shared" si="2"/>
        <v>0.70460069444444462</v>
      </c>
      <c r="P67" s="167">
        <v>2.4023654059381498</v>
      </c>
      <c r="Q67" s="167">
        <v>2.9720340027103598</v>
      </c>
      <c r="R67" s="167">
        <v>1.5811260317851401</v>
      </c>
      <c r="S67" s="167">
        <v>3.7285943082419601</v>
      </c>
      <c r="T67" s="167">
        <v>1.50659110508809</v>
      </c>
      <c r="U67" s="167">
        <v>0.55488480965874099</v>
      </c>
      <c r="V67" s="167">
        <v>2.3072563755081901</v>
      </c>
      <c r="W67" s="167">
        <v>0.95946778366391505</v>
      </c>
      <c r="X67" s="167">
        <v>0.29548611111111101</v>
      </c>
      <c r="Y67" s="173">
        <f t="shared" si="3"/>
        <v>11.577777777777811</v>
      </c>
      <c r="Z67" s="206">
        <v>208</v>
      </c>
      <c r="AA67" s="178">
        <v>154</v>
      </c>
      <c r="AB67" s="166">
        <v>1309.92</v>
      </c>
      <c r="AC67" s="194"/>
      <c r="AD67" s="195">
        <f>Z67/D67</f>
        <v>1.8055555555555554E-2</v>
      </c>
      <c r="AE67" s="176">
        <f t="shared" si="4"/>
        <v>1.3368055555555555E-2</v>
      </c>
      <c r="AF67" s="174">
        <f>AB67/Z67</f>
        <v>6.2976923076923077</v>
      </c>
      <c r="AG67" s="180">
        <f>AD67*AF67</f>
        <v>0.11370833333333333</v>
      </c>
      <c r="AH67" s="181">
        <v>0.68281250000000004</v>
      </c>
      <c r="AI67" s="181">
        <v>0.45</v>
      </c>
      <c r="AJ67" s="174">
        <v>0.62864583333333302</v>
      </c>
      <c r="AK67" s="58">
        <v>0.16970486111111099</v>
      </c>
      <c r="AL67" s="58">
        <v>2.76909722222222E-2</v>
      </c>
      <c r="AM67" s="182">
        <v>0.38550347222222198</v>
      </c>
    </row>
    <row r="68" spans="1:39" ht="16.05" hidden="1" customHeight="1" outlineLevel="1">
      <c r="A68" s="186">
        <v>43409</v>
      </c>
      <c r="B68" s="185" t="s">
        <v>51</v>
      </c>
      <c r="C68" s="188">
        <v>2646</v>
      </c>
      <c r="D68" s="188">
        <v>11527</v>
      </c>
      <c r="E68" s="189">
        <v>4.3563869992441404</v>
      </c>
      <c r="F68" s="167">
        <v>0.84803120013880395</v>
      </c>
      <c r="G68" s="192">
        <v>16.32</v>
      </c>
      <c r="H68" s="192">
        <v>27.9</v>
      </c>
      <c r="I68" s="176">
        <v>0.41699999999999998</v>
      </c>
      <c r="J68" s="176">
        <v>0.221</v>
      </c>
      <c r="K68" s="176">
        <v>0.12</v>
      </c>
      <c r="L68" s="174">
        <v>10.1548538214627</v>
      </c>
      <c r="M68" s="177">
        <v>10.777825973800599</v>
      </c>
      <c r="N68" s="167">
        <v>15.554776511831699</v>
      </c>
      <c r="O68" s="193">
        <f t="shared" ref="O68:O131" si="10">M68/N68</f>
        <v>0.69289494230935911</v>
      </c>
      <c r="P68" s="167">
        <v>2.2484036559409</v>
      </c>
      <c r="Q68" s="167">
        <v>2.8428696632027002</v>
      </c>
      <c r="R68" s="167">
        <v>1.59096031050457</v>
      </c>
      <c r="S68" s="167">
        <v>3.8220858895705501</v>
      </c>
      <c r="T68" s="167">
        <v>1.43696006009766</v>
      </c>
      <c r="U68" s="167">
        <v>0.50231626392888395</v>
      </c>
      <c r="V68" s="167">
        <v>2.2078377363215198</v>
      </c>
      <c r="W68" s="167">
        <v>0.90334293226493101</v>
      </c>
      <c r="X68" s="167">
        <v>0.365142708423701</v>
      </c>
      <c r="Y68" s="173">
        <f t="shared" ref="Y68:Y102" si="11">M68+X68</f>
        <v>11.1429686822243</v>
      </c>
      <c r="Z68" s="206">
        <v>223</v>
      </c>
      <c r="AA68" s="178">
        <v>155</v>
      </c>
      <c r="AB68" s="166">
        <v>1459.77</v>
      </c>
      <c r="AC68" s="194"/>
      <c r="AD68" s="195">
        <v>1.9345883577687201E-2</v>
      </c>
      <c r="AE68" s="176">
        <f t="shared" ref="AE68:AE97" si="12">AA68/D68</f>
        <v>1.3446690379109916E-2</v>
      </c>
      <c r="AF68" s="174">
        <v>6.5460538116591902</v>
      </c>
      <c r="AG68" s="180">
        <v>0.12663919493363399</v>
      </c>
      <c r="AH68" s="181">
        <v>0.69614512471655299</v>
      </c>
      <c r="AI68" s="181">
        <v>0.49244142101284999</v>
      </c>
      <c r="AJ68" s="174">
        <v>0.65186084844278602</v>
      </c>
      <c r="AK68" s="58">
        <v>0.200919580116249</v>
      </c>
      <c r="AL68" s="58">
        <v>3.20117983863972E-2</v>
      </c>
      <c r="AM68" s="182">
        <v>0.36687776524681198</v>
      </c>
    </row>
    <row r="69" spans="1:39" ht="16.05" hidden="1" customHeight="1" outlineLevel="1">
      <c r="A69" s="186">
        <v>43410</v>
      </c>
      <c r="B69" s="185" t="s">
        <v>51</v>
      </c>
      <c r="C69" s="188">
        <v>3205</v>
      </c>
      <c r="D69" s="188">
        <v>11816</v>
      </c>
      <c r="E69" s="189">
        <v>3.6867394695787801</v>
      </c>
      <c r="F69" s="167">
        <v>0.732061767095464</v>
      </c>
      <c r="G69" s="192">
        <v>17.37</v>
      </c>
      <c r="H69" s="192">
        <v>27.21</v>
      </c>
      <c r="I69" s="176">
        <v>0.432</v>
      </c>
      <c r="J69" s="176">
        <v>0.221</v>
      </c>
      <c r="K69" s="176">
        <v>0.125</v>
      </c>
      <c r="L69" s="174">
        <v>9.4560765064319607</v>
      </c>
      <c r="M69" s="177">
        <v>10.007447528774501</v>
      </c>
      <c r="N69" s="167">
        <v>14.5733300468326</v>
      </c>
      <c r="O69" s="193">
        <f t="shared" si="10"/>
        <v>0.68669600541638331</v>
      </c>
      <c r="P69" s="167">
        <v>2.2135814641360598</v>
      </c>
      <c r="Q69" s="167">
        <v>2.4134828691151098</v>
      </c>
      <c r="R69" s="167">
        <v>1.39733793443431</v>
      </c>
      <c r="S69" s="167">
        <v>3.8617204831156</v>
      </c>
      <c r="T69" s="167">
        <v>1.3327581957111201</v>
      </c>
      <c r="U69" s="167">
        <v>0.57259058417549902</v>
      </c>
      <c r="V69" s="167">
        <v>1.93221592309588</v>
      </c>
      <c r="W69" s="167">
        <v>0.84951934927286199</v>
      </c>
      <c r="X69" s="167">
        <v>0.35985104942450902</v>
      </c>
      <c r="Y69" s="173">
        <f t="shared" si="11"/>
        <v>10.36729857819901</v>
      </c>
      <c r="Z69" s="206">
        <v>187</v>
      </c>
      <c r="AA69" s="178">
        <v>147</v>
      </c>
      <c r="AB69" s="166">
        <v>1108.1300000000001</v>
      </c>
      <c r="AC69" s="194"/>
      <c r="AD69" s="195">
        <v>1.5825998645903901E-2</v>
      </c>
      <c r="AE69" s="176">
        <f t="shared" si="12"/>
        <v>1.2440758293838863E-2</v>
      </c>
      <c r="AF69" s="174">
        <v>5.9258288770053502</v>
      </c>
      <c r="AG69" s="180">
        <v>9.3782159783344601E-2</v>
      </c>
      <c r="AH69" s="181">
        <v>0.67706708268330695</v>
      </c>
      <c r="AI69" s="181">
        <v>0.478003120124805</v>
      </c>
      <c r="AJ69" s="174">
        <v>0.69879823967501697</v>
      </c>
      <c r="AK69" s="58">
        <v>0.21860189573459701</v>
      </c>
      <c r="AL69" s="58">
        <v>3.7914691943128E-2</v>
      </c>
      <c r="AM69" s="182">
        <v>0.286391333784699</v>
      </c>
    </row>
    <row r="70" spans="1:39" ht="16.05" hidden="1" customHeight="1" outlineLevel="1">
      <c r="A70" s="186">
        <v>43411</v>
      </c>
      <c r="B70" s="187" t="s">
        <v>51</v>
      </c>
      <c r="C70" s="188">
        <v>2952</v>
      </c>
      <c r="D70" s="188">
        <v>11566</v>
      </c>
      <c r="E70" s="189">
        <v>3.9180216802168002</v>
      </c>
      <c r="F70" s="167">
        <v>0.65343109977520297</v>
      </c>
      <c r="G70" s="192">
        <v>17.27</v>
      </c>
      <c r="H70" s="192">
        <v>30.92</v>
      </c>
      <c r="I70" s="176">
        <v>0.40500000000000003</v>
      </c>
      <c r="J70" s="176">
        <v>0.20799999999999999</v>
      </c>
      <c r="K70" s="176">
        <v>0.105</v>
      </c>
      <c r="L70" s="174">
        <v>8.8400484177762397</v>
      </c>
      <c r="M70" s="177">
        <v>9.4371433512018008</v>
      </c>
      <c r="N70" s="167">
        <v>13.792014152135501</v>
      </c>
      <c r="O70" s="193">
        <f t="shared" si="10"/>
        <v>0.68424693065882558</v>
      </c>
      <c r="P70" s="167">
        <v>1.960828910791</v>
      </c>
      <c r="Q70" s="167">
        <v>2.06659085165529</v>
      </c>
      <c r="R70" s="167">
        <v>1.1947182208744</v>
      </c>
      <c r="S70" s="167">
        <v>4.3641647712913798</v>
      </c>
      <c r="T70" s="167">
        <v>1.19509729593126</v>
      </c>
      <c r="U70" s="167">
        <v>0.57872125347485504</v>
      </c>
      <c r="V70" s="167">
        <v>1.64960828910791</v>
      </c>
      <c r="W70" s="167">
        <v>0.78228455900935101</v>
      </c>
      <c r="X70" s="167">
        <v>0.37005014698253502</v>
      </c>
      <c r="Y70" s="173">
        <f t="shared" si="11"/>
        <v>9.8071934981843363</v>
      </c>
      <c r="Z70" s="206">
        <v>186</v>
      </c>
      <c r="AA70" s="178">
        <v>135</v>
      </c>
      <c r="AB70" s="166">
        <v>886.14</v>
      </c>
      <c r="AC70" s="194"/>
      <c r="AD70" s="195">
        <v>1.6081618537091499E-2</v>
      </c>
      <c r="AE70" s="176">
        <f t="shared" si="12"/>
        <v>1.1672142486598652E-2</v>
      </c>
      <c r="AF70" s="174">
        <v>4.7641935483870999</v>
      </c>
      <c r="AG70" s="180">
        <v>7.66159432820335E-2</v>
      </c>
      <c r="AH70" s="181">
        <v>0.66158536585365901</v>
      </c>
      <c r="AI70" s="181">
        <v>0.473577235772358</v>
      </c>
      <c r="AJ70" s="174">
        <v>0.77356043575998601</v>
      </c>
      <c r="AK70" s="58">
        <v>0.25324226180183301</v>
      </c>
      <c r="AL70" s="58">
        <v>4.4354141449074902E-2</v>
      </c>
      <c r="AM70" s="182">
        <v>0</v>
      </c>
    </row>
    <row r="71" spans="1:39" ht="16.05" hidden="1" customHeight="1" outlineLevel="1">
      <c r="A71" s="186">
        <v>43412</v>
      </c>
      <c r="B71" s="187" t="s">
        <v>51</v>
      </c>
      <c r="C71" s="188">
        <v>3954</v>
      </c>
      <c r="D71" s="188">
        <v>12449</v>
      </c>
      <c r="E71" s="189">
        <v>3.1484572584724302</v>
      </c>
      <c r="F71" s="167">
        <v>0.67136102867700198</v>
      </c>
      <c r="G71" s="192">
        <v>15.77</v>
      </c>
      <c r="H71" s="192">
        <v>31.81</v>
      </c>
      <c r="I71" s="176">
        <v>0.40699999999999997</v>
      </c>
      <c r="J71" s="176">
        <v>0.20399999999999999</v>
      </c>
      <c r="K71" s="176">
        <v>0.106</v>
      </c>
      <c r="L71" s="174">
        <v>8.5320106032613108</v>
      </c>
      <c r="M71" s="177">
        <v>9.0078721182424299</v>
      </c>
      <c r="N71" s="167">
        <v>13.6074505521175</v>
      </c>
      <c r="O71" s="193">
        <f t="shared" si="10"/>
        <v>0.66198088199855232</v>
      </c>
      <c r="P71" s="167">
        <v>2.0264531003519002</v>
      </c>
      <c r="Q71" s="167">
        <v>2.1161266836549002</v>
      </c>
      <c r="R71" s="167">
        <v>1.2026453100351899</v>
      </c>
      <c r="S71" s="167">
        <v>4.02803057881325</v>
      </c>
      <c r="T71" s="167">
        <v>1.24086882659871</v>
      </c>
      <c r="U71" s="167">
        <v>0.60016988229583801</v>
      </c>
      <c r="V71" s="167">
        <v>1.6186142458439501</v>
      </c>
      <c r="W71" s="167">
        <v>0.77454192452372295</v>
      </c>
      <c r="X71" s="167">
        <v>0.30837818298658498</v>
      </c>
      <c r="Y71" s="173">
        <f t="shared" si="11"/>
        <v>9.3162503012290152</v>
      </c>
      <c r="Z71" s="206">
        <v>181</v>
      </c>
      <c r="AA71" s="178">
        <v>136</v>
      </c>
      <c r="AB71" s="166">
        <v>1122.19</v>
      </c>
      <c r="AC71" s="194"/>
      <c r="AD71" s="195">
        <v>1.4539320427343599E-2</v>
      </c>
      <c r="AE71" s="176">
        <f t="shared" si="12"/>
        <v>1.0924572254799583E-2</v>
      </c>
      <c r="AF71" s="174">
        <v>6.1999447513812198</v>
      </c>
      <c r="AG71" s="180">
        <v>9.0142983372158397E-2</v>
      </c>
      <c r="AH71" s="181">
        <v>0.60217501264542195</v>
      </c>
      <c r="AI71" s="181">
        <v>0.41881638846737501</v>
      </c>
      <c r="AJ71" s="174">
        <v>0.75210860310065097</v>
      </c>
      <c r="AK71" s="58">
        <v>0.23785042975339399</v>
      </c>
      <c r="AL71" s="58">
        <v>4.1368784641336698E-2</v>
      </c>
      <c r="AM71" s="182">
        <v>0</v>
      </c>
    </row>
    <row r="72" spans="1:39" ht="16.05" hidden="1" customHeight="1" outlineLevel="1">
      <c r="A72" s="184">
        <v>43413</v>
      </c>
      <c r="B72" s="187" t="s">
        <v>51</v>
      </c>
      <c r="C72" s="188">
        <v>4282</v>
      </c>
      <c r="D72" s="188">
        <v>13216</v>
      </c>
      <c r="E72" s="189">
        <v>3.0864082204577299</v>
      </c>
      <c r="F72" s="167">
        <v>0.74794300741525399</v>
      </c>
      <c r="G72" s="192">
        <v>15.73</v>
      </c>
      <c r="H72" s="192">
        <v>26</v>
      </c>
      <c r="I72" s="176">
        <v>0.38</v>
      </c>
      <c r="J72" s="176">
        <v>0.19600000000000001</v>
      </c>
      <c r="K72" s="176">
        <v>9.7000000000000003E-2</v>
      </c>
      <c r="L72" s="174">
        <v>8.9307657384987902</v>
      </c>
      <c r="M72" s="177">
        <v>9.7966858353510897</v>
      </c>
      <c r="N72" s="167">
        <v>14.5360952060177</v>
      </c>
      <c r="O72" s="193">
        <f t="shared" si="10"/>
        <v>0.67395581113801628</v>
      </c>
      <c r="P72" s="167">
        <v>2.1210284046255801</v>
      </c>
      <c r="Q72" s="167">
        <v>2.3507353766700301</v>
      </c>
      <c r="R72" s="167">
        <v>1.2274615470977901</v>
      </c>
      <c r="S72" s="167">
        <v>4.3489390367127001</v>
      </c>
      <c r="T72" s="167">
        <v>1.2538452902211701</v>
      </c>
      <c r="U72" s="167">
        <v>0.61625687661389905</v>
      </c>
      <c r="V72" s="167">
        <v>1.7794992702368899</v>
      </c>
      <c r="W72" s="167">
        <v>0.83832940383967702</v>
      </c>
      <c r="X72" s="167">
        <v>0.40829297820823202</v>
      </c>
      <c r="Y72" s="173">
        <f t="shared" si="11"/>
        <v>10.204978813559322</v>
      </c>
      <c r="Z72" s="206">
        <v>140</v>
      </c>
      <c r="AA72" s="178">
        <v>150</v>
      </c>
      <c r="AB72" s="166">
        <v>1404.84</v>
      </c>
      <c r="AC72" s="194"/>
      <c r="AD72" s="195">
        <v>1.0593220338983101E-2</v>
      </c>
      <c r="AE72" s="176">
        <f t="shared" si="12"/>
        <v>1.1349878934624698E-2</v>
      </c>
      <c r="AF72" s="174">
        <v>10.0345714285714</v>
      </c>
      <c r="AG72" s="180">
        <v>0.106298426150121</v>
      </c>
      <c r="AH72" s="181">
        <v>0.61980382998598804</v>
      </c>
      <c r="AI72" s="181">
        <v>0.43904717421765499</v>
      </c>
      <c r="AJ72" s="174">
        <v>0.75045399515738498</v>
      </c>
      <c r="AK72" s="58">
        <v>0.23849878934624699</v>
      </c>
      <c r="AL72" s="58">
        <v>4.0708232445520597E-2</v>
      </c>
      <c r="AM72" s="182">
        <v>0</v>
      </c>
    </row>
    <row r="73" spans="1:39" ht="16.05" hidden="1" customHeight="1" outlineLevel="1">
      <c r="A73" s="186">
        <v>43414</v>
      </c>
      <c r="B73" s="185" t="s">
        <v>51</v>
      </c>
      <c r="C73" s="188">
        <v>3606</v>
      </c>
      <c r="D73" s="188">
        <v>12840</v>
      </c>
      <c r="E73" s="189">
        <v>3.56073211314476</v>
      </c>
      <c r="F73" s="167">
        <v>0.96100311331775701</v>
      </c>
      <c r="G73" s="192">
        <v>15.4</v>
      </c>
      <c r="H73" s="192">
        <v>25.6</v>
      </c>
      <c r="I73" s="176">
        <v>0.34100000000000003</v>
      </c>
      <c r="J73" s="176">
        <v>0.17699999999999999</v>
      </c>
      <c r="K73" s="176">
        <v>0.10299999999999999</v>
      </c>
      <c r="L73" s="174">
        <v>10.9069314641745</v>
      </c>
      <c r="M73" s="177">
        <v>13.1639408099688</v>
      </c>
      <c r="N73" s="167">
        <v>18.925652222595499</v>
      </c>
      <c r="O73" s="193">
        <f t="shared" si="10"/>
        <v>0.69556074766354725</v>
      </c>
      <c r="P73" s="167">
        <v>2.4523569589071799</v>
      </c>
      <c r="Q73" s="167">
        <v>2.82443175456276</v>
      </c>
      <c r="R73" s="167">
        <v>1.8405553689396501</v>
      </c>
      <c r="S73" s="167">
        <v>6.6439368491770203</v>
      </c>
      <c r="T73" s="167">
        <v>1.5018474974806899</v>
      </c>
      <c r="U73" s="167">
        <v>0.52524913223603198</v>
      </c>
      <c r="V73" s="167">
        <v>2.2032247228753801</v>
      </c>
      <c r="W73" s="167">
        <v>0.93404993841675099</v>
      </c>
      <c r="X73" s="167">
        <v>0.58239875389408102</v>
      </c>
      <c r="Y73" s="173">
        <f t="shared" si="11"/>
        <v>13.746339563862881</v>
      </c>
      <c r="Z73" s="206">
        <v>209</v>
      </c>
      <c r="AA73" s="178">
        <v>175</v>
      </c>
      <c r="AB73" s="166">
        <v>1654.52</v>
      </c>
      <c r="AC73" s="194"/>
      <c r="AD73" s="195">
        <v>1.62772585669782E-2</v>
      </c>
      <c r="AE73" s="176">
        <f t="shared" si="12"/>
        <v>1.3629283489096573E-2</v>
      </c>
      <c r="AF73" s="174">
        <v>7.9163636363636396</v>
      </c>
      <c r="AG73" s="180">
        <v>0.128856697819315</v>
      </c>
      <c r="AH73" s="181">
        <v>0.616749861342207</v>
      </c>
      <c r="AI73" s="181">
        <v>0.45008319467554098</v>
      </c>
      <c r="AJ73" s="174">
        <v>0.62032710280373804</v>
      </c>
      <c r="AK73" s="58">
        <v>0.229906542056075</v>
      </c>
      <c r="AL73" s="58">
        <v>3.51246105919003E-2</v>
      </c>
      <c r="AM73" s="182">
        <v>0.42936137071651098</v>
      </c>
    </row>
    <row r="74" spans="1:39" ht="16.05" hidden="1" customHeight="1" outlineLevel="1">
      <c r="A74" s="186">
        <v>43415</v>
      </c>
      <c r="B74" s="185" t="s">
        <v>51</v>
      </c>
      <c r="C74" s="188">
        <v>4637</v>
      </c>
      <c r="D74" s="188">
        <v>13918</v>
      </c>
      <c r="E74" s="189">
        <v>3.0015095967220198</v>
      </c>
      <c r="F74" s="167">
        <v>0.94942218709584703</v>
      </c>
      <c r="G74" s="192">
        <v>16.989999999999998</v>
      </c>
      <c r="H74" s="192">
        <v>30.22</v>
      </c>
      <c r="I74" s="176">
        <v>0.35899999999999999</v>
      </c>
      <c r="J74" s="176">
        <v>0.17699999999999999</v>
      </c>
      <c r="K74" s="176">
        <v>9.9000000000000005E-2</v>
      </c>
      <c r="L74" s="174">
        <v>10.0511567753988</v>
      </c>
      <c r="M74" s="177">
        <v>12.3185802557839</v>
      </c>
      <c r="N74" s="167">
        <v>18.140937466934702</v>
      </c>
      <c r="O74" s="193">
        <f t="shared" si="10"/>
        <v>0.67904871389567645</v>
      </c>
      <c r="P74" s="167">
        <v>2.44757168553592</v>
      </c>
      <c r="Q74" s="167">
        <v>2.78817056396149</v>
      </c>
      <c r="R74" s="167">
        <v>1.73082213522379</v>
      </c>
      <c r="S74" s="167">
        <v>6.2639932282298201</v>
      </c>
      <c r="T74" s="167">
        <v>1.4438683737170701</v>
      </c>
      <c r="U74" s="167">
        <v>0.52809226536874398</v>
      </c>
      <c r="V74" s="167">
        <v>2.0433816527351598</v>
      </c>
      <c r="W74" s="167">
        <v>0.895037562162734</v>
      </c>
      <c r="X74" s="167">
        <v>0.61610863629831902</v>
      </c>
      <c r="Y74" s="173">
        <f t="shared" si="11"/>
        <v>12.934688892082219</v>
      </c>
      <c r="Z74" s="206">
        <v>282</v>
      </c>
      <c r="AA74" s="178">
        <v>200</v>
      </c>
      <c r="AB74" s="166">
        <v>1576.18</v>
      </c>
      <c r="AC74" s="194"/>
      <c r="AD74" s="195">
        <v>2.0261531829285799E-2</v>
      </c>
      <c r="AE74" s="176">
        <f t="shared" si="12"/>
        <v>1.4369880729989942E-2</v>
      </c>
      <c r="AF74" s="174">
        <v>5.5892907801418401</v>
      </c>
      <c r="AG74" s="180">
        <v>0.113247593044978</v>
      </c>
      <c r="AH74" s="181">
        <v>0.56847099417726998</v>
      </c>
      <c r="AI74" s="181">
        <v>0.36532240672848798</v>
      </c>
      <c r="AJ74" s="174">
        <v>0.58406380227044097</v>
      </c>
      <c r="AK74" s="58">
        <v>0.21368012645494999</v>
      </c>
      <c r="AL74" s="58">
        <v>3.07515447621785E-2</v>
      </c>
      <c r="AM74" s="182">
        <v>0.38734013507687898</v>
      </c>
    </row>
    <row r="75" spans="1:39" ht="16.05" hidden="1" customHeight="1" outlineLevel="1">
      <c r="A75" s="186">
        <v>43416</v>
      </c>
      <c r="B75" s="185" t="s">
        <v>51</v>
      </c>
      <c r="C75" s="188">
        <v>6669</v>
      </c>
      <c r="D75" s="188">
        <v>16582</v>
      </c>
      <c r="E75" s="189">
        <v>2.4864297495876402</v>
      </c>
      <c r="F75" s="167">
        <v>0.82868556386443104</v>
      </c>
      <c r="G75" s="192">
        <v>15.72</v>
      </c>
      <c r="H75" s="192">
        <v>28.11</v>
      </c>
      <c r="I75" s="176">
        <v>0.33900000000000002</v>
      </c>
      <c r="J75" s="176">
        <v>0.16800000000000001</v>
      </c>
      <c r="K75" s="202">
        <v>0.1</v>
      </c>
      <c r="L75" s="174">
        <v>9.4939090580147205</v>
      </c>
      <c r="M75" s="177">
        <v>10.845917259679201</v>
      </c>
      <c r="N75" s="167">
        <v>16.8474941451991</v>
      </c>
      <c r="O75" s="193">
        <f t="shared" si="10"/>
        <v>0.64377035339524824</v>
      </c>
      <c r="P75" s="167">
        <v>2.3927868852459002</v>
      </c>
      <c r="Q75" s="167">
        <v>2.7654332552693202</v>
      </c>
      <c r="R75" s="167">
        <v>1.4547072599531601</v>
      </c>
      <c r="S75" s="167">
        <v>5.5131615925058499</v>
      </c>
      <c r="T75" s="167">
        <v>1.3560655737704901</v>
      </c>
      <c r="U75" s="167">
        <v>0.562529274004684</v>
      </c>
      <c r="V75" s="167">
        <v>1.9367681498828999</v>
      </c>
      <c r="W75" s="167">
        <v>0.86604215456674505</v>
      </c>
      <c r="X75" s="167">
        <v>0.45205644674948697</v>
      </c>
      <c r="Y75" s="173">
        <f t="shared" si="11"/>
        <v>11.297973706428689</v>
      </c>
      <c r="Z75" s="206">
        <v>292</v>
      </c>
      <c r="AA75" s="178">
        <v>203</v>
      </c>
      <c r="AB75" s="166">
        <v>1877.08</v>
      </c>
      <c r="AC75" s="194"/>
      <c r="AD75" s="195">
        <v>1.7609456036666301E-2</v>
      </c>
      <c r="AE75" s="176">
        <f t="shared" si="12"/>
        <v>1.2242190326860452E-2</v>
      </c>
      <c r="AF75" s="174">
        <v>6.4283561643835601</v>
      </c>
      <c r="AG75" s="180">
        <v>0.11319985526474501</v>
      </c>
      <c r="AH75" s="181">
        <v>0.512820512820513</v>
      </c>
      <c r="AI75" s="181">
        <v>0.336632178737442</v>
      </c>
      <c r="AJ75" s="174">
        <v>0.546858038837293</v>
      </c>
      <c r="AK75" s="58">
        <v>0.18544204559160499</v>
      </c>
      <c r="AL75" s="58">
        <v>2.54492823543601E-2</v>
      </c>
      <c r="AM75" s="182">
        <v>0.34567603425401</v>
      </c>
    </row>
    <row r="76" spans="1:39" ht="16.05" hidden="1" customHeight="1" outlineLevel="1">
      <c r="A76" s="186">
        <v>43417</v>
      </c>
      <c r="B76" s="185" t="s">
        <v>51</v>
      </c>
      <c r="C76" s="188">
        <v>8170</v>
      </c>
      <c r="D76" s="188">
        <v>18857</v>
      </c>
      <c r="E76" s="189">
        <v>2.3080783353733199</v>
      </c>
      <c r="F76" s="167">
        <v>0.80045968658853495</v>
      </c>
      <c r="G76" s="192">
        <v>17</v>
      </c>
      <c r="H76" s="192">
        <v>32.74</v>
      </c>
      <c r="I76" s="176">
        <v>0.33500000000000002</v>
      </c>
      <c r="J76" s="176">
        <v>0.16700000000000001</v>
      </c>
      <c r="K76" s="176">
        <v>9.6000000000000002E-2</v>
      </c>
      <c r="L76" s="174">
        <v>8.9893938590443891</v>
      </c>
      <c r="M76" s="177">
        <v>9.9056053454950401</v>
      </c>
      <c r="N76" s="167">
        <v>15.8484642796538</v>
      </c>
      <c r="O76" s="193">
        <f t="shared" si="10"/>
        <v>0.62501988651429274</v>
      </c>
      <c r="P76" s="167">
        <v>2.26769048023078</v>
      </c>
      <c r="Q76" s="167">
        <v>2.6198880027150899</v>
      </c>
      <c r="R76" s="167">
        <v>1.2882233157984</v>
      </c>
      <c r="S76" s="167">
        <v>5.0945189207534396</v>
      </c>
      <c r="T76" s="167">
        <v>1.2527575089088701</v>
      </c>
      <c r="U76" s="167">
        <v>0.59307653147802497</v>
      </c>
      <c r="V76" s="167">
        <v>1.8600033938571201</v>
      </c>
      <c r="W76" s="167">
        <v>0.872306125912099</v>
      </c>
      <c r="X76" s="167">
        <v>0.39173781619557702</v>
      </c>
      <c r="Y76" s="173">
        <f t="shared" si="11"/>
        <v>10.297343161690618</v>
      </c>
      <c r="Z76" s="206">
        <v>365</v>
      </c>
      <c r="AA76" s="178">
        <v>246</v>
      </c>
      <c r="AB76" s="166">
        <v>2043.35</v>
      </c>
      <c r="AC76" s="194"/>
      <c r="AD76" s="195">
        <v>1.9356207243994301E-2</v>
      </c>
      <c r="AE76" s="176">
        <f t="shared" si="12"/>
        <v>1.3045553375404358E-2</v>
      </c>
      <c r="AF76" s="174">
        <v>5.5982191780821902</v>
      </c>
      <c r="AG76" s="180">
        <v>0.10836029060826199</v>
      </c>
      <c r="AH76" s="181">
        <v>0.48506731946144399</v>
      </c>
      <c r="AI76" s="181">
        <v>0.322766217870257</v>
      </c>
      <c r="AJ76" s="174">
        <v>0.56636792702975003</v>
      </c>
      <c r="AK76" s="58">
        <v>0.185978681656679</v>
      </c>
      <c r="AL76" s="58">
        <v>2.7310812960704201E-2</v>
      </c>
      <c r="AM76" s="182">
        <v>0.262289865832317</v>
      </c>
    </row>
    <row r="77" spans="1:39" ht="16.05" hidden="1" customHeight="1" outlineLevel="1">
      <c r="A77" s="186">
        <v>43418</v>
      </c>
      <c r="B77" s="187" t="s">
        <v>51</v>
      </c>
      <c r="C77" s="188">
        <v>9043</v>
      </c>
      <c r="D77" s="188">
        <v>20482</v>
      </c>
      <c r="E77" s="189">
        <v>2.2649563198053699</v>
      </c>
      <c r="F77" s="167">
        <v>0.76309380451127795</v>
      </c>
      <c r="G77" s="192">
        <v>16.059999999999999</v>
      </c>
      <c r="H77" s="192">
        <v>33.549999999999997</v>
      </c>
      <c r="I77" s="176">
        <v>0.33200000000000002</v>
      </c>
      <c r="J77" s="176">
        <v>0.16900000000000001</v>
      </c>
      <c r="K77" s="176">
        <v>8.8999999999999996E-2</v>
      </c>
      <c r="L77" s="174">
        <v>8.9475637144810101</v>
      </c>
      <c r="M77" s="177">
        <v>9.2740943267258995</v>
      </c>
      <c r="N77" s="167">
        <v>15.042128603104199</v>
      </c>
      <c r="O77" s="193">
        <f t="shared" si="10"/>
        <v>0.61654135338345883</v>
      </c>
      <c r="P77" s="167">
        <v>2.0930471967057298</v>
      </c>
      <c r="Q77" s="167">
        <v>2.4879632562559402</v>
      </c>
      <c r="R77" s="167">
        <v>1.11292366170415</v>
      </c>
      <c r="S77" s="167">
        <v>5.0178175483053504</v>
      </c>
      <c r="T77" s="167">
        <v>1.17587899904973</v>
      </c>
      <c r="U77" s="167">
        <v>0.62804878048780499</v>
      </c>
      <c r="V77" s="167">
        <v>1.71412733607856</v>
      </c>
      <c r="W77" s="167">
        <v>0.81232182451694601</v>
      </c>
      <c r="X77" s="167">
        <v>0.30499951176642898</v>
      </c>
      <c r="Y77" s="173">
        <f t="shared" si="11"/>
        <v>9.5790938384923283</v>
      </c>
      <c r="Z77" s="206">
        <v>338</v>
      </c>
      <c r="AA77" s="178">
        <v>230</v>
      </c>
      <c r="AB77" s="166">
        <v>2440.62</v>
      </c>
      <c r="AC77" s="194"/>
      <c r="AD77" s="195">
        <v>1.6502294697783401E-2</v>
      </c>
      <c r="AE77" s="176">
        <f t="shared" si="12"/>
        <v>1.1229372131627771E-2</v>
      </c>
      <c r="AF77" s="174">
        <v>7.2207692307692302</v>
      </c>
      <c r="AG77" s="180">
        <v>0.11915926179084101</v>
      </c>
      <c r="AH77" s="181">
        <v>0.50868074753953296</v>
      </c>
      <c r="AI77" s="181">
        <v>0.35309078845515901</v>
      </c>
      <c r="AJ77" s="174">
        <v>0.65345181134654795</v>
      </c>
      <c r="AK77" s="58">
        <v>0.20027341079972699</v>
      </c>
      <c r="AL77" s="58">
        <v>2.6364612830778199E-2</v>
      </c>
      <c r="AM77" s="182">
        <v>0</v>
      </c>
    </row>
    <row r="78" spans="1:39" ht="16.05" hidden="1" customHeight="1" outlineLevel="1">
      <c r="A78" s="186">
        <v>43419</v>
      </c>
      <c r="B78" s="187" t="s">
        <v>51</v>
      </c>
      <c r="C78" s="188">
        <v>10775</v>
      </c>
      <c r="D78" s="188">
        <v>23209</v>
      </c>
      <c r="E78" s="189">
        <v>2.1539675174013899</v>
      </c>
      <c r="F78" s="167">
        <v>0.66104389995260404</v>
      </c>
      <c r="G78" s="192">
        <v>16.36</v>
      </c>
      <c r="H78" s="192">
        <v>35.54</v>
      </c>
      <c r="I78" s="176">
        <v>0.31</v>
      </c>
      <c r="J78" s="176">
        <v>0.15</v>
      </c>
      <c r="K78" s="176">
        <v>7.4999999999999997E-2</v>
      </c>
      <c r="L78" s="174">
        <v>8.6490154681373603</v>
      </c>
      <c r="M78" s="177">
        <v>8.8664742125899405</v>
      </c>
      <c r="N78" s="167">
        <v>14.899862428499</v>
      </c>
      <c r="O78" s="193">
        <f t="shared" si="10"/>
        <v>0.59507087767676403</v>
      </c>
      <c r="P78" s="167">
        <v>2.0786329737166001</v>
      </c>
      <c r="Q78" s="167">
        <v>2.50814568097893</v>
      </c>
      <c r="R78" s="167">
        <v>1.0522047643182999</v>
      </c>
      <c r="S78" s="167">
        <v>4.9468539569908003</v>
      </c>
      <c r="T78" s="167">
        <v>1.1618275287814099</v>
      </c>
      <c r="U78" s="167">
        <v>0.63130837738034895</v>
      </c>
      <c r="V78" s="167">
        <v>1.6919122438635901</v>
      </c>
      <c r="W78" s="167">
        <v>0.82897690246904598</v>
      </c>
      <c r="X78" s="167">
        <v>0.163255633590418</v>
      </c>
      <c r="Y78" s="173">
        <f t="shared" si="11"/>
        <v>9.0297298461803592</v>
      </c>
      <c r="Z78" s="206">
        <v>321</v>
      </c>
      <c r="AA78" s="178">
        <v>231</v>
      </c>
      <c r="AB78" s="166">
        <v>1852.79</v>
      </c>
      <c r="AC78" s="194"/>
      <c r="AD78" s="195">
        <v>1.38308414839071E-2</v>
      </c>
      <c r="AE78" s="176">
        <f t="shared" si="12"/>
        <v>9.953035460381749E-3</v>
      </c>
      <c r="AF78" s="174">
        <v>5.7719314641744601</v>
      </c>
      <c r="AG78" s="180">
        <v>7.9830669136972704E-2</v>
      </c>
      <c r="AH78" s="181">
        <v>0.452343387470998</v>
      </c>
      <c r="AI78" s="181">
        <v>0.31563805104408399</v>
      </c>
      <c r="AJ78" s="174">
        <v>0.60498082640355</v>
      </c>
      <c r="AK78" s="58">
        <v>0.19440734197940501</v>
      </c>
      <c r="AL78" s="58">
        <v>2.2879055538799601E-2</v>
      </c>
      <c r="AM78" s="182">
        <v>0</v>
      </c>
    </row>
    <row r="79" spans="1:39" ht="16.05" hidden="1" customHeight="1" outlineLevel="1">
      <c r="A79" s="186">
        <v>43420</v>
      </c>
      <c r="B79" s="187" t="s">
        <v>51</v>
      </c>
      <c r="C79" s="188">
        <v>11058</v>
      </c>
      <c r="D79" s="188">
        <v>24704</v>
      </c>
      <c r="E79" s="189">
        <v>2.2340387050099499</v>
      </c>
      <c r="F79" s="167">
        <v>0.25561388034326399</v>
      </c>
      <c r="G79" s="192">
        <v>15.88</v>
      </c>
      <c r="H79" s="192">
        <v>32.68</v>
      </c>
      <c r="I79" s="176">
        <v>0.28699999999999998</v>
      </c>
      <c r="J79" s="176">
        <v>0.14299999999999999</v>
      </c>
      <c r="K79" s="176">
        <v>6.7000000000000004E-2</v>
      </c>
      <c r="L79" s="174">
        <v>8.5720531088082907</v>
      </c>
      <c r="M79" s="177">
        <v>9.2359941709844602</v>
      </c>
      <c r="N79" s="167">
        <v>15.040606460118701</v>
      </c>
      <c r="O79" s="193">
        <f t="shared" si="10"/>
        <v>0.61407059585492074</v>
      </c>
      <c r="P79" s="167">
        <v>2.1311140408701399</v>
      </c>
      <c r="Q79" s="167">
        <v>2.55484508899143</v>
      </c>
      <c r="R79" s="167">
        <v>1.0159525379037599</v>
      </c>
      <c r="S79" s="167">
        <v>4.9854976928147696</v>
      </c>
      <c r="T79" s="167">
        <v>1.16697429136454</v>
      </c>
      <c r="U79" s="167">
        <v>0.63315754779169398</v>
      </c>
      <c r="V79" s="167">
        <v>1.70006591957811</v>
      </c>
      <c r="W79" s="167">
        <v>0.85299934080421902</v>
      </c>
      <c r="X79" s="167">
        <v>0.13337920984456</v>
      </c>
      <c r="Y79" s="173">
        <f t="shared" si="11"/>
        <v>9.3693733808290194</v>
      </c>
      <c r="Z79" s="206">
        <v>437</v>
      </c>
      <c r="AA79" s="178">
        <v>288</v>
      </c>
      <c r="AB79" s="166">
        <v>2733.63</v>
      </c>
      <c r="AC79" s="194"/>
      <c r="AD79" s="195">
        <v>1.7689443005181299E-2</v>
      </c>
      <c r="AE79" s="176">
        <f t="shared" si="12"/>
        <v>1.1658031088082901E-2</v>
      </c>
      <c r="AF79" s="174">
        <v>6.25544622425629</v>
      </c>
      <c r="AG79" s="180">
        <v>0.110655359455959</v>
      </c>
      <c r="AH79" s="181">
        <v>0.47992403689636498</v>
      </c>
      <c r="AI79" s="181">
        <v>0.34065834689817298</v>
      </c>
      <c r="AJ79" s="174">
        <v>0.61451586787564805</v>
      </c>
      <c r="AK79" s="58">
        <v>0.196850712435233</v>
      </c>
      <c r="AL79" s="58">
        <v>2.26683937823834E-2</v>
      </c>
      <c r="AM79" s="182">
        <v>0</v>
      </c>
    </row>
    <row r="80" spans="1:39" ht="16.05" hidden="1" customHeight="1" outlineLevel="1">
      <c r="A80" s="186">
        <v>43421</v>
      </c>
      <c r="B80" s="185" t="s">
        <v>51</v>
      </c>
      <c r="C80" s="188">
        <v>7567</v>
      </c>
      <c r="D80" s="188">
        <v>21870</v>
      </c>
      <c r="E80" s="189">
        <v>2.89018104929298</v>
      </c>
      <c r="F80" s="167">
        <v>0.95922035980795595</v>
      </c>
      <c r="G80" s="192">
        <v>15.95</v>
      </c>
      <c r="H80" s="192">
        <v>31.18</v>
      </c>
      <c r="I80" s="176">
        <v>0.27700000000000002</v>
      </c>
      <c r="J80" s="176">
        <v>0.14299999999999999</v>
      </c>
      <c r="K80" s="176">
        <v>7.1999999999999995E-2</v>
      </c>
      <c r="L80" s="174">
        <v>10.3212620027435</v>
      </c>
      <c r="M80" s="177">
        <v>12.329080932784599</v>
      </c>
      <c r="N80" s="167">
        <v>18.397721069869</v>
      </c>
      <c r="O80" s="193">
        <f t="shared" si="10"/>
        <v>0.67014174668495441</v>
      </c>
      <c r="P80" s="167">
        <v>2.4709334061135402</v>
      </c>
      <c r="Q80" s="167">
        <v>3.3577374454148501</v>
      </c>
      <c r="R80" s="167">
        <v>1.12274836244541</v>
      </c>
      <c r="S80" s="167">
        <v>6.3557587336244499</v>
      </c>
      <c r="T80" s="167">
        <v>1.4215338427947599</v>
      </c>
      <c r="U80" s="167">
        <v>0.53118176855895205</v>
      </c>
      <c r="V80" s="167">
        <v>2.14560589519651</v>
      </c>
      <c r="W80" s="167">
        <v>0.99222161572052403</v>
      </c>
      <c r="X80" s="167">
        <v>0.26566072245084599</v>
      </c>
      <c r="Y80" s="173">
        <f t="shared" si="11"/>
        <v>12.594741655235445</v>
      </c>
      <c r="Z80" s="206">
        <v>431</v>
      </c>
      <c r="AA80" s="178">
        <v>285</v>
      </c>
      <c r="AB80" s="166">
        <v>2960.69</v>
      </c>
      <c r="AC80" s="194"/>
      <c r="AD80" s="195">
        <v>1.9707361682670298E-2</v>
      </c>
      <c r="AE80" s="176">
        <f t="shared" si="12"/>
        <v>1.3031550068587106E-2</v>
      </c>
      <c r="AF80" s="174">
        <v>6.8693503480278402</v>
      </c>
      <c r="AG80" s="180">
        <v>0.135376771833562</v>
      </c>
      <c r="AH80" s="181">
        <v>0.51367781155015202</v>
      </c>
      <c r="AI80" s="181">
        <v>0.39910136117351702</v>
      </c>
      <c r="AJ80" s="174">
        <v>0.55285779606767305</v>
      </c>
      <c r="AK80" s="58">
        <v>0.22085048010973901</v>
      </c>
      <c r="AL80" s="58">
        <v>2.35025148605396E-2</v>
      </c>
      <c r="AM80" s="182">
        <v>0.45537265660722498</v>
      </c>
    </row>
    <row r="81" spans="1:40" ht="16.05" hidden="1" customHeight="1" outlineLevel="1">
      <c r="A81" s="184">
        <v>43422</v>
      </c>
      <c r="B81" s="185" t="s">
        <v>51</v>
      </c>
      <c r="C81" s="188">
        <v>7490</v>
      </c>
      <c r="D81" s="188">
        <v>21622</v>
      </c>
      <c r="E81" s="189">
        <f t="shared" ref="E81:E88" si="13">D81/C81</f>
        <v>2.8867823765020026</v>
      </c>
      <c r="F81" s="167">
        <f t="shared" ref="F81:F88" si="14">3.3*M81*G81/1000+AB81/D81*3.3*0.7</f>
        <v>0.88763313310516989</v>
      </c>
      <c r="G81" s="192">
        <v>14.92</v>
      </c>
      <c r="H81" s="192">
        <v>29.22</v>
      </c>
      <c r="I81" s="176">
        <v>0.29899999999999999</v>
      </c>
      <c r="J81" s="176">
        <v>0.14599999999999999</v>
      </c>
      <c r="K81" s="176">
        <v>8.3000000000000004E-2</v>
      </c>
      <c r="L81" s="174">
        <v>10.064147627416499</v>
      </c>
      <c r="M81" s="177">
        <v>12.364212376283399</v>
      </c>
      <c r="N81" s="167">
        <v>18.645487515692601</v>
      </c>
      <c r="O81" s="193">
        <f t="shared" si="10"/>
        <v>0.66312089538432861</v>
      </c>
      <c r="P81" s="167">
        <v>2.4383456549030602</v>
      </c>
      <c r="Q81" s="167">
        <v>3.3337982982284902</v>
      </c>
      <c r="R81" s="167">
        <v>1.4081461849630399</v>
      </c>
      <c r="S81" s="167">
        <v>6.3796903333798403</v>
      </c>
      <c r="T81" s="167">
        <v>1.40661180080904</v>
      </c>
      <c r="U81" s="167">
        <v>0.54721718510252604</v>
      </c>
      <c r="V81" s="167">
        <v>2.1376761054540401</v>
      </c>
      <c r="W81" s="167">
        <v>0.99400195285256199</v>
      </c>
      <c r="X81" s="167">
        <v>0.27009527333271699</v>
      </c>
      <c r="Y81" s="173">
        <f t="shared" si="11"/>
        <v>12.634307649616117</v>
      </c>
      <c r="Z81" s="207">
        <v>374</v>
      </c>
      <c r="AA81" s="208">
        <v>259</v>
      </c>
      <c r="AB81" s="167">
        <v>2610.2600000000002</v>
      </c>
      <c r="AC81" s="194"/>
      <c r="AD81" s="195">
        <f t="shared" ref="AD81:AD88" si="15">Z81/D81</f>
        <v>1.7297197299047266E-2</v>
      </c>
      <c r="AE81" s="176">
        <f t="shared" si="12"/>
        <v>1.1978540375543427E-2</v>
      </c>
      <c r="AF81" s="174">
        <f t="shared" ref="AF81:AF88" si="16">AB81/Z81</f>
        <v>6.9793048128342248</v>
      </c>
      <c r="AG81" s="180">
        <f t="shared" ref="AG81:AG88" si="17">AD81*AF81</f>
        <v>0.12072241235778373</v>
      </c>
      <c r="AH81" s="181">
        <v>0.53057409879839801</v>
      </c>
      <c r="AI81" s="181">
        <v>0.37877169559412499</v>
      </c>
      <c r="AJ81" s="174">
        <v>0.55975395430579999</v>
      </c>
      <c r="AK81" s="58">
        <v>0.219128665248358</v>
      </c>
      <c r="AL81" s="58">
        <v>2.3170844510221101E-2</v>
      </c>
      <c r="AM81" s="182">
        <v>0.41841642771251503</v>
      </c>
    </row>
    <row r="82" spans="1:40" ht="16.05" hidden="1" customHeight="1" outlineLevel="1">
      <c r="A82" s="186">
        <v>43423</v>
      </c>
      <c r="B82" s="185" t="s">
        <v>51</v>
      </c>
      <c r="C82" s="188">
        <v>9225</v>
      </c>
      <c r="D82" s="188">
        <v>23793</v>
      </c>
      <c r="E82" s="189">
        <f t="shared" si="13"/>
        <v>2.5791869918699186</v>
      </c>
      <c r="F82" s="167">
        <f t="shared" si="14"/>
        <v>0.76774280859916633</v>
      </c>
      <c r="G82" s="192">
        <v>14.69</v>
      </c>
      <c r="H82" s="192">
        <v>32.06</v>
      </c>
      <c r="I82" s="176">
        <v>0.31900000000000001</v>
      </c>
      <c r="J82" s="176">
        <v>0.158</v>
      </c>
      <c r="K82" s="176">
        <v>0.09</v>
      </c>
      <c r="L82" s="174">
        <v>9.7852309502794892</v>
      </c>
      <c r="M82" s="177">
        <v>11.515361660992699</v>
      </c>
      <c r="N82" s="167">
        <v>17.541776042000102</v>
      </c>
      <c r="O82" s="193">
        <f t="shared" si="10"/>
        <v>0.65645357878367516</v>
      </c>
      <c r="P82" s="167">
        <v>2.32614123823548</v>
      </c>
      <c r="Q82" s="167">
        <v>3.2510403995134101</v>
      </c>
      <c r="R82" s="167">
        <v>1.1669761188296299</v>
      </c>
      <c r="S82" s="167">
        <v>5.92080158780972</v>
      </c>
      <c r="T82" s="167">
        <v>1.3073820347013301</v>
      </c>
      <c r="U82" s="167">
        <v>0.54568154171201699</v>
      </c>
      <c r="V82" s="167">
        <v>2.0478263653242799</v>
      </c>
      <c r="W82" s="167">
        <v>0.97592675587425604</v>
      </c>
      <c r="X82" s="167">
        <v>0.19077039465389001</v>
      </c>
      <c r="Y82" s="173">
        <f t="shared" si="11"/>
        <v>11.70613205564659</v>
      </c>
      <c r="Z82" s="178">
        <v>402</v>
      </c>
      <c r="AA82" s="178">
        <v>273</v>
      </c>
      <c r="AB82" s="174">
        <v>2157.98</v>
      </c>
      <c r="AC82" s="194"/>
      <c r="AD82" s="195">
        <f t="shared" si="15"/>
        <v>1.6895725633589712E-2</v>
      </c>
      <c r="AE82" s="176">
        <f t="shared" si="12"/>
        <v>1.1473962930273611E-2</v>
      </c>
      <c r="AF82" s="174">
        <f t="shared" si="16"/>
        <v>5.3681094527363182</v>
      </c>
      <c r="AG82" s="180">
        <f t="shared" si="17"/>
        <v>9.0698104484512251E-2</v>
      </c>
      <c r="AH82" s="181">
        <v>0.52802168021680196</v>
      </c>
      <c r="AI82" s="181">
        <v>0.353929539295393</v>
      </c>
      <c r="AJ82" s="174">
        <v>0.58210398016223297</v>
      </c>
      <c r="AK82" s="58">
        <v>0.204345815996301</v>
      </c>
      <c r="AL82" s="58">
        <v>2.3536334215945899E-2</v>
      </c>
      <c r="AM82" s="182">
        <v>0.40764090278653398</v>
      </c>
    </row>
    <row r="83" spans="1:40" ht="16.05" hidden="1" customHeight="1" outlineLevel="1">
      <c r="A83" s="186">
        <v>43424</v>
      </c>
      <c r="B83" s="185" t="s">
        <v>51</v>
      </c>
      <c r="C83" s="188">
        <v>9567</v>
      </c>
      <c r="D83" s="188">
        <v>24934</v>
      </c>
      <c r="E83" s="189">
        <f t="shared" si="13"/>
        <v>2.6062506532873417</v>
      </c>
      <c r="F83" s="167">
        <f t="shared" si="14"/>
        <v>0.70398074933825161</v>
      </c>
      <c r="G83" s="192">
        <v>15.08</v>
      </c>
      <c r="H83" s="192">
        <v>34.090000000000003</v>
      </c>
      <c r="I83" s="176">
        <v>0.33800000000000002</v>
      </c>
      <c r="J83" s="176">
        <v>0.16600000000000001</v>
      </c>
      <c r="K83" s="176">
        <v>0.08</v>
      </c>
      <c r="L83" s="174">
        <v>9.3926766663992893</v>
      </c>
      <c r="M83" s="177">
        <v>10.732774524745301</v>
      </c>
      <c r="N83" s="167">
        <v>16.205098704129799</v>
      </c>
      <c r="O83" s="193">
        <f t="shared" si="10"/>
        <v>0.66230849442528228</v>
      </c>
      <c r="P83" s="167">
        <v>2.1975899237010998</v>
      </c>
      <c r="Q83" s="167">
        <v>2.8949376286786999</v>
      </c>
      <c r="R83" s="167">
        <v>1.1000363328085301</v>
      </c>
      <c r="S83" s="167">
        <v>5.39645149570062</v>
      </c>
      <c r="T83" s="167">
        <v>1.2350732711638599</v>
      </c>
      <c r="U83" s="167">
        <v>0.57193896088167595</v>
      </c>
      <c r="V83" s="167">
        <v>1.8762867869686299</v>
      </c>
      <c r="W83" s="167">
        <v>0.93278430422671699</v>
      </c>
      <c r="X83" s="167">
        <v>0.159581294617791</v>
      </c>
      <c r="Y83" s="173">
        <f t="shared" si="11"/>
        <v>10.892355819363091</v>
      </c>
      <c r="Z83" s="178">
        <v>338</v>
      </c>
      <c r="AA83" s="178">
        <v>235</v>
      </c>
      <c r="AB83" s="174">
        <v>1833.62</v>
      </c>
      <c r="AC83" s="194"/>
      <c r="AD83" s="195">
        <f t="shared" si="15"/>
        <v>1.3555787278415016E-2</v>
      </c>
      <c r="AE83" s="176">
        <f t="shared" si="12"/>
        <v>9.4248816876554096E-3</v>
      </c>
      <c r="AF83" s="174">
        <f t="shared" si="16"/>
        <v>5.4249112426035504</v>
      </c>
      <c r="AG83" s="180">
        <f t="shared" si="17"/>
        <v>7.3538942809015809E-2</v>
      </c>
      <c r="AH83" s="181">
        <v>0.54928399707327302</v>
      </c>
      <c r="AI83" s="181">
        <v>0.37681613881049397</v>
      </c>
      <c r="AJ83" s="174">
        <v>0.62689500280741195</v>
      </c>
      <c r="AK83" s="58">
        <v>0.21536857303280699</v>
      </c>
      <c r="AL83" s="58">
        <v>2.3662468917943401E-2</v>
      </c>
      <c r="AM83" s="182">
        <v>0.310098660463624</v>
      </c>
    </row>
    <row r="84" spans="1:40" ht="16.05" hidden="1" customHeight="1" outlineLevel="1">
      <c r="A84" s="186">
        <v>43425</v>
      </c>
      <c r="B84" s="187" t="s">
        <v>51</v>
      </c>
      <c r="C84" s="188">
        <v>7419</v>
      </c>
      <c r="D84" s="188">
        <v>23040</v>
      </c>
      <c r="E84" s="189">
        <f t="shared" si="13"/>
        <v>3.1055398301657906</v>
      </c>
      <c r="F84" s="167">
        <f t="shared" si="14"/>
        <v>0.65392851562500209</v>
      </c>
      <c r="G84" s="192">
        <v>14.8</v>
      </c>
      <c r="H84" s="192">
        <v>33.92</v>
      </c>
      <c r="I84" s="176">
        <v>0.35199999999999998</v>
      </c>
      <c r="J84" s="176">
        <v>0.16900000000000001</v>
      </c>
      <c r="K84" s="176">
        <v>8.1000000000000003E-2</v>
      </c>
      <c r="L84" s="174">
        <v>9.3677951388888907</v>
      </c>
      <c r="M84" s="177">
        <v>10.4149305555556</v>
      </c>
      <c r="N84" s="167">
        <v>15.3368273041033</v>
      </c>
      <c r="O84" s="193">
        <f t="shared" si="10"/>
        <v>0.67907986111111329</v>
      </c>
      <c r="P84" s="167">
        <v>2.0566278921130001</v>
      </c>
      <c r="Q84" s="167">
        <v>2.622906813243</v>
      </c>
      <c r="R84" s="167">
        <v>1.0749712386552499</v>
      </c>
      <c r="S84" s="167">
        <v>5.1294260513869396</v>
      </c>
      <c r="T84" s="167">
        <v>1.19033618816311</v>
      </c>
      <c r="U84" s="167">
        <v>0.59829988495462105</v>
      </c>
      <c r="V84" s="167">
        <v>1.77802633260897</v>
      </c>
      <c r="W84" s="167">
        <v>0.88623290297839696</v>
      </c>
      <c r="X84" s="167">
        <v>8.2508680555555602E-2</v>
      </c>
      <c r="Y84" s="173">
        <f t="shared" si="11"/>
        <v>10.497439236111155</v>
      </c>
      <c r="Z84" s="178">
        <v>314</v>
      </c>
      <c r="AA84" s="178">
        <v>225</v>
      </c>
      <c r="AB84" s="174">
        <v>1448.86</v>
      </c>
      <c r="AC84" s="194"/>
      <c r="AD84" s="195">
        <f t="shared" si="15"/>
        <v>1.3628472222222222E-2</v>
      </c>
      <c r="AE84" s="176">
        <f t="shared" si="12"/>
        <v>9.765625E-3</v>
      </c>
      <c r="AF84" s="174">
        <f t="shared" si="16"/>
        <v>4.6142038216560506</v>
      </c>
      <c r="AG84" s="180">
        <f t="shared" si="17"/>
        <v>6.2884548611111105E-2</v>
      </c>
      <c r="AH84" s="181">
        <v>0.62070359886777204</v>
      </c>
      <c r="AI84" s="181">
        <v>0.480522981533899</v>
      </c>
      <c r="AJ84" s="174">
        <v>0.72916666666666696</v>
      </c>
      <c r="AK84" s="58">
        <v>0.24782986111111099</v>
      </c>
      <c r="AL84" s="58">
        <v>2.8515624999999999E-2</v>
      </c>
      <c r="AM84" s="182">
        <v>0</v>
      </c>
    </row>
    <row r="85" spans="1:40" ht="16.05" hidden="1" customHeight="1" outlineLevel="1">
      <c r="A85" s="186">
        <v>43426</v>
      </c>
      <c r="B85" s="187" t="s">
        <v>51</v>
      </c>
      <c r="C85" s="188">
        <v>6317</v>
      </c>
      <c r="D85" s="188">
        <v>21690</v>
      </c>
      <c r="E85" s="189">
        <f t="shared" si="13"/>
        <v>3.4335918948868134</v>
      </c>
      <c r="F85" s="167">
        <f t="shared" si="14"/>
        <v>0.64992788423236691</v>
      </c>
      <c r="G85" s="192">
        <v>14.33</v>
      </c>
      <c r="H85" s="192">
        <v>34.450000000000003</v>
      </c>
      <c r="I85" s="176">
        <v>0.35699999999999998</v>
      </c>
      <c r="J85" s="176">
        <v>0.17100000000000001</v>
      </c>
      <c r="K85" s="176">
        <v>8.7999999999999995E-2</v>
      </c>
      <c r="L85" s="174">
        <v>9.4600737667127692</v>
      </c>
      <c r="M85" s="177">
        <v>10.3449054863993</v>
      </c>
      <c r="N85" s="167">
        <v>14.8734588360069</v>
      </c>
      <c r="O85" s="193">
        <f t="shared" si="10"/>
        <v>0.69552789303826867</v>
      </c>
      <c r="P85" s="167">
        <v>2.0464669229749402</v>
      </c>
      <c r="Q85" s="167">
        <v>2.5760307569932399</v>
      </c>
      <c r="R85" s="167">
        <v>1.0292324009014999</v>
      </c>
      <c r="S85" s="167">
        <v>4.9052764152194097</v>
      </c>
      <c r="T85" s="167">
        <v>1.1637279596977299</v>
      </c>
      <c r="U85" s="167">
        <v>0.57536789075964501</v>
      </c>
      <c r="V85" s="167">
        <v>1.6968712713774401</v>
      </c>
      <c r="W85" s="167">
        <v>0.88048521808299096</v>
      </c>
      <c r="X85" s="167">
        <v>8.5799907791608995E-2</v>
      </c>
      <c r="Y85" s="173">
        <f t="shared" si="11"/>
        <v>10.430705394190909</v>
      </c>
      <c r="Z85" s="178">
        <v>283</v>
      </c>
      <c r="AA85" s="178">
        <v>211</v>
      </c>
      <c r="AB85" s="174">
        <v>1509.17</v>
      </c>
      <c r="AC85" s="194"/>
      <c r="AD85" s="195">
        <f t="shared" si="15"/>
        <v>1.3047487321346243E-2</v>
      </c>
      <c r="AE85" s="176">
        <f t="shared" si="12"/>
        <v>9.727985246657446E-3</v>
      </c>
      <c r="AF85" s="174">
        <f t="shared" si="16"/>
        <v>5.332756183745583</v>
      </c>
      <c r="AG85" s="180">
        <f t="shared" si="17"/>
        <v>6.9579068695251267E-2</v>
      </c>
      <c r="AH85" s="181">
        <v>0.63954408738325197</v>
      </c>
      <c r="AI85" s="181">
        <v>0.47775842963432003</v>
      </c>
      <c r="AJ85" s="174">
        <v>0.70889810972798495</v>
      </c>
      <c r="AK85" s="58">
        <v>0.25463347164591998</v>
      </c>
      <c r="AL85" s="58">
        <v>2.93222683264177E-2</v>
      </c>
      <c r="AM85" s="182">
        <v>0</v>
      </c>
    </row>
    <row r="86" spans="1:40" ht="16.05" hidden="1" customHeight="1" outlineLevel="1">
      <c r="A86" s="186">
        <v>43427</v>
      </c>
      <c r="B86" s="187" t="s">
        <v>51</v>
      </c>
      <c r="C86" s="188">
        <v>6399</v>
      </c>
      <c r="D86" s="188">
        <v>21450</v>
      </c>
      <c r="E86" s="189">
        <f t="shared" si="13"/>
        <v>3.3520862634786686</v>
      </c>
      <c r="F86" s="167">
        <f t="shared" si="14"/>
        <v>0.64960610769230764</v>
      </c>
      <c r="G86" s="192">
        <v>14.85</v>
      </c>
      <c r="H86" s="192">
        <v>34.29</v>
      </c>
      <c r="I86" s="176">
        <v>0.36799999999999999</v>
      </c>
      <c r="J86" s="176">
        <v>0.17499999999999999</v>
      </c>
      <c r="K86" s="176">
        <v>8.4000000000000005E-2</v>
      </c>
      <c r="L86" s="174">
        <v>9.0193473193473199</v>
      </c>
      <c r="M86" s="177">
        <v>9.9087179487179498</v>
      </c>
      <c r="N86" s="167">
        <v>14.3823250778184</v>
      </c>
      <c r="O86" s="193">
        <f t="shared" si="10"/>
        <v>0.68895104895104797</v>
      </c>
      <c r="P86" s="167">
        <v>2.0221274868047101</v>
      </c>
      <c r="Q86" s="167">
        <v>2.4417377182297999</v>
      </c>
      <c r="R86" s="167">
        <v>0.98727838679117597</v>
      </c>
      <c r="S86" s="167">
        <v>4.7093652727026702</v>
      </c>
      <c r="T86" s="167">
        <v>1.14325348491</v>
      </c>
      <c r="U86" s="167">
        <v>0.56096900798484195</v>
      </c>
      <c r="V86" s="167">
        <v>1.66145621870348</v>
      </c>
      <c r="W86" s="167">
        <v>0.85613750169170399</v>
      </c>
      <c r="X86" s="167">
        <v>7.4592074592074606E-2</v>
      </c>
      <c r="Y86" s="173">
        <f t="shared" si="11"/>
        <v>9.9833100233100236</v>
      </c>
      <c r="Z86" s="178">
        <v>287</v>
      </c>
      <c r="AA86" s="178">
        <v>205</v>
      </c>
      <c r="AB86" s="174">
        <v>1523.13</v>
      </c>
      <c r="AC86" s="194"/>
      <c r="AD86" s="195">
        <f t="shared" si="15"/>
        <v>1.337995337995338E-2</v>
      </c>
      <c r="AE86" s="176">
        <f t="shared" si="12"/>
        <v>9.5571095571095575E-3</v>
      </c>
      <c r="AF86" s="174">
        <f t="shared" si="16"/>
        <v>5.3070731707317078</v>
      </c>
      <c r="AG86" s="180">
        <f t="shared" si="17"/>
        <v>7.1008391608391619E-2</v>
      </c>
      <c r="AH86" s="181">
        <v>0.63197374589779698</v>
      </c>
      <c r="AI86" s="181">
        <v>0.44475699328020002</v>
      </c>
      <c r="AJ86" s="174">
        <v>0.68666666666666698</v>
      </c>
      <c r="AK86" s="58">
        <v>0.25221445221445199</v>
      </c>
      <c r="AL86" s="58">
        <v>3.12354312354312E-2</v>
      </c>
      <c r="AM86" s="182">
        <v>0</v>
      </c>
    </row>
    <row r="87" spans="1:40" ht="16.05" hidden="1" customHeight="1" outlineLevel="1">
      <c r="A87" s="186">
        <v>43428</v>
      </c>
      <c r="B87" s="185" t="s">
        <v>51</v>
      </c>
      <c r="C87" s="188">
        <v>7416</v>
      </c>
      <c r="D87" s="188">
        <v>22271</v>
      </c>
      <c r="E87" s="189">
        <f t="shared" si="13"/>
        <v>3.0031014023732472</v>
      </c>
      <c r="F87" s="167">
        <f t="shared" si="14"/>
        <v>0.72408784033047646</v>
      </c>
      <c r="G87" s="192">
        <v>13.64</v>
      </c>
      <c r="H87" s="192">
        <v>30.62</v>
      </c>
      <c r="I87" s="176">
        <v>0.34</v>
      </c>
      <c r="J87" s="176">
        <v>0.16300000000000001</v>
      </c>
      <c r="K87" s="176">
        <v>7.8E-2</v>
      </c>
      <c r="L87" s="174">
        <v>10.239638992411701</v>
      </c>
      <c r="M87" s="177">
        <v>11.858066543936101</v>
      </c>
      <c r="N87" s="167">
        <v>17.3755510230936</v>
      </c>
      <c r="O87" s="193">
        <f t="shared" si="10"/>
        <v>0.68245700686992383</v>
      </c>
      <c r="P87" s="167">
        <v>2.4616751102046202</v>
      </c>
      <c r="Q87" s="167">
        <v>3.0577011645502998</v>
      </c>
      <c r="R87" s="167">
        <v>1.1230344101585601</v>
      </c>
      <c r="S87" s="167">
        <v>5.8230146720178997</v>
      </c>
      <c r="T87" s="167">
        <v>1.3936443187051799</v>
      </c>
      <c r="U87" s="167">
        <v>0.52016580038160398</v>
      </c>
      <c r="V87" s="167">
        <v>2.0250674386472798</v>
      </c>
      <c r="W87" s="167">
        <v>0.97124810842818599</v>
      </c>
      <c r="X87" s="167">
        <v>0.115217098468861</v>
      </c>
      <c r="Y87" s="173">
        <f t="shared" si="11"/>
        <v>11.973283642404962</v>
      </c>
      <c r="Z87" s="178">
        <v>298</v>
      </c>
      <c r="AA87" s="178">
        <v>223</v>
      </c>
      <c r="AB87" s="174">
        <v>1835.02</v>
      </c>
      <c r="AC87" s="194"/>
      <c r="AD87" s="195">
        <f t="shared" si="15"/>
        <v>1.3380629518207534E-2</v>
      </c>
      <c r="AE87" s="176">
        <f t="shared" si="12"/>
        <v>1.0013021417987517E-2</v>
      </c>
      <c r="AF87" s="174">
        <f t="shared" si="16"/>
        <v>6.1577852348993289</v>
      </c>
      <c r="AG87" s="180">
        <f t="shared" si="17"/>
        <v>8.2395042880876471E-2</v>
      </c>
      <c r="AH87" s="181">
        <v>0.61677454153182298</v>
      </c>
      <c r="AI87" s="181">
        <v>0.42165587918015102</v>
      </c>
      <c r="AJ87" s="174">
        <v>0.58502087917022105</v>
      </c>
      <c r="AK87" s="58">
        <v>0.232230254591172</v>
      </c>
      <c r="AL87" s="58">
        <v>2.68510619190876E-2</v>
      </c>
      <c r="AM87" s="182">
        <v>0.441650576983521</v>
      </c>
    </row>
    <row r="88" spans="1:40" ht="16.05" hidden="1" customHeight="1" outlineLevel="1">
      <c r="A88" s="186">
        <v>43429</v>
      </c>
      <c r="B88" s="185" t="s">
        <v>51</v>
      </c>
      <c r="C88" s="188">
        <v>6707</v>
      </c>
      <c r="D88" s="188">
        <v>21995</v>
      </c>
      <c r="E88" s="189">
        <f t="shared" si="13"/>
        <v>3.2794095720888623</v>
      </c>
      <c r="F88" s="167">
        <f t="shared" si="14"/>
        <v>0.67390052721073113</v>
      </c>
      <c r="G88" s="192">
        <v>13.44</v>
      </c>
      <c r="H88" s="192">
        <v>29.06</v>
      </c>
      <c r="I88" s="176">
        <v>0.34</v>
      </c>
      <c r="J88" s="176">
        <v>0.17</v>
      </c>
      <c r="K88" s="176">
        <v>9.4E-2</v>
      </c>
      <c r="L88" s="174">
        <v>10.272471016140001</v>
      </c>
      <c r="M88" s="177">
        <v>12.0321891338941</v>
      </c>
      <c r="N88" s="167">
        <v>17.221839005661501</v>
      </c>
      <c r="O88" s="193">
        <f t="shared" si="10"/>
        <v>0.69865878608774845</v>
      </c>
      <c r="P88" s="167">
        <v>2.3215331554630101</v>
      </c>
      <c r="Q88" s="167">
        <v>3.0984577341055499</v>
      </c>
      <c r="R88" s="167">
        <v>1.20446411140756</v>
      </c>
      <c r="S88" s="167">
        <v>5.7894839591332099</v>
      </c>
      <c r="T88" s="167">
        <v>1.32914687316978</v>
      </c>
      <c r="U88" s="167">
        <v>0.53471725125268399</v>
      </c>
      <c r="V88" s="167">
        <v>1.97436064293616</v>
      </c>
      <c r="W88" s="167">
        <v>0.96967527819353205</v>
      </c>
      <c r="X88" s="167">
        <v>0.135030688792907</v>
      </c>
      <c r="Y88" s="173">
        <f t="shared" si="11"/>
        <v>12.167219822687008</v>
      </c>
      <c r="Z88" s="178">
        <v>260</v>
      </c>
      <c r="AA88" s="178">
        <v>196</v>
      </c>
      <c r="AB88" s="174">
        <v>1335.4</v>
      </c>
      <c r="AC88" s="194"/>
      <c r="AD88" s="195">
        <f t="shared" si="15"/>
        <v>1.1820868379177086E-2</v>
      </c>
      <c r="AE88" s="176">
        <f t="shared" si="12"/>
        <v>8.911116162764264E-3</v>
      </c>
      <c r="AF88" s="174">
        <f t="shared" si="16"/>
        <v>5.1361538461538467</v>
      </c>
      <c r="AG88" s="180">
        <f t="shared" si="17"/>
        <v>6.0713798590588779E-2</v>
      </c>
      <c r="AH88" s="181">
        <v>0.63649917996123495</v>
      </c>
      <c r="AI88" s="181">
        <v>0.458774414790517</v>
      </c>
      <c r="AJ88" s="174">
        <v>0.61895885428506503</v>
      </c>
      <c r="AK88" s="58">
        <v>0.23328029097522199</v>
      </c>
      <c r="AL88" s="58">
        <v>2.5869515799045201E-2</v>
      </c>
      <c r="AM88" s="182">
        <v>0.40463741759490801</v>
      </c>
    </row>
    <row r="89" spans="1:40" ht="16.05" hidden="1" customHeight="1" outlineLevel="1">
      <c r="A89" s="186">
        <v>43430</v>
      </c>
      <c r="B89" s="185" t="s">
        <v>51</v>
      </c>
      <c r="C89" s="188">
        <v>6677</v>
      </c>
      <c r="D89" s="188">
        <v>22307</v>
      </c>
      <c r="E89" s="189">
        <v>3.3408716489441401</v>
      </c>
      <c r="F89" s="167">
        <v>0.71861177383780905</v>
      </c>
      <c r="G89" s="192">
        <v>13.7</v>
      </c>
      <c r="H89" s="192">
        <v>30.96</v>
      </c>
      <c r="I89" s="176">
        <v>0.36299999999999999</v>
      </c>
      <c r="J89" s="176">
        <v>0.18</v>
      </c>
      <c r="K89" s="176">
        <v>0.10100000000000001</v>
      </c>
      <c r="L89" s="174">
        <v>10.292195275025801</v>
      </c>
      <c r="M89" s="177">
        <v>11.6784417447438</v>
      </c>
      <c r="N89" s="167">
        <v>16.8495569497445</v>
      </c>
      <c r="O89" s="193">
        <f t="shared" si="10"/>
        <v>0.69310082037028797</v>
      </c>
      <c r="P89" s="167">
        <v>2.2464911713343199</v>
      </c>
      <c r="Q89" s="167">
        <v>3.01235366405795</v>
      </c>
      <c r="R89" s="167">
        <v>1.18912101416467</v>
      </c>
      <c r="S89" s="167">
        <v>5.6717547377271904</v>
      </c>
      <c r="T89" s="167">
        <v>1.3246232455856699</v>
      </c>
      <c r="U89" s="167">
        <v>0.52849104197658603</v>
      </c>
      <c r="V89" s="167">
        <v>1.9336394799818899</v>
      </c>
      <c r="W89" s="167">
        <v>0.94308259491624102</v>
      </c>
      <c r="X89" s="167">
        <v>0.128748823239342</v>
      </c>
      <c r="Y89" s="173">
        <f t="shared" si="11"/>
        <v>11.807190567983142</v>
      </c>
      <c r="Z89" s="178">
        <v>293</v>
      </c>
      <c r="AA89" s="178">
        <v>216</v>
      </c>
      <c r="AB89" s="174">
        <v>1904.12</v>
      </c>
      <c r="AC89" s="194"/>
      <c r="AD89" s="195">
        <v>1.3134890393150101E-2</v>
      </c>
      <c r="AE89" s="176">
        <f t="shared" si="12"/>
        <v>9.6830591294212575E-3</v>
      </c>
      <c r="AF89" s="174">
        <v>6.4987030716723604</v>
      </c>
      <c r="AG89" s="180">
        <v>8.5359752544044501E-2</v>
      </c>
      <c r="AH89" s="181">
        <v>0.62662872547551296</v>
      </c>
      <c r="AI89" s="181">
        <v>0.44840497229294601</v>
      </c>
      <c r="AJ89" s="174">
        <v>0.68090733850360896</v>
      </c>
      <c r="AK89" s="58">
        <v>0.236965974806115</v>
      </c>
      <c r="AL89" s="58">
        <v>2.7659479087281998E-2</v>
      </c>
      <c r="AM89" s="182">
        <v>0.37997041287488198</v>
      </c>
    </row>
    <row r="90" spans="1:40" ht="16.05" hidden="1" customHeight="1" outlineLevel="1">
      <c r="A90" s="186">
        <v>43431</v>
      </c>
      <c r="B90" s="185" t="s">
        <v>51</v>
      </c>
      <c r="C90" s="188">
        <v>6906</v>
      </c>
      <c r="D90" s="188">
        <v>22310</v>
      </c>
      <c r="E90" s="189">
        <v>3.2305241818708401</v>
      </c>
      <c r="F90" s="167">
        <v>0.72755490053787497</v>
      </c>
      <c r="G90" s="192">
        <v>14.77</v>
      </c>
      <c r="H90" s="192">
        <v>34.380000000000003</v>
      </c>
      <c r="I90" s="176">
        <v>0.36</v>
      </c>
      <c r="J90" s="176">
        <v>0.17599999999999999</v>
      </c>
      <c r="K90" s="176">
        <v>0.09</v>
      </c>
      <c r="L90" s="174">
        <v>9.7237561631555405</v>
      </c>
      <c r="M90" s="177">
        <v>11.016270730614099</v>
      </c>
      <c r="N90" s="167">
        <v>16.148028909329799</v>
      </c>
      <c r="O90" s="193">
        <f t="shared" si="10"/>
        <v>0.68220528910802614</v>
      </c>
      <c r="P90" s="167">
        <v>2.17299605781866</v>
      </c>
      <c r="Q90" s="167">
        <v>2.8171484888304898</v>
      </c>
      <c r="R90" s="167">
        <v>1.1377792378449401</v>
      </c>
      <c r="S90" s="167">
        <v>5.4406701708278602</v>
      </c>
      <c r="T90" s="167">
        <v>1.2498028909329799</v>
      </c>
      <c r="U90" s="167">
        <v>0.56123521681997401</v>
      </c>
      <c r="V90" s="167">
        <v>1.8433639947437599</v>
      </c>
      <c r="W90" s="167">
        <v>0.92503285151116899</v>
      </c>
      <c r="X90" s="167">
        <v>0.122142536978933</v>
      </c>
      <c r="Y90" s="173">
        <f t="shared" si="11"/>
        <v>11.138413267593032</v>
      </c>
      <c r="Z90" s="178">
        <v>288</v>
      </c>
      <c r="AA90" s="178">
        <v>195</v>
      </c>
      <c r="AB90" s="174">
        <v>1904.12</v>
      </c>
      <c r="AC90" s="194"/>
      <c r="AD90" s="195">
        <v>1.2909009412819399E-2</v>
      </c>
      <c r="AE90" s="176">
        <f t="shared" si="12"/>
        <v>8.7404751232631108E-3</v>
      </c>
      <c r="AF90" s="174">
        <v>6.6115277777777797</v>
      </c>
      <c r="AG90" s="180">
        <v>8.5348274316450007E-2</v>
      </c>
      <c r="AH90" s="181">
        <v>0.60889081957717905</v>
      </c>
      <c r="AI90" s="181">
        <v>0.42948161019403402</v>
      </c>
      <c r="AJ90" s="174">
        <v>0.67010309278350499</v>
      </c>
      <c r="AK90" s="58">
        <v>0.24294038547736399</v>
      </c>
      <c r="AL90" s="58">
        <v>3.05692514567459E-2</v>
      </c>
      <c r="AM90" s="182">
        <v>0.27350963693411001</v>
      </c>
    </row>
    <row r="91" spans="1:40" s="166" customFormat="1" ht="16.05" hidden="1" customHeight="1" outlineLevel="1">
      <c r="A91" s="196">
        <v>43432</v>
      </c>
      <c r="B91" s="197" t="s">
        <v>51</v>
      </c>
      <c r="C91" s="198">
        <v>8151</v>
      </c>
      <c r="D91" s="198">
        <v>23510</v>
      </c>
      <c r="E91" s="200">
        <v>2.88430867378236</v>
      </c>
      <c r="F91" s="166">
        <v>0.64101664823479398</v>
      </c>
      <c r="G91" s="201">
        <v>15.61</v>
      </c>
      <c r="H91" s="201">
        <v>36.78</v>
      </c>
      <c r="I91" s="203">
        <v>0.36099999999999999</v>
      </c>
      <c r="J91" s="203">
        <v>0.17799999999999999</v>
      </c>
      <c r="K91" s="203">
        <v>9.1999999999999998E-2</v>
      </c>
      <c r="L91" s="166">
        <v>9.3969800085070201</v>
      </c>
      <c r="M91" s="204">
        <v>10.2091025095704</v>
      </c>
      <c r="N91" s="166">
        <v>15.107698117958099</v>
      </c>
      <c r="O91" s="205">
        <f t="shared" si="10"/>
        <v>0.67575499787324478</v>
      </c>
      <c r="P91" s="166">
        <v>2.0681689431610799</v>
      </c>
      <c r="Q91" s="166">
        <v>2.4973878013470099</v>
      </c>
      <c r="R91" s="166">
        <v>1.0689872222571899</v>
      </c>
      <c r="S91" s="166">
        <v>5.0861710832756302</v>
      </c>
      <c r="T91" s="166">
        <v>1.19002958393655</v>
      </c>
      <c r="U91" s="166">
        <v>0.58979039466230299</v>
      </c>
      <c r="V91" s="166">
        <v>1.7271983382639899</v>
      </c>
      <c r="W91" s="166">
        <v>0.87996475105432104</v>
      </c>
      <c r="X91" s="166">
        <v>7.7286261165461501E-2</v>
      </c>
      <c r="Y91" s="200">
        <f t="shared" si="11"/>
        <v>10.286388770735861</v>
      </c>
      <c r="Z91" s="206">
        <v>242</v>
      </c>
      <c r="AA91" s="206">
        <v>170</v>
      </c>
      <c r="AB91" s="166">
        <v>1123.58</v>
      </c>
      <c r="AC91" s="209"/>
      <c r="AD91" s="210">
        <v>1.02934921310081E-2</v>
      </c>
      <c r="AE91" s="203">
        <f t="shared" si="12"/>
        <v>7.2309655465759249E-3</v>
      </c>
      <c r="AF91" s="166">
        <v>4.6428925619834702</v>
      </c>
      <c r="AG91" s="211">
        <v>4.7791578051892797E-2</v>
      </c>
      <c r="AH91" s="212">
        <v>0.60851429272481905</v>
      </c>
      <c r="AI91" s="212">
        <v>0.441786283891547</v>
      </c>
      <c r="AJ91" s="166">
        <v>0.75163760102084198</v>
      </c>
      <c r="AK91" s="213">
        <v>0.24831986388770699</v>
      </c>
      <c r="AL91" s="213">
        <v>3.1518502764780902E-2</v>
      </c>
      <c r="AM91" s="214">
        <v>0</v>
      </c>
      <c r="AN91" s="210"/>
    </row>
    <row r="92" spans="1:40" ht="16.05" hidden="1" customHeight="1" outlineLevel="1">
      <c r="A92" s="186">
        <v>43433</v>
      </c>
      <c r="B92" s="187" t="s">
        <v>51</v>
      </c>
      <c r="C92" s="188">
        <v>7198</v>
      </c>
      <c r="D92" s="188">
        <v>23229</v>
      </c>
      <c r="E92" s="189">
        <v>3.2271464295637702</v>
      </c>
      <c r="F92" s="167">
        <v>0.63297911584657096</v>
      </c>
      <c r="G92" s="192">
        <v>15.41</v>
      </c>
      <c r="H92" s="192">
        <v>34.770000000000003</v>
      </c>
      <c r="I92" s="176">
        <v>0.374</v>
      </c>
      <c r="J92" s="176">
        <v>0.17799999999999999</v>
      </c>
      <c r="K92" s="176">
        <v>9.7000000000000003E-2</v>
      </c>
      <c r="L92" s="174">
        <v>9.4072926083774604</v>
      </c>
      <c r="M92" s="177">
        <v>10.030436092815</v>
      </c>
      <c r="N92" s="167">
        <v>14.937620207718901</v>
      </c>
      <c r="O92" s="193">
        <f t="shared" si="10"/>
        <v>0.67148822592449153</v>
      </c>
      <c r="P92" s="167">
        <v>2.0250673163226098</v>
      </c>
      <c r="Q92" s="167">
        <v>2.5104500576997002</v>
      </c>
      <c r="R92" s="167">
        <v>1.0626362354148</v>
      </c>
      <c r="S92" s="167">
        <v>5.0768047185536602</v>
      </c>
      <c r="T92" s="167">
        <v>1.18380561610463</v>
      </c>
      <c r="U92" s="167">
        <v>0.57488139505064795</v>
      </c>
      <c r="V92" s="167">
        <v>1.65918707526606</v>
      </c>
      <c r="W92" s="167">
        <v>0.84478779330683396</v>
      </c>
      <c r="X92" s="167">
        <v>9.5484093159412795E-2</v>
      </c>
      <c r="Y92" s="173">
        <f t="shared" si="11"/>
        <v>10.125920185974413</v>
      </c>
      <c r="Z92" s="178">
        <v>274</v>
      </c>
      <c r="AA92" s="178">
        <v>205</v>
      </c>
      <c r="AB92" s="174">
        <v>1432.26</v>
      </c>
      <c r="AC92" s="194"/>
      <c r="AD92" s="195">
        <v>1.17956003271772E-2</v>
      </c>
      <c r="AE92" s="176">
        <f t="shared" si="12"/>
        <v>8.825175427267639E-3</v>
      </c>
      <c r="AF92" s="174">
        <v>5.2272262773722602</v>
      </c>
      <c r="AG92" s="180">
        <v>6.1658271987601702E-2</v>
      </c>
      <c r="AH92" s="181">
        <v>0.61517088080022198</v>
      </c>
      <c r="AI92" s="181">
        <v>0.43831619894415103</v>
      </c>
      <c r="AJ92" s="174">
        <v>0.74493090533384998</v>
      </c>
      <c r="AK92" s="58">
        <v>0.25545654139222501</v>
      </c>
      <c r="AL92" s="58">
        <v>3.2932971716389002E-2</v>
      </c>
      <c r="AM92" s="182">
        <v>0</v>
      </c>
    </row>
    <row r="93" spans="1:40" ht="16.05" hidden="1" customHeight="1" outlineLevel="1">
      <c r="A93" s="186">
        <v>43434</v>
      </c>
      <c r="B93" s="187" t="s">
        <v>51</v>
      </c>
      <c r="C93" s="188">
        <v>8180</v>
      </c>
      <c r="D93" s="188">
        <v>24479</v>
      </c>
      <c r="E93" s="189">
        <v>2.9925427872860602</v>
      </c>
      <c r="F93" s="167">
        <v>0.183217472118959</v>
      </c>
      <c r="G93" s="192">
        <v>15.5</v>
      </c>
      <c r="H93" s="192">
        <v>34.020000000000003</v>
      </c>
      <c r="I93" s="176">
        <v>0.40200000000000002</v>
      </c>
      <c r="J93" s="176">
        <v>0.19800000000000001</v>
      </c>
      <c r="K93" s="176">
        <v>0.10199999999999999</v>
      </c>
      <c r="L93" s="174">
        <v>8.85089260182197</v>
      </c>
      <c r="M93" s="177">
        <v>9.4785734711385299</v>
      </c>
      <c r="N93" s="167">
        <v>14.4537469631845</v>
      </c>
      <c r="O93" s="193">
        <f t="shared" si="10"/>
        <v>0.65578659258956462</v>
      </c>
      <c r="P93" s="167">
        <v>2.0130193733258599</v>
      </c>
      <c r="Q93" s="167">
        <v>2.39344670778048</v>
      </c>
      <c r="R93" s="167">
        <v>1.02940260387467</v>
      </c>
      <c r="S93" s="167">
        <v>4.7287111443343903</v>
      </c>
      <c r="T93" s="167">
        <v>1.1956643618015299</v>
      </c>
      <c r="U93" s="167">
        <v>0.59097987915031502</v>
      </c>
      <c r="V93" s="167">
        <v>1.6542702298635801</v>
      </c>
      <c r="W93" s="167">
        <v>0.84819036940135795</v>
      </c>
      <c r="X93" s="167">
        <v>8.3745251031496395E-2</v>
      </c>
      <c r="Y93" s="173">
        <f t="shared" si="11"/>
        <v>9.5623187221700263</v>
      </c>
      <c r="Z93" s="178">
        <v>345</v>
      </c>
      <c r="AA93" s="178">
        <v>245</v>
      </c>
      <c r="AB93" s="174">
        <v>1941.55</v>
      </c>
      <c r="AC93" s="194"/>
      <c r="AD93" s="195">
        <v>1.40937129784713E-2</v>
      </c>
      <c r="AE93" s="176">
        <f t="shared" si="12"/>
        <v>1.0008578781812983E-2</v>
      </c>
      <c r="AF93" s="174">
        <v>5.6276811594202902</v>
      </c>
      <c r="AG93" s="180">
        <v>7.9314922995220402E-2</v>
      </c>
      <c r="AH93" s="181">
        <v>0.62066014669926695</v>
      </c>
      <c r="AI93" s="181">
        <v>0.430073349633252</v>
      </c>
      <c r="AJ93" s="174">
        <v>0.71694105151354204</v>
      </c>
      <c r="AK93" s="58">
        <v>0.24637444340046599</v>
      </c>
      <c r="AL93" s="58">
        <v>3.0924465868703802E-2</v>
      </c>
      <c r="AM93" s="182">
        <v>0</v>
      </c>
    </row>
    <row r="94" spans="1:40" ht="16.05" customHeight="1" collapsed="1">
      <c r="A94" s="186">
        <v>43435</v>
      </c>
      <c r="B94" s="185" t="s">
        <v>51</v>
      </c>
      <c r="C94" s="188">
        <v>10809</v>
      </c>
      <c r="D94" s="188">
        <v>27521</v>
      </c>
      <c r="E94" s="189">
        <v>2.5461189749283002</v>
      </c>
      <c r="F94" s="167">
        <v>0.22821164928599999</v>
      </c>
      <c r="G94" s="192">
        <v>13.89</v>
      </c>
      <c r="H94" s="192">
        <v>30.85</v>
      </c>
      <c r="I94" s="176">
        <v>0.36799999999999999</v>
      </c>
      <c r="J94" s="176">
        <v>0.17799999999999999</v>
      </c>
      <c r="K94" s="176">
        <v>9.6000000000000002E-2</v>
      </c>
      <c r="L94" s="174">
        <v>9.7147269357944808</v>
      </c>
      <c r="M94" s="177">
        <v>10.8500054503833</v>
      </c>
      <c r="N94" s="167">
        <v>16.5890555555556</v>
      </c>
      <c r="O94" s="193">
        <f t="shared" si="10"/>
        <v>0.65404600123541579</v>
      </c>
      <c r="P94" s="167">
        <v>2.3468888888888899</v>
      </c>
      <c r="Q94" s="167">
        <v>2.7716666666666701</v>
      </c>
      <c r="R94" s="167">
        <v>1.03</v>
      </c>
      <c r="S94" s="167">
        <v>5.6943333333333301</v>
      </c>
      <c r="T94" s="167">
        <v>1.32588888888889</v>
      </c>
      <c r="U94" s="167">
        <v>0.51905555555555605</v>
      </c>
      <c r="V94" s="167">
        <v>1.9728333333333301</v>
      </c>
      <c r="W94" s="167">
        <v>0.92838888888888904</v>
      </c>
      <c r="X94" s="167">
        <v>0.100105374077977</v>
      </c>
      <c r="Y94" s="173">
        <f t="shared" si="11"/>
        <v>10.950110824461277</v>
      </c>
      <c r="Z94" s="178">
        <v>412</v>
      </c>
      <c r="AA94" s="178">
        <v>278</v>
      </c>
      <c r="AB94" s="174">
        <v>2718.88</v>
      </c>
      <c r="AC94" s="194"/>
      <c r="AD94" s="195">
        <v>1.4970386250499601E-2</v>
      </c>
      <c r="AE94" s="176">
        <f t="shared" si="12"/>
        <v>1.0101377130191489E-2</v>
      </c>
      <c r="AF94" s="174">
        <v>6.5992233009708698</v>
      </c>
      <c r="AG94" s="180">
        <v>9.8792921768831005E-2</v>
      </c>
      <c r="AH94" s="181">
        <v>0.59293181607919299</v>
      </c>
      <c r="AI94" s="181">
        <v>0.37098714034600799</v>
      </c>
      <c r="AJ94" s="174">
        <v>0.57403437375095401</v>
      </c>
      <c r="AK94" s="58">
        <v>0.20686021583517999</v>
      </c>
      <c r="AL94" s="58">
        <v>2.3182297154899899E-2</v>
      </c>
      <c r="AM94" s="182">
        <v>0.40187493187020801</v>
      </c>
    </row>
    <row r="95" spans="1:40" ht="16.05" hidden="1" customHeight="1" outlineLevel="1">
      <c r="A95" s="186">
        <v>43436</v>
      </c>
      <c r="B95" s="185" t="s">
        <v>51</v>
      </c>
      <c r="C95" s="188">
        <v>10906</v>
      </c>
      <c r="D95" s="188">
        <v>29254</v>
      </c>
      <c r="E95" s="189">
        <v>2.6823766733907899</v>
      </c>
      <c r="F95" s="167">
        <v>0.66067629807889505</v>
      </c>
      <c r="G95" s="192">
        <v>13.36</v>
      </c>
      <c r="H95" s="192">
        <v>29.17</v>
      </c>
      <c r="I95" s="176">
        <v>0.371</v>
      </c>
      <c r="J95" s="176">
        <v>0.187</v>
      </c>
      <c r="K95" s="176">
        <v>0.105</v>
      </c>
      <c r="L95" s="174">
        <v>9.80655636835988</v>
      </c>
      <c r="M95" s="177">
        <v>10.950434128666201</v>
      </c>
      <c r="N95" s="167">
        <v>16.381692661723299</v>
      </c>
      <c r="O95" s="193">
        <f t="shared" si="10"/>
        <v>0.66845559581596081</v>
      </c>
      <c r="P95" s="167">
        <v>2.2381488110457699</v>
      </c>
      <c r="Q95" s="167">
        <v>2.7732037841984098</v>
      </c>
      <c r="R95" s="167">
        <v>1.0983380209664999</v>
      </c>
      <c r="S95" s="167">
        <v>5.5745845052416296</v>
      </c>
      <c r="T95" s="167">
        <v>1.2930196880593201</v>
      </c>
      <c r="U95" s="167">
        <v>0.54553822551776998</v>
      </c>
      <c r="V95" s="167">
        <v>1.92728202505753</v>
      </c>
      <c r="W95" s="167">
        <v>0.93157760163641001</v>
      </c>
      <c r="X95" s="167">
        <v>0.100635810487455</v>
      </c>
      <c r="Y95" s="173">
        <f t="shared" si="11"/>
        <v>11.051069939153656</v>
      </c>
      <c r="Z95" s="178">
        <v>372</v>
      </c>
      <c r="AA95" s="178">
        <v>268</v>
      </c>
      <c r="AB95" s="174">
        <v>2248.2800000000002</v>
      </c>
      <c r="AC95" s="194"/>
      <c r="AD95" s="195">
        <v>1.27162097490941E-2</v>
      </c>
      <c r="AE95" s="176">
        <f t="shared" si="12"/>
        <v>9.1611403568742731E-3</v>
      </c>
      <c r="AF95" s="174">
        <v>6.0437634408602099</v>
      </c>
      <c r="AG95" s="180">
        <v>7.6853763587885399E-2</v>
      </c>
      <c r="AH95" s="181">
        <v>0.62965340179717599</v>
      </c>
      <c r="AI95" s="181">
        <v>0.40289748762149302</v>
      </c>
      <c r="AJ95" s="174">
        <v>0.61051480139468095</v>
      </c>
      <c r="AK95" s="58">
        <v>0.20499760716483201</v>
      </c>
      <c r="AL95" s="58">
        <v>2.24242838586176E-2</v>
      </c>
      <c r="AM95" s="182">
        <v>0.38100772543925598</v>
      </c>
    </row>
    <row r="96" spans="1:40" ht="16.05" hidden="1" customHeight="1" outlineLevel="1">
      <c r="A96" s="186">
        <v>43437</v>
      </c>
      <c r="B96" s="185" t="s">
        <v>51</v>
      </c>
      <c r="C96" s="188">
        <v>12224</v>
      </c>
      <c r="D96" s="188">
        <v>31857</v>
      </c>
      <c r="E96" s="189">
        <v>2.6061027486911001</v>
      </c>
      <c r="F96" s="167">
        <v>0.63081171701666805</v>
      </c>
      <c r="G96" s="192">
        <v>13.78</v>
      </c>
      <c r="H96" s="192">
        <v>30.13</v>
      </c>
      <c r="I96" s="176">
        <v>0.36899999999999999</v>
      </c>
      <c r="J96" s="176">
        <v>0.188</v>
      </c>
      <c r="K96" s="176">
        <v>0.10299999999999999</v>
      </c>
      <c r="L96" s="174">
        <v>9.3529522553912798</v>
      </c>
      <c r="M96" s="177">
        <v>10.214740873277499</v>
      </c>
      <c r="N96" s="167">
        <v>15.828153120288</v>
      </c>
      <c r="O96" s="193">
        <f t="shared" si="10"/>
        <v>0.64535266974291428</v>
      </c>
      <c r="P96" s="167">
        <v>2.1834719587528602</v>
      </c>
      <c r="Q96" s="167">
        <v>2.74804221995233</v>
      </c>
      <c r="R96" s="167">
        <v>1.1163967119023299</v>
      </c>
      <c r="S96" s="167">
        <v>5.2569191108517002</v>
      </c>
      <c r="T96" s="167">
        <v>1.24830974269177</v>
      </c>
      <c r="U96" s="167">
        <v>0.53018142905783405</v>
      </c>
      <c r="V96" s="167">
        <v>1.8450800136193399</v>
      </c>
      <c r="W96" s="167">
        <v>0.89975193345979898</v>
      </c>
      <c r="X96" s="167">
        <v>0.10518881250588601</v>
      </c>
      <c r="Y96" s="173">
        <f t="shared" si="11"/>
        <v>10.319929685783386</v>
      </c>
      <c r="Z96" s="178">
        <v>375</v>
      </c>
      <c r="AA96" s="178">
        <v>268</v>
      </c>
      <c r="AB96" s="174">
        <v>2363.25</v>
      </c>
      <c r="AC96" s="194"/>
      <c r="AD96" s="195">
        <v>1.17713532347679E-2</v>
      </c>
      <c r="AE96" s="176">
        <f t="shared" si="12"/>
        <v>8.4125937784474362E-3</v>
      </c>
      <c r="AF96" s="174">
        <v>6.3019999999999996</v>
      </c>
      <c r="AG96" s="180">
        <v>7.4183068085507106E-2</v>
      </c>
      <c r="AH96" s="181">
        <v>0.57272578534031404</v>
      </c>
      <c r="AI96" s="181">
        <v>0.38367146596858598</v>
      </c>
      <c r="AJ96" s="174">
        <v>0.60463948268826295</v>
      </c>
      <c r="AK96" s="58">
        <v>0.20105471324983501</v>
      </c>
      <c r="AL96" s="58">
        <v>2.2475437109583499E-2</v>
      </c>
      <c r="AM96" s="182">
        <v>0.34610917537746799</v>
      </c>
      <c r="AN96" s="215"/>
    </row>
    <row r="97" spans="1:40" ht="16.05" hidden="1" customHeight="1" outlineLevel="1">
      <c r="A97" s="186">
        <v>43438</v>
      </c>
      <c r="B97" s="185" t="s">
        <v>51</v>
      </c>
      <c r="C97" s="188">
        <v>11520</v>
      </c>
      <c r="D97" s="188">
        <v>32158</v>
      </c>
      <c r="E97" s="189">
        <v>2.7914930555555602</v>
      </c>
      <c r="F97" s="167">
        <v>0.66409474298774795</v>
      </c>
      <c r="G97" s="192">
        <v>14.71</v>
      </c>
      <c r="H97" s="192">
        <v>35.01</v>
      </c>
      <c r="I97" s="176">
        <v>0.372</v>
      </c>
      <c r="J97" s="176">
        <v>0.193</v>
      </c>
      <c r="K97" s="176">
        <v>0.10199999999999999</v>
      </c>
      <c r="L97" s="174">
        <v>9.3886124759002403</v>
      </c>
      <c r="M97" s="177">
        <v>9.8850985757820808</v>
      </c>
      <c r="N97" s="167">
        <v>15.0799335863378</v>
      </c>
      <c r="O97" s="193">
        <f t="shared" si="10"/>
        <v>0.65551340257478563</v>
      </c>
      <c r="P97" s="167">
        <v>2.1309297912713498</v>
      </c>
      <c r="Q97" s="167">
        <v>2.57367172675522</v>
      </c>
      <c r="R97" s="167">
        <v>1.0748102466793199</v>
      </c>
      <c r="S97" s="167">
        <v>4.8526091081593901</v>
      </c>
      <c r="T97" s="167">
        <v>1.23624288425047</v>
      </c>
      <c r="U97" s="167">
        <v>0.56019924098671703</v>
      </c>
      <c r="V97" s="167">
        <v>1.7791745730550299</v>
      </c>
      <c r="W97" s="167">
        <v>0.872296015180266</v>
      </c>
      <c r="X97" s="167">
        <v>8.6665837427700704E-2</v>
      </c>
      <c r="Y97" s="173">
        <f t="shared" si="11"/>
        <v>9.9717644132097814</v>
      </c>
      <c r="Z97" s="178">
        <v>404</v>
      </c>
      <c r="AA97" s="178">
        <v>282</v>
      </c>
      <c r="AB97" s="174">
        <v>2573.96</v>
      </c>
      <c r="AC97" s="194"/>
      <c r="AD97" s="195">
        <v>1.2562970333975999E-2</v>
      </c>
      <c r="AE97" s="176">
        <f t="shared" si="12"/>
        <v>8.7692020648050244E-3</v>
      </c>
      <c r="AF97" s="174">
        <v>6.3711881188118804</v>
      </c>
      <c r="AG97" s="180">
        <v>8.0041047328813994E-2</v>
      </c>
      <c r="AH97" s="181">
        <v>0.60980902777777801</v>
      </c>
      <c r="AI97" s="181">
        <v>0.42725694444444401</v>
      </c>
      <c r="AJ97" s="174">
        <v>0.65022700416692603</v>
      </c>
      <c r="AK97" s="58">
        <v>0.21543628335095499</v>
      </c>
      <c r="AL97" s="58">
        <v>2.42241432924933E-2</v>
      </c>
      <c r="AM97" s="182">
        <v>0.26982399402947899</v>
      </c>
      <c r="AN97" s="215"/>
    </row>
    <row r="98" spans="1:40" s="166" customFormat="1" ht="16.05" hidden="1" customHeight="1" outlineLevel="1">
      <c r="A98" s="196">
        <v>43439</v>
      </c>
      <c r="B98" s="197" t="s">
        <v>51</v>
      </c>
      <c r="C98" s="198">
        <v>9077</v>
      </c>
      <c r="D98" s="198">
        <v>30676</v>
      </c>
      <c r="E98" s="200">
        <v>3.3795306819433701</v>
      </c>
      <c r="F98" s="166">
        <v>0.61860561800756297</v>
      </c>
      <c r="G98" s="201">
        <v>14.69</v>
      </c>
      <c r="H98" s="201">
        <v>32.479999999999997</v>
      </c>
      <c r="I98" s="203">
        <v>0.376</v>
      </c>
      <c r="J98" s="203">
        <v>0.189</v>
      </c>
      <c r="K98" s="203">
        <v>9.7000000000000003E-2</v>
      </c>
      <c r="L98" s="166">
        <v>9.4062785239275009</v>
      </c>
      <c r="M98" s="204">
        <v>9.7310275133655004</v>
      </c>
      <c r="N98" s="166">
        <v>14.5344726847794</v>
      </c>
      <c r="O98" s="205">
        <f t="shared" si="10"/>
        <v>0.66951362628765332</v>
      </c>
      <c r="P98" s="166">
        <v>2.0363229136235299</v>
      </c>
      <c r="Q98" s="166">
        <v>2.3662966208978502</v>
      </c>
      <c r="R98" s="166">
        <v>1.0901743110332101</v>
      </c>
      <c r="S98" s="166">
        <v>4.7838153666374499</v>
      </c>
      <c r="T98" s="166">
        <v>1.1548349401110101</v>
      </c>
      <c r="U98" s="166">
        <v>0.57137988119583205</v>
      </c>
      <c r="V98" s="166">
        <v>1.6956860453792999</v>
      </c>
      <c r="W98" s="166">
        <v>0.83596260590125604</v>
      </c>
      <c r="X98" s="166">
        <v>7.8106663189464104E-2</v>
      </c>
      <c r="Y98" s="200">
        <f t="shared" si="11"/>
        <v>9.8091341765549647</v>
      </c>
      <c r="Z98" s="206">
        <v>359</v>
      </c>
      <c r="AA98" s="206">
        <v>263</v>
      </c>
      <c r="AB98" s="166">
        <v>2014.41</v>
      </c>
      <c r="AC98" s="209"/>
      <c r="AD98" s="210">
        <v>1.17029599687052E-2</v>
      </c>
      <c r="AE98" s="203">
        <v>8.5734776372408394E-3</v>
      </c>
      <c r="AF98" s="166">
        <v>5.6111699164345401</v>
      </c>
      <c r="AG98" s="211">
        <v>6.56672969096362E-2</v>
      </c>
      <c r="AH98" s="212">
        <v>0.63908780434064105</v>
      </c>
      <c r="AI98" s="212">
        <v>0.493224633689545</v>
      </c>
      <c r="AJ98" s="166">
        <v>0.77487286478028405</v>
      </c>
      <c r="AK98" s="213">
        <v>0.25625896466292902</v>
      </c>
      <c r="AL98" s="213">
        <v>2.95018907289086E-2</v>
      </c>
      <c r="AM98" s="214">
        <v>0</v>
      </c>
      <c r="AN98" s="216"/>
    </row>
    <row r="99" spans="1:40" ht="16.05" hidden="1" customHeight="1" outlineLevel="1">
      <c r="A99" s="186">
        <v>43440</v>
      </c>
      <c r="B99" s="187" t="s">
        <v>51</v>
      </c>
      <c r="C99" s="188">
        <v>9353</v>
      </c>
      <c r="D99" s="188">
        <v>31605</v>
      </c>
      <c r="E99" s="189">
        <v>3.37912969100823</v>
      </c>
      <c r="F99" s="167">
        <v>0.62751436772662506</v>
      </c>
      <c r="G99" s="192">
        <v>15.16</v>
      </c>
      <c r="H99" s="192">
        <v>32.76</v>
      </c>
      <c r="I99" s="176">
        <v>0.36599999999999999</v>
      </c>
      <c r="J99" s="176">
        <v>0.184</v>
      </c>
      <c r="K99" s="176">
        <v>9.4E-2</v>
      </c>
      <c r="L99" s="174">
        <v>8.7695301376364494</v>
      </c>
      <c r="M99" s="177">
        <v>9.2288561936402491</v>
      </c>
      <c r="N99" s="167">
        <v>14.0669399565951</v>
      </c>
      <c r="O99" s="193">
        <f t="shared" si="10"/>
        <v>0.65606707799398978</v>
      </c>
      <c r="P99" s="167">
        <v>2.01205690860863</v>
      </c>
      <c r="Q99" s="167">
        <v>2.31294911984567</v>
      </c>
      <c r="R99" s="167">
        <v>1.0832408970339999</v>
      </c>
      <c r="S99" s="167">
        <v>4.5601157463226398</v>
      </c>
      <c r="T99" s="167">
        <v>1.1345068724379099</v>
      </c>
      <c r="U99" s="167">
        <v>0.55013262599469503</v>
      </c>
      <c r="V99" s="167">
        <v>1.6102724861345501</v>
      </c>
      <c r="W99" s="167">
        <v>0.80366530021702398</v>
      </c>
      <c r="X99" s="167">
        <v>7.3849074513526305E-2</v>
      </c>
      <c r="Y99" s="173">
        <f t="shared" si="11"/>
        <v>9.3027052681537761</v>
      </c>
      <c r="Z99" s="178">
        <v>404</v>
      </c>
      <c r="AA99" s="178">
        <v>293</v>
      </c>
      <c r="AB99" s="174">
        <v>2301.96</v>
      </c>
      <c r="AC99" s="194"/>
      <c r="AD99" s="195">
        <v>1.27827875336181E-2</v>
      </c>
      <c r="AE99" s="176">
        <v>9.2706850181933208E-3</v>
      </c>
      <c r="AF99" s="174">
        <v>5.6979207920792101</v>
      </c>
      <c r="AG99" s="180">
        <v>7.2835310868533495E-2</v>
      </c>
      <c r="AH99" s="181">
        <v>0.57521650807227598</v>
      </c>
      <c r="AI99" s="181">
        <v>0.41430557040521798</v>
      </c>
      <c r="AJ99" s="174">
        <v>0.73918683752570802</v>
      </c>
      <c r="AK99" s="58">
        <v>0.293814269894004</v>
      </c>
      <c r="AL99" s="58">
        <v>3.4013605442176902E-2</v>
      </c>
      <c r="AM99" s="182">
        <v>0</v>
      </c>
      <c r="AN99" s="215"/>
    </row>
    <row r="100" spans="1:40" ht="16.05" hidden="1" customHeight="1" outlineLevel="1">
      <c r="A100" s="186">
        <v>43441</v>
      </c>
      <c r="B100" s="187" t="s">
        <v>51</v>
      </c>
      <c r="C100" s="188">
        <v>10533</v>
      </c>
      <c r="D100" s="188">
        <v>32896</v>
      </c>
      <c r="E100" s="189">
        <v>3.1231368081268398</v>
      </c>
      <c r="F100" s="167">
        <v>0.57594790856031097</v>
      </c>
      <c r="G100" s="192">
        <v>14.22</v>
      </c>
      <c r="H100" s="192">
        <v>29.92</v>
      </c>
      <c r="I100" s="176">
        <v>0.33600000000000002</v>
      </c>
      <c r="J100" s="176">
        <v>0.17</v>
      </c>
      <c r="K100" s="176">
        <v>8.7999999999999995E-2</v>
      </c>
      <c r="L100" s="174">
        <v>8.4268908073930007</v>
      </c>
      <c r="M100" s="177">
        <v>8.8019820038910499</v>
      </c>
      <c r="N100" s="167">
        <v>13.673498299962199</v>
      </c>
      <c r="O100" s="193">
        <f t="shared" si="10"/>
        <v>0.64372568093385307</v>
      </c>
      <c r="P100" s="167">
        <v>1.99763883641859</v>
      </c>
      <c r="Q100" s="167">
        <v>2.27630336229694</v>
      </c>
      <c r="R100" s="167">
        <v>1.0862769172648301</v>
      </c>
      <c r="S100" s="167">
        <v>4.3167737060823601</v>
      </c>
      <c r="T100" s="167">
        <v>1.1083301851152201</v>
      </c>
      <c r="U100" s="167">
        <v>0.54278428409520196</v>
      </c>
      <c r="V100" s="167">
        <v>1.5540706460143601</v>
      </c>
      <c r="W100" s="167">
        <v>0.79132036267472605</v>
      </c>
      <c r="X100" s="167">
        <v>5.6724221789883303E-2</v>
      </c>
      <c r="Y100" s="173">
        <f t="shared" si="11"/>
        <v>8.8587062256809332</v>
      </c>
      <c r="Z100" s="178">
        <v>374</v>
      </c>
      <c r="AA100" s="178">
        <v>269</v>
      </c>
      <c r="AB100" s="174">
        <v>2361.2600000000002</v>
      </c>
      <c r="AC100" s="194"/>
      <c r="AD100" s="195">
        <v>1.1369163424124499E-2</v>
      </c>
      <c r="AE100" s="176">
        <v>8.1772859922178993E-3</v>
      </c>
      <c r="AF100" s="174">
        <v>6.3135294117646996</v>
      </c>
      <c r="AG100" s="180">
        <v>7.1779547665369606E-2</v>
      </c>
      <c r="AH100" s="181">
        <v>0.57932213044716596</v>
      </c>
      <c r="AI100" s="181">
        <v>0.393904870407291</v>
      </c>
      <c r="AJ100" s="174">
        <v>0.73826605058365802</v>
      </c>
      <c r="AK100" s="58">
        <v>0.299246108949416</v>
      </c>
      <c r="AL100" s="58">
        <f>1105/D100</f>
        <v>3.3590710116731516E-2</v>
      </c>
      <c r="AM100" s="182">
        <v>0</v>
      </c>
      <c r="AN100" s="215"/>
    </row>
    <row r="101" spans="1:40" ht="16.05" hidden="1" customHeight="1" outlineLevel="1">
      <c r="A101" s="186">
        <v>43442</v>
      </c>
      <c r="B101" s="185" t="s">
        <v>51</v>
      </c>
      <c r="C101" s="188">
        <v>11015</v>
      </c>
      <c r="D101" s="188">
        <v>33059</v>
      </c>
      <c r="E101" s="189">
        <v>3.0012709940989599</v>
      </c>
      <c r="F101" s="167">
        <v>0.67375124943283204</v>
      </c>
      <c r="G101" s="192">
        <v>13.15</v>
      </c>
      <c r="H101" s="192">
        <v>26.41</v>
      </c>
      <c r="I101" s="176">
        <v>0.32200000000000001</v>
      </c>
      <c r="J101" s="176">
        <v>0.152</v>
      </c>
      <c r="K101" s="176">
        <v>8.4000000000000005E-2</v>
      </c>
      <c r="L101" s="174">
        <v>9.6580053843129008</v>
      </c>
      <c r="M101" s="177">
        <v>10.884993496476</v>
      </c>
      <c r="N101" s="167">
        <v>16.912487662734399</v>
      </c>
      <c r="O101" s="193">
        <f t="shared" si="10"/>
        <v>0.64360688466075844</v>
      </c>
      <c r="P101" s="167">
        <v>2.3330826714292399</v>
      </c>
      <c r="Q101" s="167">
        <v>2.7201673168209801</v>
      </c>
      <c r="R101" s="167">
        <v>1.1336184612492399</v>
      </c>
      <c r="S101" s="167">
        <v>6.0837524087042301</v>
      </c>
      <c r="T101" s="167">
        <v>1.3107110964891699</v>
      </c>
      <c r="U101" s="167">
        <v>0.47798091836255102</v>
      </c>
      <c r="V101" s="167">
        <v>1.9561498331531699</v>
      </c>
      <c r="W101" s="167">
        <v>0.89702495652582603</v>
      </c>
      <c r="X101" s="167">
        <v>9.3983484073928397E-2</v>
      </c>
      <c r="Y101" s="173">
        <f t="shared" si="11"/>
        <v>10.978976980549929</v>
      </c>
      <c r="Z101" s="178">
        <v>435</v>
      </c>
      <c r="AA101" s="178">
        <v>298</v>
      </c>
      <c r="AB101" s="174">
        <v>2933.65</v>
      </c>
      <c r="AC101" s="194"/>
      <c r="AD101" s="195">
        <v>1.3158292749327E-2</v>
      </c>
      <c r="AE101" s="176">
        <v>9.0141867570101893E-3</v>
      </c>
      <c r="AF101" s="174">
        <v>6.7440229885057503</v>
      </c>
      <c r="AG101" s="180">
        <v>8.8739828790949493E-2</v>
      </c>
      <c r="AH101" s="181">
        <v>0.55569677712210597</v>
      </c>
      <c r="AI101" s="181">
        <v>0.39564230594643701</v>
      </c>
      <c r="AJ101" s="174">
        <v>0.61096826885265698</v>
      </c>
      <c r="AK101" s="58">
        <v>0.25324419976405799</v>
      </c>
      <c r="AL101" s="58">
        <v>2.7738286094558199E-2</v>
      </c>
      <c r="AM101" s="182">
        <v>0.353458967300886</v>
      </c>
      <c r="AN101" s="215"/>
    </row>
    <row r="102" spans="1:40" ht="16.05" hidden="1" customHeight="1" outlineLevel="1">
      <c r="A102" s="186">
        <v>43443</v>
      </c>
      <c r="B102" s="185" t="s">
        <v>51</v>
      </c>
      <c r="C102" s="188">
        <v>12518</v>
      </c>
      <c r="D102" s="188">
        <v>34970</v>
      </c>
      <c r="E102" s="189">
        <v>2.79357724876178</v>
      </c>
      <c r="F102" s="167">
        <v>0.65313156005147299</v>
      </c>
      <c r="G102" s="192">
        <v>12.96</v>
      </c>
      <c r="H102" s="192">
        <v>27.2</v>
      </c>
      <c r="I102" s="176">
        <v>0.311</v>
      </c>
      <c r="J102" s="176">
        <v>0.152</v>
      </c>
      <c r="K102" s="176">
        <v>8.5999999999999993E-2</v>
      </c>
      <c r="L102" s="174">
        <v>9.4458678867600803</v>
      </c>
      <c r="M102" s="177">
        <v>10.7410065770661</v>
      </c>
      <c r="N102" s="167">
        <v>16.8217564602087</v>
      </c>
      <c r="O102" s="193">
        <f t="shared" si="10"/>
        <v>0.63851873034029416</v>
      </c>
      <c r="P102" s="167">
        <v>2.2945049039365801</v>
      </c>
      <c r="Q102" s="167">
        <v>2.85427023153746</v>
      </c>
      <c r="R102" s="167">
        <v>1.2123695642438099</v>
      </c>
      <c r="S102" s="167">
        <v>5.8192485109051004</v>
      </c>
      <c r="T102" s="167">
        <v>1.2891755116664401</v>
      </c>
      <c r="U102" s="167">
        <v>0.49890277217967699</v>
      </c>
      <c r="V102" s="167">
        <v>1.9383761028259201</v>
      </c>
      <c r="W102" s="167">
        <v>0.91490886291369999</v>
      </c>
      <c r="X102" s="167">
        <v>8.79897054618244E-2</v>
      </c>
      <c r="Y102" s="173">
        <f t="shared" si="11"/>
        <v>10.828996282527925</v>
      </c>
      <c r="Z102" s="178">
        <v>439</v>
      </c>
      <c r="AA102" s="178">
        <v>303</v>
      </c>
      <c r="AB102" s="174">
        <v>2938.61</v>
      </c>
      <c r="AC102" s="194"/>
      <c r="AD102" s="195">
        <v>1.25536173863311E-2</v>
      </c>
      <c r="AE102" s="176">
        <v>8.6645696311123798E-3</v>
      </c>
      <c r="AF102" s="174">
        <v>6.6938724373576299</v>
      </c>
      <c r="AG102" s="180">
        <v>8.4032313411495502E-2</v>
      </c>
      <c r="AH102" s="181">
        <v>0.53514938488576402</v>
      </c>
      <c r="AI102" s="181">
        <v>0.37985301166320501</v>
      </c>
      <c r="AJ102" s="174">
        <v>0.62559336574206503</v>
      </c>
      <c r="AK102" s="58">
        <v>0.24172147555047199</v>
      </c>
      <c r="AL102" s="58">
        <v>2.5764941378324299E-2</v>
      </c>
      <c r="AM102" s="182">
        <v>0.34372319130683399</v>
      </c>
      <c r="AN102" s="215"/>
    </row>
    <row r="103" spans="1:40" ht="16.05" hidden="1" customHeight="1" outlineLevel="1">
      <c r="A103" s="186">
        <v>43444</v>
      </c>
      <c r="B103" s="185" t="s">
        <v>51</v>
      </c>
      <c r="C103" s="188">
        <v>11745</v>
      </c>
      <c r="D103" s="188">
        <v>35253</v>
      </c>
      <c r="E103" s="189">
        <v>3.0015325670498099</v>
      </c>
      <c r="F103" s="167">
        <v>0.63966810960769305</v>
      </c>
      <c r="G103" s="192">
        <v>13.24</v>
      </c>
      <c r="H103" s="192">
        <v>26.57</v>
      </c>
      <c r="I103" s="176">
        <v>0.32</v>
      </c>
      <c r="J103" s="176">
        <v>0.16200000000000001</v>
      </c>
      <c r="K103" s="176">
        <v>9.4E-2</v>
      </c>
      <c r="L103" s="174">
        <v>9.6046293932431297</v>
      </c>
      <c r="M103" s="177">
        <v>10.8553598275324</v>
      </c>
      <c r="N103" s="167">
        <v>16.695781161380399</v>
      </c>
      <c r="O103" s="193">
        <f t="shared" si="10"/>
        <v>0.65018579979008806</v>
      </c>
      <c r="P103" s="167">
        <v>2.2451463723223202</v>
      </c>
      <c r="Q103" s="167">
        <v>2.8963396012390401</v>
      </c>
      <c r="R103" s="167">
        <v>1.18293268182016</v>
      </c>
      <c r="S103" s="167">
        <v>5.8067274551721102</v>
      </c>
      <c r="T103" s="167">
        <v>1.25230138301121</v>
      </c>
      <c r="U103" s="167">
        <v>0.49347759696348298</v>
      </c>
      <c r="V103" s="167">
        <v>1.9075520265258901</v>
      </c>
      <c r="W103" s="167">
        <v>0.91130404432616396</v>
      </c>
      <c r="X103" s="167">
        <v>9.3240291606388095E-2</v>
      </c>
      <c r="Y103" s="173">
        <v>10.948600119138799</v>
      </c>
      <c r="Z103" s="178">
        <v>386</v>
      </c>
      <c r="AA103" s="178">
        <v>272</v>
      </c>
      <c r="AB103" s="174">
        <v>2551.14</v>
      </c>
      <c r="AC103" s="194"/>
      <c r="AD103" s="195">
        <v>1.0949422744163601E-2</v>
      </c>
      <c r="AE103" s="176">
        <v>7.7156554052137402E-3</v>
      </c>
      <c r="AF103" s="174">
        <v>6.6091709844559601</v>
      </c>
      <c r="AG103" s="180">
        <v>7.2366607097268304E-2</v>
      </c>
      <c r="AH103" s="181">
        <v>0.54389101745423596</v>
      </c>
      <c r="AI103" s="181">
        <v>0.38527032779906301</v>
      </c>
      <c r="AJ103" s="174">
        <v>0.643746631492355</v>
      </c>
      <c r="AK103" s="58">
        <v>0.251297761892605</v>
      </c>
      <c r="AL103" s="58">
        <v>2.6238901653759999E-2</v>
      </c>
      <c r="AM103" s="182">
        <v>0.33509204890363897</v>
      </c>
      <c r="AN103" s="215"/>
    </row>
    <row r="104" spans="1:40" ht="16.05" hidden="1" customHeight="1" outlineLevel="1">
      <c r="A104" s="186">
        <v>43445</v>
      </c>
      <c r="B104" s="185" t="s">
        <v>51</v>
      </c>
      <c r="C104" s="188">
        <v>11503</v>
      </c>
      <c r="D104" s="188">
        <v>34701</v>
      </c>
      <c r="E104" s="189">
        <v>3.01669129792228</v>
      </c>
      <c r="F104" s="167">
        <v>0.64786249329990497</v>
      </c>
      <c r="G104" s="192">
        <v>14.47</v>
      </c>
      <c r="H104" s="192">
        <v>29.08</v>
      </c>
      <c r="I104" s="176">
        <v>0.33</v>
      </c>
      <c r="J104" s="176">
        <v>0.16900000000000001</v>
      </c>
      <c r="K104" s="176">
        <v>9.4E-2</v>
      </c>
      <c r="L104" s="174">
        <v>9.2210310942047808</v>
      </c>
      <c r="M104" s="177">
        <v>10.346675888302901</v>
      </c>
      <c r="N104" s="167">
        <v>16.194857916102801</v>
      </c>
      <c r="O104" s="193">
        <f t="shared" si="10"/>
        <v>0.63888648742111154</v>
      </c>
      <c r="P104" s="167">
        <v>2.19093369418133</v>
      </c>
      <c r="Q104" s="167">
        <v>2.7950834460983298</v>
      </c>
      <c r="R104" s="167">
        <v>1.18479927830401</v>
      </c>
      <c r="S104" s="167">
        <v>5.5188543076229104</v>
      </c>
      <c r="T104" s="167">
        <v>1.2394677492106401</v>
      </c>
      <c r="U104" s="167">
        <v>0.51659900766802003</v>
      </c>
      <c r="V104" s="167">
        <v>1.85732972485341</v>
      </c>
      <c r="W104" s="167">
        <v>0.89179070816418604</v>
      </c>
      <c r="X104" s="167">
        <v>8.43779718163742E-2</v>
      </c>
      <c r="Y104" s="173">
        <v>10.431053860119301</v>
      </c>
      <c r="Z104" s="178">
        <v>395</v>
      </c>
      <c r="AA104" s="178">
        <v>285</v>
      </c>
      <c r="AB104" s="174">
        <v>2377.0500000000002</v>
      </c>
      <c r="AC104" s="194"/>
      <c r="AD104" s="195">
        <v>1.1382957263479401E-2</v>
      </c>
      <c r="AE104" s="176">
        <v>8.2130197977003504E-3</v>
      </c>
      <c r="AF104" s="174">
        <v>6.0178481012658196</v>
      </c>
      <c r="AG104" s="180">
        <v>6.8500907754819707E-2</v>
      </c>
      <c r="AH104" s="181">
        <v>0.52064678779448803</v>
      </c>
      <c r="AI104" s="181">
        <v>0.38650786751282301</v>
      </c>
      <c r="AJ104" s="174">
        <v>0.67070113253220398</v>
      </c>
      <c r="AK104" s="58">
        <v>0.27172127604391799</v>
      </c>
      <c r="AL104" s="58">
        <v>3.0978934324659198E-2</v>
      </c>
      <c r="AM104" s="182">
        <v>0.26731218120515299</v>
      </c>
      <c r="AN104" s="215"/>
    </row>
    <row r="105" spans="1:40" s="166" customFormat="1" ht="16.05" hidden="1" customHeight="1" outlineLevel="1">
      <c r="A105" s="196">
        <v>43446</v>
      </c>
      <c r="B105" s="197" t="s">
        <v>51</v>
      </c>
      <c r="C105" s="198">
        <v>12834</v>
      </c>
      <c r="D105" s="198">
        <v>35929</v>
      </c>
      <c r="E105" s="200">
        <v>2.7995169082125599</v>
      </c>
      <c r="F105" s="166">
        <v>0.66285163480753695</v>
      </c>
      <c r="G105" s="201">
        <v>13.33</v>
      </c>
      <c r="H105" s="201">
        <v>25.96</v>
      </c>
      <c r="I105" s="203">
        <v>0.312</v>
      </c>
      <c r="J105" s="203">
        <v>0.157</v>
      </c>
      <c r="K105" s="203">
        <v>8.7999999999999995E-2</v>
      </c>
      <c r="L105" s="166">
        <v>8.9137187230370998</v>
      </c>
      <c r="M105" s="204">
        <v>9.8915360850566394</v>
      </c>
      <c r="N105" s="166">
        <v>15.820557336182301</v>
      </c>
      <c r="O105" s="205">
        <f t="shared" si="10"/>
        <v>0.62523309861115117</v>
      </c>
      <c r="P105" s="166">
        <v>2.0965544871794899</v>
      </c>
      <c r="Q105" s="166">
        <v>2.62455484330484</v>
      </c>
      <c r="R105" s="166">
        <v>1.1864761396011401</v>
      </c>
      <c r="S105" s="166">
        <v>5.4857995014245002</v>
      </c>
      <c r="T105" s="166">
        <v>1.19123931623932</v>
      </c>
      <c r="U105" s="166">
        <v>0.561565170940171</v>
      </c>
      <c r="V105" s="166">
        <v>1.79095441595442</v>
      </c>
      <c r="W105" s="166">
        <v>0.88341346153846101</v>
      </c>
      <c r="X105" s="166">
        <v>6.1343204653622398E-2</v>
      </c>
      <c r="Y105" s="200">
        <v>9.9528792897102605</v>
      </c>
      <c r="Z105" s="206">
        <v>485</v>
      </c>
      <c r="AA105" s="206">
        <v>328</v>
      </c>
      <c r="AB105" s="166">
        <v>3085.15</v>
      </c>
      <c r="AC105" s="209"/>
      <c r="AD105" s="210">
        <v>1.3498844944195501E-2</v>
      </c>
      <c r="AE105" s="203">
        <v>9.1291157560744792E-3</v>
      </c>
      <c r="AF105" s="166">
        <v>6.36113402061856</v>
      </c>
      <c r="AG105" s="211">
        <v>8.5867961813576796E-2</v>
      </c>
      <c r="AH105" s="212">
        <v>0.497350786972105</v>
      </c>
      <c r="AI105" s="212">
        <v>0.36481221754713999</v>
      </c>
      <c r="AJ105" s="166">
        <v>0.76258732500208704</v>
      </c>
      <c r="AK105" s="213">
        <v>0.29151938545464701</v>
      </c>
      <c r="AL105" s="213">
        <v>3.1812741796320501E-2</v>
      </c>
      <c r="AM105" s="214">
        <v>0</v>
      </c>
      <c r="AN105" s="210"/>
    </row>
    <row r="106" spans="1:40" ht="16.05" hidden="1" customHeight="1" outlineLevel="1">
      <c r="A106" s="186">
        <v>43447</v>
      </c>
      <c r="B106" s="187" t="s">
        <v>51</v>
      </c>
      <c r="C106" s="188">
        <v>14890</v>
      </c>
      <c r="D106" s="188">
        <v>38287</v>
      </c>
      <c r="E106" s="189">
        <v>2.5713230355943599</v>
      </c>
      <c r="F106" s="167">
        <v>0.628616118264685</v>
      </c>
      <c r="G106" s="192">
        <v>13.87</v>
      </c>
      <c r="H106" s="192">
        <v>31.65</v>
      </c>
      <c r="I106" s="176">
        <v>0.28899999999999998</v>
      </c>
      <c r="J106" s="176">
        <v>0.14599999999999999</v>
      </c>
      <c r="K106" s="176">
        <v>7.9000000000000001E-2</v>
      </c>
      <c r="L106" s="174">
        <v>8.7007861676286993</v>
      </c>
      <c r="M106" s="177">
        <v>9.6204978191030897</v>
      </c>
      <c r="N106" s="167">
        <v>16.030813422117799</v>
      </c>
      <c r="O106" s="193">
        <f t="shared" si="10"/>
        <v>0.60012536892417678</v>
      </c>
      <c r="P106" s="167">
        <v>2.1390085737911799</v>
      </c>
      <c r="Q106" s="167">
        <v>2.71175523349436</v>
      </c>
      <c r="R106" s="167">
        <v>1.1490621055838399</v>
      </c>
      <c r="S106" s="167">
        <v>5.5504635069852499</v>
      </c>
      <c r="T106" s="167">
        <v>1.2029420725072899</v>
      </c>
      <c r="U106" s="167">
        <v>0.55773164468816605</v>
      </c>
      <c r="V106" s="167">
        <v>1.8142925534229899</v>
      </c>
      <c r="W106" s="167">
        <v>0.90551420986203601</v>
      </c>
      <c r="X106" s="167">
        <v>7.1590879410766098E-2</v>
      </c>
      <c r="Y106" s="173">
        <v>9.6920886985138601</v>
      </c>
      <c r="Z106" s="178">
        <v>516</v>
      </c>
      <c r="AA106" s="178">
        <v>349</v>
      </c>
      <c r="AB106" s="174">
        <v>3125.84</v>
      </c>
      <c r="AC106" s="194"/>
      <c r="AD106" s="195">
        <v>1.34771593491263E-2</v>
      </c>
      <c r="AE106" s="176">
        <v>9.1153655287695597E-3</v>
      </c>
      <c r="AF106" s="174">
        <v>6.0578294573643401</v>
      </c>
      <c r="AG106" s="180">
        <v>8.1642332906730702E-2</v>
      </c>
      <c r="AH106" s="181">
        <v>0.43707186030893203</v>
      </c>
      <c r="AI106" s="181">
        <v>0.31443922095366</v>
      </c>
      <c r="AJ106" s="174">
        <v>0.707498628777392</v>
      </c>
      <c r="AK106" s="58">
        <v>0.27852795988194401</v>
      </c>
      <c r="AL106" s="58">
        <v>2.89393266644031E-2</v>
      </c>
      <c r="AM106" s="182">
        <v>0</v>
      </c>
    </row>
    <row r="107" spans="1:40" ht="16.05" hidden="1" customHeight="1" outlineLevel="1">
      <c r="A107" s="186">
        <v>43448</v>
      </c>
      <c r="B107" s="187" t="s">
        <v>51</v>
      </c>
      <c r="C107" s="188">
        <v>15911</v>
      </c>
      <c r="D107" s="188">
        <v>40104</v>
      </c>
      <c r="E107" s="189">
        <v>2.5205203946954899</v>
      </c>
      <c r="F107" s="167">
        <v>0.57261918447037696</v>
      </c>
      <c r="G107" s="192">
        <v>12.31</v>
      </c>
      <c r="H107" s="192">
        <v>25.67</v>
      </c>
      <c r="I107" s="176">
        <v>0.26700000000000002</v>
      </c>
      <c r="J107" s="176">
        <v>0.14099999999999999</v>
      </c>
      <c r="K107" s="176">
        <v>7.9000000000000001E-2</v>
      </c>
      <c r="L107" s="174">
        <v>8.6365699182126505</v>
      </c>
      <c r="M107" s="177">
        <v>9.3407390783961706</v>
      </c>
      <c r="N107" s="167">
        <v>15.7448301950235</v>
      </c>
      <c r="O107" s="193">
        <f t="shared" si="10"/>
        <v>0.59325753042090712</v>
      </c>
      <c r="P107" s="167">
        <v>2.1242434431741799</v>
      </c>
      <c r="Q107" s="167">
        <v>2.7283120376597201</v>
      </c>
      <c r="R107" s="167">
        <v>1.09936112979153</v>
      </c>
      <c r="S107" s="167">
        <v>5.3346082716879604</v>
      </c>
      <c r="T107" s="167">
        <v>1.1960743106926699</v>
      </c>
      <c r="U107" s="167">
        <v>0.54694855413584398</v>
      </c>
      <c r="V107" s="167">
        <v>1.8101042367182201</v>
      </c>
      <c r="W107" s="167">
        <v>0.90513618022864795</v>
      </c>
      <c r="X107" s="167">
        <v>6.89208059046479E-2</v>
      </c>
      <c r="Y107" s="173">
        <v>9.4096598843008206</v>
      </c>
      <c r="Z107" s="178">
        <v>488</v>
      </c>
      <c r="AA107" s="178">
        <v>345</v>
      </c>
      <c r="AB107" s="174">
        <v>3102.12</v>
      </c>
      <c r="AC107" s="194"/>
      <c r="AD107" s="195">
        <v>1.21683622581289E-2</v>
      </c>
      <c r="AE107" s="176">
        <v>8.6026331538001204E-3</v>
      </c>
      <c r="AF107" s="174">
        <v>6.3568032786885196</v>
      </c>
      <c r="AG107" s="180">
        <v>7.73518850987433E-2</v>
      </c>
      <c r="AH107" s="181">
        <v>0.42373200930174099</v>
      </c>
      <c r="AI107" s="181">
        <v>0.30526051159575102</v>
      </c>
      <c r="AJ107" s="174">
        <v>0.68267504488330299</v>
      </c>
      <c r="AK107" s="58">
        <v>0.27206762417713898</v>
      </c>
      <c r="AL107" s="58">
        <v>2.8451027328944702E-2</v>
      </c>
      <c r="AM107" s="182">
        <v>0</v>
      </c>
    </row>
    <row r="108" spans="1:40" ht="16.05" hidden="1" customHeight="1" outlineLevel="1">
      <c r="A108" s="186">
        <v>43449</v>
      </c>
      <c r="B108" s="185" t="s">
        <v>51</v>
      </c>
      <c r="C108" s="188">
        <v>14420</v>
      </c>
      <c r="D108" s="188">
        <v>38684</v>
      </c>
      <c r="E108" s="189">
        <v>2.6826629680998599</v>
      </c>
      <c r="F108" s="167">
        <v>0.72055529345465796</v>
      </c>
      <c r="G108" s="192">
        <v>12.17</v>
      </c>
      <c r="H108" s="192">
        <v>24.53</v>
      </c>
      <c r="I108" s="176">
        <v>0.27300000000000002</v>
      </c>
      <c r="J108" s="176">
        <v>0.14299999999999999</v>
      </c>
      <c r="K108" s="176">
        <v>7.4999999999999997E-2</v>
      </c>
      <c r="L108" s="174">
        <v>10.0461431082618</v>
      </c>
      <c r="M108" s="177">
        <v>11.929919346499799</v>
      </c>
      <c r="N108" s="167">
        <v>19.2877084465248</v>
      </c>
      <c r="O108" s="193">
        <f t="shared" si="10"/>
        <v>0.61852445455485383</v>
      </c>
      <c r="P108" s="167">
        <v>2.4926651899527701</v>
      </c>
      <c r="Q108" s="167">
        <v>3.3277051030216902</v>
      </c>
      <c r="R108" s="167">
        <v>1.1348685585322</v>
      </c>
      <c r="S108" s="167">
        <v>7.0785305303631896</v>
      </c>
      <c r="T108" s="167">
        <v>1.43035064989343</v>
      </c>
      <c r="U108" s="167">
        <v>0.50428386341789599</v>
      </c>
      <c r="V108" s="167">
        <v>2.28423956200109</v>
      </c>
      <c r="W108" s="167">
        <v>1.0350649893425801</v>
      </c>
      <c r="X108" s="167">
        <v>0.123746251680281</v>
      </c>
      <c r="Y108" s="173">
        <v>12.0536655981801</v>
      </c>
      <c r="Z108" s="178">
        <v>541</v>
      </c>
      <c r="AA108" s="178">
        <v>374</v>
      </c>
      <c r="AB108" s="174">
        <v>3680.59</v>
      </c>
      <c r="AC108" s="194"/>
      <c r="AD108" s="195">
        <v>1.3985110123048299E-2</v>
      </c>
      <c r="AE108" s="176">
        <v>9.6680798262847693E-3</v>
      </c>
      <c r="AF108" s="174">
        <v>6.8033086876155302</v>
      </c>
      <c r="AG108" s="180">
        <v>9.5145021197394306E-2</v>
      </c>
      <c r="AH108" s="181">
        <v>0.45076282940360601</v>
      </c>
      <c r="AI108" s="181">
        <v>0.33252427184465999</v>
      </c>
      <c r="AJ108" s="174">
        <v>0.58140316409885195</v>
      </c>
      <c r="AK108" s="58">
        <v>0.24800951297694099</v>
      </c>
      <c r="AL108" s="58">
        <v>2.5385172164202299E-2</v>
      </c>
      <c r="AM108" s="182">
        <v>0.32525074966394402</v>
      </c>
    </row>
    <row r="109" spans="1:40" ht="16.05" hidden="1" customHeight="1" outlineLevel="1">
      <c r="A109" s="186">
        <v>43450</v>
      </c>
      <c r="B109" s="185" t="s">
        <v>51</v>
      </c>
      <c r="C109" s="188">
        <v>16254</v>
      </c>
      <c r="D109" s="188">
        <v>41483</v>
      </c>
      <c r="E109" s="189">
        <v>2.5521717731020099</v>
      </c>
      <c r="F109" s="167">
        <v>0.66761927941566401</v>
      </c>
      <c r="G109" s="192">
        <v>12.09</v>
      </c>
      <c r="H109" s="192">
        <v>24.13</v>
      </c>
      <c r="I109" s="176">
        <v>0.26700000000000002</v>
      </c>
      <c r="J109" s="176">
        <v>0.13800000000000001</v>
      </c>
      <c r="K109" s="176">
        <v>8.4000000000000005E-2</v>
      </c>
      <c r="L109" s="174">
        <v>9.7900344719523709</v>
      </c>
      <c r="M109" s="177">
        <v>11.713521201456</v>
      </c>
      <c r="N109" s="167">
        <v>18.975748818682401</v>
      </c>
      <c r="O109" s="193">
        <f t="shared" si="10"/>
        <v>0.61728900995588432</v>
      </c>
      <c r="P109" s="167">
        <v>2.4212129495840999</v>
      </c>
      <c r="Q109" s="167">
        <v>3.4109813722810198</v>
      </c>
      <c r="R109" s="167">
        <v>1.2260319443902099</v>
      </c>
      <c r="S109" s="167">
        <v>6.7714296871949102</v>
      </c>
      <c r="T109" s="167">
        <v>1.3805600031241501</v>
      </c>
      <c r="U109" s="167">
        <v>0.50669738743312398</v>
      </c>
      <c r="V109" s="167">
        <v>2.2161518334830301</v>
      </c>
      <c r="W109" s="167">
        <v>1.0426836411918601</v>
      </c>
      <c r="X109" s="167">
        <v>0.143842055781887</v>
      </c>
      <c r="Y109" s="173">
        <v>11.8573632572379</v>
      </c>
      <c r="Z109" s="178">
        <v>534</v>
      </c>
      <c r="AA109" s="178">
        <v>374</v>
      </c>
      <c r="AB109" s="174">
        <v>3603.66</v>
      </c>
      <c r="AC109" s="194"/>
      <c r="AD109" s="195">
        <v>1.28727430513704E-2</v>
      </c>
      <c r="AE109" s="176">
        <v>9.0157413880384701E-3</v>
      </c>
      <c r="AF109" s="174">
        <v>6.7484269662921301</v>
      </c>
      <c r="AG109" s="180">
        <v>8.6870766338018005E-2</v>
      </c>
      <c r="AH109" s="181">
        <v>0.45121200935154399</v>
      </c>
      <c r="AI109" s="181">
        <v>0.31782945736434098</v>
      </c>
      <c r="AJ109" s="174">
        <v>0.58554106501458403</v>
      </c>
      <c r="AK109" s="58">
        <v>0.235759226671166</v>
      </c>
      <c r="AL109" s="58">
        <v>2.4178579177012299E-2</v>
      </c>
      <c r="AM109" s="182">
        <v>0.31788925583974198</v>
      </c>
    </row>
    <row r="110" spans="1:40" ht="16.05" hidden="1" customHeight="1" outlineLevel="1">
      <c r="A110" s="186">
        <v>43451</v>
      </c>
      <c r="B110" s="185" t="s">
        <v>51</v>
      </c>
      <c r="C110" s="188">
        <v>15865</v>
      </c>
      <c r="D110" s="188">
        <v>42330</v>
      </c>
      <c r="E110" s="189">
        <v>2.6681374093917398</v>
      </c>
      <c r="F110" s="167">
        <v>0.65041538270730004</v>
      </c>
      <c r="G110" s="192">
        <v>12.05</v>
      </c>
      <c r="H110" s="192">
        <v>24.21</v>
      </c>
      <c r="I110" s="176">
        <v>0.27700000000000002</v>
      </c>
      <c r="J110" s="176">
        <v>0.14299999999999999</v>
      </c>
      <c r="K110" s="176">
        <v>8.2000000000000003E-2</v>
      </c>
      <c r="L110" s="174">
        <v>9.8291046539097593</v>
      </c>
      <c r="M110" s="177">
        <v>11.414197968344</v>
      </c>
      <c r="N110" s="167">
        <v>29.572958746480602</v>
      </c>
      <c r="O110" s="193">
        <f t="shared" si="10"/>
        <v>0.38596739900779703</v>
      </c>
      <c r="P110" s="167">
        <v>3.76833149712327</v>
      </c>
      <c r="Q110" s="167">
        <v>5.4327335047129397</v>
      </c>
      <c r="R110" s="167">
        <v>1.94197576202718</v>
      </c>
      <c r="S110" s="167">
        <v>10.4476068062186</v>
      </c>
      <c r="T110" s="167">
        <v>2.1213734851266999</v>
      </c>
      <c r="U110" s="167">
        <v>0.80217896927408505</v>
      </c>
      <c r="V110" s="167">
        <v>3.4261843554902698</v>
      </c>
      <c r="W110" s="167">
        <v>1.6325743665075301</v>
      </c>
      <c r="X110" s="167">
        <v>0.11639499173163199</v>
      </c>
      <c r="Y110" s="173">
        <v>11.5305929600756</v>
      </c>
      <c r="Z110" s="178">
        <v>526</v>
      </c>
      <c r="AA110" s="178">
        <v>355</v>
      </c>
      <c r="AB110" s="174">
        <v>3290.74</v>
      </c>
      <c r="AC110" s="194"/>
      <c r="AD110" s="195">
        <v>1.24261752893929E-2</v>
      </c>
      <c r="AE110" s="176">
        <v>8.3864871249704695E-3</v>
      </c>
      <c r="AF110" s="174">
        <v>6.2561596958174901</v>
      </c>
      <c r="AG110" s="180">
        <v>7.7740137018662905E-2</v>
      </c>
      <c r="AH110" s="181">
        <v>0.43491963441538001</v>
      </c>
      <c r="AI110" s="181">
        <v>0.30160731169240501</v>
      </c>
      <c r="AJ110" s="174">
        <v>0.60054334987006897</v>
      </c>
      <c r="AK110" s="58">
        <v>0.24760217339948001</v>
      </c>
      <c r="AL110" s="58">
        <v>2.54193243562485E-2</v>
      </c>
      <c r="AM110" s="182">
        <v>0.30479565320103902</v>
      </c>
    </row>
    <row r="111" spans="1:40" ht="16.05" hidden="1" customHeight="1" outlineLevel="1">
      <c r="A111" s="186">
        <v>43452</v>
      </c>
      <c r="B111" s="185" t="s">
        <v>51</v>
      </c>
      <c r="C111" s="188">
        <v>18732</v>
      </c>
      <c r="D111" s="188">
        <v>45499</v>
      </c>
      <c r="E111" s="189">
        <v>2.4289451206491601</v>
      </c>
      <c r="F111" s="167">
        <v>0.64416082828193999</v>
      </c>
      <c r="G111" s="192">
        <v>13.38</v>
      </c>
      <c r="H111" s="192">
        <v>30.19</v>
      </c>
      <c r="I111" s="176">
        <v>0.26800000000000002</v>
      </c>
      <c r="J111" s="176">
        <v>0.13200000000000001</v>
      </c>
      <c r="K111" s="176">
        <v>6.8000000000000005E-2</v>
      </c>
      <c r="L111" s="174">
        <v>9.2358952944020807</v>
      </c>
      <c r="M111" s="177">
        <v>10.3841622892811</v>
      </c>
      <c r="N111" s="167">
        <v>17.415643776033001</v>
      </c>
      <c r="O111" s="193">
        <f t="shared" si="10"/>
        <v>0.596254862744238</v>
      </c>
      <c r="P111" s="167">
        <v>2.3100740904567099</v>
      </c>
      <c r="Q111" s="167">
        <v>3.1453057613623798</v>
      </c>
      <c r="R111" s="167">
        <v>1.1623355081278299</v>
      </c>
      <c r="S111" s="167">
        <v>5.9994839470677102</v>
      </c>
      <c r="T111" s="167">
        <v>1.29986361458218</v>
      </c>
      <c r="U111" s="167">
        <v>0.53278779166205903</v>
      </c>
      <c r="V111" s="167">
        <v>1.99653507316893</v>
      </c>
      <c r="W111" s="167">
        <v>0.96925798960522003</v>
      </c>
      <c r="X111" s="167">
        <v>0.11059583727114899</v>
      </c>
      <c r="Y111" s="173">
        <v>10.494758126552201</v>
      </c>
      <c r="Z111" s="178">
        <v>617</v>
      </c>
      <c r="AA111" s="178">
        <v>406</v>
      </c>
      <c r="AB111" s="174">
        <v>3656.83</v>
      </c>
      <c r="AC111" s="194"/>
      <c r="AD111" s="195">
        <v>1.3560737598628501E-2</v>
      </c>
      <c r="AE111" s="176">
        <v>8.9232730389678903E-3</v>
      </c>
      <c r="AF111" s="174">
        <v>5.9267909238249601</v>
      </c>
      <c r="AG111" s="180">
        <v>8.0371656519923507E-2</v>
      </c>
      <c r="AH111" s="181">
        <v>0.41196882340380098</v>
      </c>
      <c r="AI111" s="181">
        <v>0.28272474909246198</v>
      </c>
      <c r="AJ111" s="174">
        <v>0.61748609859557402</v>
      </c>
      <c r="AK111" s="58">
        <v>0.24363172816984999</v>
      </c>
      <c r="AL111" s="58">
        <v>2.6550034066682798E-2</v>
      </c>
      <c r="AM111" s="182">
        <v>0.23556561682674301</v>
      </c>
    </row>
    <row r="112" spans="1:40" s="166" customFormat="1" ht="16.05" hidden="1" customHeight="1" outlineLevel="1">
      <c r="A112" s="196">
        <v>43453</v>
      </c>
      <c r="B112" s="197" t="s">
        <v>51</v>
      </c>
      <c r="C112" s="198">
        <v>15371</v>
      </c>
      <c r="D112" s="198">
        <v>43115</v>
      </c>
      <c r="E112" s="200">
        <v>2.8049573872877498</v>
      </c>
      <c r="F112" s="166">
        <v>0.58147161410182102</v>
      </c>
      <c r="G112" s="201">
        <v>13.46</v>
      </c>
      <c r="H112" s="201">
        <v>30.64</v>
      </c>
      <c r="I112" s="203">
        <v>0.27</v>
      </c>
      <c r="J112" s="203">
        <v>0.13700000000000001</v>
      </c>
      <c r="K112" s="203">
        <v>7.0999999999999994E-2</v>
      </c>
      <c r="L112" s="166">
        <f>381805/D112</f>
        <v>8.855502725269627</v>
      </c>
      <c r="M112" s="204">
        <v>9.3337121651397403</v>
      </c>
      <c r="N112" s="166">
        <v>15.527974996141401</v>
      </c>
      <c r="O112" s="205">
        <f t="shared" si="10"/>
        <v>0.60109010785109496</v>
      </c>
      <c r="P112" s="166">
        <v>2.0533647167772799</v>
      </c>
      <c r="Q112" s="166">
        <v>2.7329063127025801</v>
      </c>
      <c r="R112" s="166">
        <v>1.0848896434635</v>
      </c>
      <c r="S112" s="166">
        <v>5.3324972989658903</v>
      </c>
      <c r="T112" s="166">
        <v>1.1614446673869401</v>
      </c>
      <c r="U112" s="166">
        <v>0.52863096156814304</v>
      </c>
      <c r="V112" s="166">
        <v>1.7645855841950899</v>
      </c>
      <c r="W112" s="166">
        <v>0.869655811081957</v>
      </c>
      <c r="X112" s="166">
        <v>7.0207584367389497E-2</v>
      </c>
      <c r="Y112" s="200">
        <v>9.4039197495071303</v>
      </c>
      <c r="Z112" s="206">
        <v>515</v>
      </c>
      <c r="AA112" s="206">
        <v>373</v>
      </c>
      <c r="AB112" s="166">
        <v>3160.85</v>
      </c>
      <c r="AC112" s="209"/>
      <c r="AD112" s="210">
        <v>1.1944798793923199E-2</v>
      </c>
      <c r="AE112" s="203">
        <v>8.65128145656964E-3</v>
      </c>
      <c r="AF112" s="166">
        <v>6.1375728155339804</v>
      </c>
      <c r="AG112" s="211">
        <v>7.3312072364606296E-2</v>
      </c>
      <c r="AH112" s="212">
        <v>0.43003057706069903</v>
      </c>
      <c r="AI112" s="212">
        <v>0.323856613102596</v>
      </c>
      <c r="AJ112" s="166">
        <v>0.69919981444972701</v>
      </c>
      <c r="AK112" s="213">
        <v>0.28154934477560001</v>
      </c>
      <c r="AL112" s="213">
        <v>3.1033283080134502E-2</v>
      </c>
      <c r="AM112" s="214">
        <v>0</v>
      </c>
      <c r="AN112" s="210"/>
    </row>
    <row r="113" spans="1:40" ht="16.05" hidden="1" customHeight="1" outlineLevel="1">
      <c r="A113" s="186">
        <v>43454</v>
      </c>
      <c r="B113" s="187" t="s">
        <v>51</v>
      </c>
      <c r="C113" s="188">
        <v>14620</v>
      </c>
      <c r="D113" s="188">
        <v>41891</v>
      </c>
      <c r="E113" s="189">
        <v>2.8653214774281799</v>
      </c>
      <c r="F113" s="167">
        <v>0.59758398071184704</v>
      </c>
      <c r="G113" s="192">
        <v>12.89</v>
      </c>
      <c r="H113" s="192">
        <v>26.16</v>
      </c>
      <c r="I113" s="176">
        <v>0.249</v>
      </c>
      <c r="J113" s="176">
        <v>0.123</v>
      </c>
      <c r="K113" s="176">
        <v>6.3E-2</v>
      </c>
      <c r="L113" s="174">
        <v>8.8348810006922704</v>
      </c>
      <c r="M113" s="177">
        <v>9.9786589004798198</v>
      </c>
      <c r="N113" s="167">
        <v>16.4631562364617</v>
      </c>
      <c r="O113" s="193">
        <f t="shared" si="10"/>
        <v>0.60612064643957098</v>
      </c>
      <c r="P113" s="167">
        <v>2.1648221810877901</v>
      </c>
      <c r="Q113" s="167">
        <v>2.9235162065298699</v>
      </c>
      <c r="R113" s="167">
        <v>1.1560395415698499</v>
      </c>
      <c r="S113" s="167">
        <v>5.6575164428340798</v>
      </c>
      <c r="T113" s="167">
        <v>1.2199598282856099</v>
      </c>
      <c r="U113" s="167">
        <v>0.55165216021424901</v>
      </c>
      <c r="V113" s="167">
        <v>1.8615257374660299</v>
      </c>
      <c r="W113" s="167">
        <v>0.92812413847426301</v>
      </c>
      <c r="X113" s="167">
        <v>7.1877014155785193E-2</v>
      </c>
      <c r="Y113" s="173">
        <v>10.050535914635599</v>
      </c>
      <c r="Z113" s="178">
        <v>514</v>
      </c>
      <c r="AA113" s="178">
        <v>360</v>
      </c>
      <c r="AB113" s="174">
        <v>2852.86</v>
      </c>
      <c r="AC113" s="194"/>
      <c r="AD113" s="195">
        <v>1.22699386503067E-2</v>
      </c>
      <c r="AE113" s="176">
        <v>8.5937313504093997E-3</v>
      </c>
      <c r="AF113" s="174">
        <v>5.5503112840466899</v>
      </c>
      <c r="AG113" s="180">
        <v>6.8101978945358202E-2</v>
      </c>
      <c r="AH113" s="181">
        <v>0.413337893296854</v>
      </c>
      <c r="AI113" s="181">
        <v>0.29316005471956202</v>
      </c>
      <c r="AJ113" s="174">
        <v>0.70974672363992297</v>
      </c>
      <c r="AK113" s="58">
        <v>0.28786612876274098</v>
      </c>
      <c r="AL113" s="58">
        <v>3.0841946957580399E-2</v>
      </c>
      <c r="AM113" s="182">
        <v>0</v>
      </c>
    </row>
    <row r="114" spans="1:40" ht="16.05" hidden="1" customHeight="1" outlineLevel="1">
      <c r="A114" s="186">
        <v>43455</v>
      </c>
      <c r="B114" s="187" t="s">
        <v>51</v>
      </c>
      <c r="C114" s="188">
        <v>15397</v>
      </c>
      <c r="D114" s="188">
        <v>42196</v>
      </c>
      <c r="E114" s="189">
        <v>2.7405338702344602</v>
      </c>
      <c r="F114" s="167">
        <v>0.55598134645464004</v>
      </c>
      <c r="G114" s="192">
        <v>12.35</v>
      </c>
      <c r="H114" s="192">
        <v>24.09</v>
      </c>
      <c r="I114" s="176">
        <v>0.23400000000000001</v>
      </c>
      <c r="J114" s="176">
        <v>0.115</v>
      </c>
      <c r="K114" s="176">
        <v>5.8000000000000003E-2</v>
      </c>
      <c r="L114" s="174">
        <v>8.3051711062660001</v>
      </c>
      <c r="M114" s="177">
        <v>9.2306142762347108</v>
      </c>
      <c r="N114" s="167">
        <v>15.5338198931164</v>
      </c>
      <c r="O114" s="193">
        <f t="shared" si="10"/>
        <v>0.59422694094226824</v>
      </c>
      <c r="P114" s="167">
        <v>2.1062455132806899</v>
      </c>
      <c r="Q114" s="167">
        <v>2.7385339395389598</v>
      </c>
      <c r="R114" s="167">
        <v>1.07725133604531</v>
      </c>
      <c r="S114" s="167">
        <v>5.3171013799154503</v>
      </c>
      <c r="T114" s="167">
        <v>1.1543032623434599</v>
      </c>
      <c r="U114" s="167">
        <v>0.52524527398899301</v>
      </c>
      <c r="V114" s="167">
        <v>1.73163436228763</v>
      </c>
      <c r="W114" s="167">
        <v>0.88350482571588096</v>
      </c>
      <c r="X114" s="167">
        <v>8.2448573324485699E-2</v>
      </c>
      <c r="Y114" s="173">
        <v>9.3130628495592003</v>
      </c>
      <c r="Z114" s="178">
        <v>486</v>
      </c>
      <c r="AA114" s="178">
        <v>338</v>
      </c>
      <c r="AB114" s="174">
        <v>2939.14</v>
      </c>
      <c r="AC114" s="194"/>
      <c r="AD114" s="195">
        <v>1.1517679400891099E-2</v>
      </c>
      <c r="AE114" s="176">
        <v>8.0102379372452397E-3</v>
      </c>
      <c r="AF114" s="174">
        <v>6.04761316872428</v>
      </c>
      <c r="AG114" s="180">
        <v>6.9654469617973294E-2</v>
      </c>
      <c r="AH114" s="181">
        <v>0.38468532831071001</v>
      </c>
      <c r="AI114" s="181">
        <v>0.25881665259466102</v>
      </c>
      <c r="AJ114" s="174">
        <v>0.64807090719499505</v>
      </c>
      <c r="AK114" s="58">
        <v>0.27832021992605899</v>
      </c>
      <c r="AL114" s="58">
        <v>3.06901128069011E-2</v>
      </c>
      <c r="AM114" s="182">
        <v>0</v>
      </c>
    </row>
    <row r="115" spans="1:40" ht="16.05" hidden="1" customHeight="1" outlineLevel="1">
      <c r="A115" s="186">
        <v>43456</v>
      </c>
      <c r="B115" s="185" t="s">
        <v>51</v>
      </c>
      <c r="C115" s="188">
        <v>16186</v>
      </c>
      <c r="D115" s="188">
        <v>42552</v>
      </c>
      <c r="E115" s="189">
        <v>2.6289385889039898</v>
      </c>
      <c r="F115" s="167">
        <v>0.71483608107727004</v>
      </c>
      <c r="G115" s="192">
        <v>12.42</v>
      </c>
      <c r="H115" s="192">
        <v>23.33</v>
      </c>
      <c r="I115" s="176">
        <v>0.27400000000000002</v>
      </c>
      <c r="J115" s="176">
        <v>0.124</v>
      </c>
      <c r="K115" s="176">
        <v>6.2E-2</v>
      </c>
      <c r="L115" s="174">
        <v>9.1829526226734295</v>
      </c>
      <c r="M115" s="177">
        <v>10.7036802030457</v>
      </c>
      <c r="N115" s="167">
        <v>17.685136289508399</v>
      </c>
      <c r="O115" s="193">
        <f t="shared" si="10"/>
        <v>0.6052359466065067</v>
      </c>
      <c r="P115" s="167">
        <v>2.4069659082084298</v>
      </c>
      <c r="Q115" s="167">
        <v>3.0894230022520799</v>
      </c>
      <c r="R115" s="167">
        <v>1.20722994486293</v>
      </c>
      <c r="S115" s="167">
        <v>6.1993865030674797</v>
      </c>
      <c r="T115" s="167">
        <v>1.32756076725945</v>
      </c>
      <c r="U115" s="167">
        <v>0.46583055059408202</v>
      </c>
      <c r="V115" s="167">
        <v>2.0429059563562899</v>
      </c>
      <c r="W115" s="167">
        <v>0.94583365690766497</v>
      </c>
      <c r="X115" s="167">
        <v>0.12062887760857301</v>
      </c>
      <c r="Y115" s="173">
        <v>10.824309080654301</v>
      </c>
      <c r="Z115" s="178">
        <v>588</v>
      </c>
      <c r="AA115" s="178">
        <v>394</v>
      </c>
      <c r="AB115" s="174">
        <v>4592.12</v>
      </c>
      <c r="AC115" s="194"/>
      <c r="AD115" s="195">
        <f t="shared" ref="AD115:AD123" si="18">Z115/D115</f>
        <v>1.3818386914833615E-2</v>
      </c>
      <c r="AE115" s="176">
        <f t="shared" ref="AE115:AE123" si="19">AA115/D115</f>
        <v>9.2592592592592587E-3</v>
      </c>
      <c r="AF115" s="174">
        <f t="shared" ref="AF115:AF123" si="20">AB115/Z115</f>
        <v>7.809727891156462</v>
      </c>
      <c r="AG115" s="180">
        <f t="shared" ref="AG115:AG123" si="21">AD115*AF115</f>
        <v>0.10791784169956758</v>
      </c>
      <c r="AH115" s="181">
        <v>0.43945384900531298</v>
      </c>
      <c r="AI115" s="181">
        <v>0.26096626714444598</v>
      </c>
      <c r="AJ115" s="174">
        <v>0.51024628689603302</v>
      </c>
      <c r="AK115" s="58">
        <v>0.23994171836811401</v>
      </c>
      <c r="AL115" s="58">
        <v>2.6414739612709199E-2</v>
      </c>
      <c r="AM115" s="182">
        <v>0.29319420943786401</v>
      </c>
    </row>
    <row r="116" spans="1:40" ht="16.05" hidden="1" customHeight="1" outlineLevel="1">
      <c r="A116" s="186">
        <v>43457</v>
      </c>
      <c r="B116" s="185" t="s">
        <v>51</v>
      </c>
      <c r="C116" s="188">
        <v>16048</v>
      </c>
      <c r="D116" s="188">
        <v>43874</v>
      </c>
      <c r="E116" s="189">
        <v>2.7339232303090699</v>
      </c>
      <c r="F116" s="167">
        <v>0.70417887523362399</v>
      </c>
      <c r="G116" s="192">
        <v>12.1</v>
      </c>
      <c r="H116" s="192">
        <v>23.13</v>
      </c>
      <c r="I116" s="176">
        <v>0.29199999999999998</v>
      </c>
      <c r="J116" s="176">
        <v>0.13600000000000001</v>
      </c>
      <c r="K116" s="176">
        <v>7.3999999999999996E-2</v>
      </c>
      <c r="L116" s="174">
        <v>9.6128002917445396</v>
      </c>
      <c r="M116" s="177">
        <v>11.3133974563523</v>
      </c>
      <c r="N116" s="167">
        <v>18.041071493475801</v>
      </c>
      <c r="O116" s="193">
        <f t="shared" si="10"/>
        <v>0.62709121575420657</v>
      </c>
      <c r="P116" s="167">
        <v>2.3491440409987998</v>
      </c>
      <c r="Q116" s="167">
        <v>3.1473121796968702</v>
      </c>
      <c r="R116" s="167">
        <v>1.2867008323338101</v>
      </c>
      <c r="S116" s="167">
        <v>6.4590920655690001</v>
      </c>
      <c r="T116" s="167">
        <v>1.31592338167412</v>
      </c>
      <c r="U116" s="167">
        <v>0.48747864645803801</v>
      </c>
      <c r="V116" s="167">
        <v>2.0287136989786601</v>
      </c>
      <c r="W116" s="167">
        <v>0.96670664776651005</v>
      </c>
      <c r="X116" s="167">
        <v>0.12772940693804999</v>
      </c>
      <c r="Y116" s="173">
        <v>11.4411268632903</v>
      </c>
      <c r="Z116" s="178">
        <v>594</v>
      </c>
      <c r="AA116" s="178">
        <v>418</v>
      </c>
      <c r="AB116" s="174">
        <v>4291.0600000000004</v>
      </c>
      <c r="AC116" s="194"/>
      <c r="AD116" s="195">
        <f t="shared" si="18"/>
        <v>1.3538770114418562E-2</v>
      </c>
      <c r="AE116" s="176">
        <f t="shared" si="19"/>
        <v>9.5272826731093579E-3</v>
      </c>
      <c r="AF116" s="174">
        <f t="shared" si="20"/>
        <v>7.2240067340067347</v>
      </c>
      <c r="AG116" s="180">
        <f t="shared" si="21"/>
        <v>9.7804166476728821E-2</v>
      </c>
      <c r="AH116" s="181">
        <v>0.49059072781655</v>
      </c>
      <c r="AI116" s="181">
        <v>0.32172233300099701</v>
      </c>
      <c r="AJ116" s="174">
        <v>0.55821215298354399</v>
      </c>
      <c r="AK116" s="58">
        <v>0.23515065870447199</v>
      </c>
      <c r="AL116" s="58">
        <v>2.5960705657109E-2</v>
      </c>
      <c r="AM116" s="182">
        <v>0.30649131604139102</v>
      </c>
    </row>
    <row r="117" spans="1:40" ht="16.05" hidden="1" customHeight="1" outlineLevel="1">
      <c r="A117" s="186">
        <v>43458</v>
      </c>
      <c r="B117" s="185" t="s">
        <v>51</v>
      </c>
      <c r="C117" s="188">
        <v>16781</v>
      </c>
      <c r="D117" s="188">
        <v>45818</v>
      </c>
      <c r="E117" s="189">
        <v>2.7303498003694702</v>
      </c>
      <c r="F117" s="167">
        <v>0.68671921727268703</v>
      </c>
      <c r="G117" s="192">
        <v>12.08</v>
      </c>
      <c r="H117" s="192">
        <v>23.71</v>
      </c>
      <c r="I117" s="176">
        <v>0.28699999999999998</v>
      </c>
      <c r="J117" s="176">
        <v>0.13700000000000001</v>
      </c>
      <c r="K117" s="176">
        <v>7.3999999999999996E-2</v>
      </c>
      <c r="L117" s="174">
        <v>9.6165917325068708</v>
      </c>
      <c r="M117" s="177">
        <v>11.0422323104457</v>
      </c>
      <c r="N117" s="167">
        <v>17.6751327557295</v>
      </c>
      <c r="O117" s="193">
        <f t="shared" si="10"/>
        <v>0.62473263782792776</v>
      </c>
      <c r="P117" s="167">
        <v>2.2975475125768599</v>
      </c>
      <c r="Q117" s="167">
        <v>3.15259921743991</v>
      </c>
      <c r="R117" s="167">
        <v>1.2720095025153699</v>
      </c>
      <c r="S117" s="167">
        <v>6.1983650083845703</v>
      </c>
      <c r="T117" s="167">
        <v>1.2923770262716601</v>
      </c>
      <c r="U117" s="167">
        <v>0.48441866964784802</v>
      </c>
      <c r="V117" s="167">
        <v>2.00918809390721</v>
      </c>
      <c r="W117" s="167">
        <v>0.96862772498602601</v>
      </c>
      <c r="X117" s="167">
        <v>0.108232572351478</v>
      </c>
      <c r="Y117" s="173">
        <v>11.1504648827972</v>
      </c>
      <c r="Z117" s="178">
        <v>593</v>
      </c>
      <c r="AA117" s="178">
        <v>406</v>
      </c>
      <c r="AB117" s="174">
        <v>4420.07</v>
      </c>
      <c r="AC117" s="194"/>
      <c r="AD117" s="195">
        <f t="shared" si="18"/>
        <v>1.2942511676633638E-2</v>
      </c>
      <c r="AE117" s="176">
        <f t="shared" si="19"/>
        <v>8.8611462743899781E-3</v>
      </c>
      <c r="AF117" s="174">
        <f t="shared" si="20"/>
        <v>7.4537436762225964</v>
      </c>
      <c r="AG117" s="180">
        <f t="shared" si="21"/>
        <v>9.6470164564145089E-2</v>
      </c>
      <c r="AH117" s="181">
        <v>0.47845777963172598</v>
      </c>
      <c r="AI117" s="181">
        <v>0.31511828854061102</v>
      </c>
      <c r="AJ117" s="174">
        <v>0.57512331398140504</v>
      </c>
      <c r="AK117" s="58">
        <v>0.232288620192937</v>
      </c>
      <c r="AL117" s="58">
        <v>2.5601292068619299E-2</v>
      </c>
      <c r="AM117" s="182">
        <v>0.29643371600681001</v>
      </c>
    </row>
    <row r="118" spans="1:40" ht="16.05" hidden="1" customHeight="1" outlineLevel="1">
      <c r="A118" s="186">
        <v>43459</v>
      </c>
      <c r="B118" s="185" t="s">
        <v>51</v>
      </c>
      <c r="C118" s="188">
        <v>19657</v>
      </c>
      <c r="D118" s="188">
        <v>48110</v>
      </c>
      <c r="E118" s="189">
        <v>2.44747418222516</v>
      </c>
      <c r="F118" s="167">
        <v>0.21256513406776101</v>
      </c>
      <c r="G118" s="192">
        <v>11.69</v>
      </c>
      <c r="H118" s="192">
        <v>23.81</v>
      </c>
      <c r="I118" s="176">
        <v>0.27300000000000002</v>
      </c>
      <c r="J118" s="176">
        <v>0.13300000000000001</v>
      </c>
      <c r="K118" s="176">
        <v>6.5000000000000002E-2</v>
      </c>
      <c r="L118" s="174">
        <v>8.4108293494076101</v>
      </c>
      <c r="M118" s="177">
        <v>9.4268551236749101</v>
      </c>
      <c r="N118" s="167">
        <v>15.917661097851999</v>
      </c>
      <c r="O118" s="193">
        <f t="shared" si="10"/>
        <v>0.59222614840989496</v>
      </c>
      <c r="P118" s="167">
        <v>2.17468061210164</v>
      </c>
      <c r="Q118" s="167">
        <v>2.84585146707848</v>
      </c>
      <c r="R118" s="167">
        <v>1.0895690018250701</v>
      </c>
      <c r="S118" s="167">
        <v>5.4552154990874602</v>
      </c>
      <c r="T118" s="167">
        <v>1.19517759371052</v>
      </c>
      <c r="U118" s="167">
        <v>0.48045065281482502</v>
      </c>
      <c r="V118" s="167">
        <v>1.7937315737750901</v>
      </c>
      <c r="W118" s="167">
        <v>0.88298469745893604</v>
      </c>
      <c r="X118" s="167">
        <v>9.9625857410101895E-2</v>
      </c>
      <c r="Y118" s="173">
        <v>9.52648098108501</v>
      </c>
      <c r="Z118" s="178">
        <v>594</v>
      </c>
      <c r="AA118" s="178">
        <v>379</v>
      </c>
      <c r="AB118" s="174">
        <v>4427.0600000000004</v>
      </c>
      <c r="AC118" s="194"/>
      <c r="AD118" s="195">
        <f t="shared" si="18"/>
        <v>1.2346705466638953E-2</v>
      </c>
      <c r="AE118" s="176">
        <f t="shared" si="19"/>
        <v>7.8777800872999373E-3</v>
      </c>
      <c r="AF118" s="174">
        <f t="shared" si="20"/>
        <v>7.4529629629629639</v>
      </c>
      <c r="AG118" s="180">
        <f t="shared" si="21"/>
        <v>9.2019538557472469E-2</v>
      </c>
      <c r="AH118" s="181">
        <v>0.43699445490156202</v>
      </c>
      <c r="AI118" s="181">
        <v>0.28483491885842199</v>
      </c>
      <c r="AJ118" s="174">
        <v>0.50074828517979597</v>
      </c>
      <c r="AK118" s="58">
        <v>0.206983995011432</v>
      </c>
      <c r="AL118" s="58">
        <v>8.3683225940552899E-2</v>
      </c>
      <c r="AM118" s="182">
        <v>0.26553731033049299</v>
      </c>
    </row>
    <row r="119" spans="1:40" s="166" customFormat="1" ht="16.05" hidden="1" customHeight="1" outlineLevel="1">
      <c r="A119" s="196">
        <v>43460</v>
      </c>
      <c r="B119" s="185" t="s">
        <v>51</v>
      </c>
      <c r="C119" s="198">
        <v>23616</v>
      </c>
      <c r="D119" s="198">
        <v>53309</v>
      </c>
      <c r="E119" s="200">
        <v>2.2573255420054199</v>
      </c>
      <c r="F119" s="166">
        <v>0.19183456076835101</v>
      </c>
      <c r="G119" s="201">
        <v>12.17</v>
      </c>
      <c r="H119" s="201">
        <v>24.47</v>
      </c>
      <c r="I119" s="203">
        <v>0.26800000000000002</v>
      </c>
      <c r="J119" s="203">
        <v>0.129</v>
      </c>
      <c r="K119" s="203">
        <v>6.9000000000000006E-2</v>
      </c>
      <c r="L119" s="166">
        <v>8.9393910971880892</v>
      </c>
      <c r="M119" s="204">
        <v>9.8579977114558499</v>
      </c>
      <c r="N119" s="166">
        <v>16.8955761316872</v>
      </c>
      <c r="O119" s="205">
        <f t="shared" si="10"/>
        <v>0.58346620645669722</v>
      </c>
      <c r="P119" s="166">
        <v>2.2554655349794199</v>
      </c>
      <c r="Q119" s="166">
        <v>2.90444958847737</v>
      </c>
      <c r="R119" s="166">
        <v>1.1549318415637899</v>
      </c>
      <c r="S119" s="166">
        <v>5.9790380658436204</v>
      </c>
      <c r="T119" s="166">
        <v>1.2385223765432101</v>
      </c>
      <c r="U119" s="166">
        <v>0.53681198559670795</v>
      </c>
      <c r="V119" s="166">
        <v>1.90367798353909</v>
      </c>
      <c r="W119" s="166">
        <v>0.92267875514403297</v>
      </c>
      <c r="X119" s="166">
        <v>0.11906057138569499</v>
      </c>
      <c r="Y119" s="200">
        <v>9.9770582828415506</v>
      </c>
      <c r="Z119" s="206">
        <v>610</v>
      </c>
      <c r="AA119" s="206">
        <v>404</v>
      </c>
      <c r="AB119" s="166">
        <v>4528.8999999999996</v>
      </c>
      <c r="AC119" s="209"/>
      <c r="AD119" s="210">
        <f t="shared" si="18"/>
        <v>1.1442720741338236E-2</v>
      </c>
      <c r="AE119" s="203">
        <f t="shared" si="19"/>
        <v>7.5784576713125362E-3</v>
      </c>
      <c r="AF119" s="166">
        <f t="shared" si="20"/>
        <v>7.424426229508196</v>
      </c>
      <c r="AG119" s="211">
        <f t="shared" si="21"/>
        <v>8.4955636008929067E-2</v>
      </c>
      <c r="AH119" s="212">
        <v>0.427591463414634</v>
      </c>
      <c r="AI119" s="212">
        <v>0.287855691056911</v>
      </c>
      <c r="AJ119" s="166">
        <v>0.57570016319946005</v>
      </c>
      <c r="AK119" s="213">
        <v>0.217036522913579</v>
      </c>
      <c r="AL119" s="213">
        <v>9.5255960531992701E-2</v>
      </c>
      <c r="AM119" s="214">
        <v>0.21107130128120999</v>
      </c>
      <c r="AN119" s="210"/>
    </row>
    <row r="120" spans="1:40" ht="16.05" hidden="1" customHeight="1" outlineLevel="1">
      <c r="A120" s="186">
        <v>43461</v>
      </c>
      <c r="B120" s="187" t="s">
        <v>51</v>
      </c>
      <c r="C120" s="188">
        <v>22227</v>
      </c>
      <c r="D120" s="188">
        <v>53562</v>
      </c>
      <c r="E120" s="189">
        <v>2.4097718990417101</v>
      </c>
      <c r="F120" s="167">
        <v>0.190928430603786</v>
      </c>
      <c r="G120" s="192">
        <v>12.84</v>
      </c>
      <c r="H120" s="192">
        <v>25.12</v>
      </c>
      <c r="I120" s="176">
        <v>0.27</v>
      </c>
      <c r="J120" s="176">
        <v>0.127</v>
      </c>
      <c r="K120" s="176">
        <v>6.9000000000000006E-2</v>
      </c>
      <c r="L120" s="174">
        <v>9.0931257234606608</v>
      </c>
      <c r="M120" s="177">
        <v>10.0183525633845</v>
      </c>
      <c r="N120" s="167">
        <v>16.822465358329701</v>
      </c>
      <c r="O120" s="193">
        <f t="shared" si="10"/>
        <v>0.59553414734326549</v>
      </c>
      <c r="P120" s="167">
        <v>2.1544924446673801</v>
      </c>
      <c r="Q120" s="167">
        <v>2.8365414759546099</v>
      </c>
      <c r="R120" s="167">
        <v>1.1501661546178401</v>
      </c>
      <c r="S120" s="167">
        <v>6.1480657094488702</v>
      </c>
      <c r="T120" s="167">
        <v>1.17530879678977</v>
      </c>
      <c r="U120" s="167">
        <v>0.55608502100445201</v>
      </c>
      <c r="V120" s="167">
        <v>1.88594896231739</v>
      </c>
      <c r="W120" s="167">
        <v>0.91585679352937499</v>
      </c>
      <c r="X120" s="167">
        <v>0.11648183413614099</v>
      </c>
      <c r="Y120" s="173">
        <v>10.134834397520599</v>
      </c>
      <c r="Z120" s="178">
        <v>651</v>
      </c>
      <c r="AA120" s="178">
        <v>448</v>
      </c>
      <c r="AB120" s="174">
        <v>4183.49</v>
      </c>
      <c r="AC120" s="194"/>
      <c r="AD120" s="195">
        <f t="shared" si="18"/>
        <v>1.2154139128486613E-2</v>
      </c>
      <c r="AE120" s="176">
        <f t="shared" si="19"/>
        <v>8.364138755087562E-3</v>
      </c>
      <c r="AF120" s="174">
        <f t="shared" si="20"/>
        <v>6.4262519201228878</v>
      </c>
      <c r="AG120" s="180">
        <f t="shared" si="21"/>
        <v>7.8105559911877814E-2</v>
      </c>
      <c r="AH120" s="181">
        <v>0.42799298150897602</v>
      </c>
      <c r="AI120" s="181">
        <v>0.299050704098619</v>
      </c>
      <c r="AJ120" s="174">
        <v>0.69286061013404998</v>
      </c>
      <c r="AK120" s="58">
        <v>0.25008401478660203</v>
      </c>
      <c r="AL120" s="58">
        <v>0.11608976513199699</v>
      </c>
      <c r="AM120" s="182">
        <v>0</v>
      </c>
    </row>
    <row r="121" spans="1:40" ht="16.05" hidden="1" customHeight="1" outlineLevel="1">
      <c r="A121" s="186">
        <v>43462</v>
      </c>
      <c r="B121" s="187" t="s">
        <v>51</v>
      </c>
      <c r="C121" s="188">
        <v>19903</v>
      </c>
      <c r="D121" s="188">
        <v>52024</v>
      </c>
      <c r="E121" s="189">
        <v>2.6138773049289101</v>
      </c>
      <c r="F121" s="167">
        <v>0.19657290096878399</v>
      </c>
      <c r="G121" s="192">
        <v>13.39</v>
      </c>
      <c r="H121" s="192">
        <v>26.31</v>
      </c>
      <c r="I121" s="176">
        <v>0.27900000000000003</v>
      </c>
      <c r="J121" s="176">
        <v>0.13800000000000001</v>
      </c>
      <c r="K121" s="176">
        <v>7.0999999999999994E-2</v>
      </c>
      <c r="L121" s="174">
        <v>9.5547055205289908</v>
      </c>
      <c r="M121" s="177">
        <v>10.4402006766108</v>
      </c>
      <c r="N121" s="167">
        <v>16.9435051160469</v>
      </c>
      <c r="O121" s="193">
        <f t="shared" si="10"/>
        <v>0.61617714900815101</v>
      </c>
      <c r="P121" s="167">
        <v>2.18105814824058</v>
      </c>
      <c r="Q121" s="167">
        <v>2.9446593461442498</v>
      </c>
      <c r="R121" s="167">
        <v>1.1152982281008199</v>
      </c>
      <c r="S121" s="167">
        <v>6.1426566009483397</v>
      </c>
      <c r="T121" s="167">
        <v>1.18838906912902</v>
      </c>
      <c r="U121" s="167">
        <v>0.55683803344147698</v>
      </c>
      <c r="V121" s="167">
        <v>1.8742513102071401</v>
      </c>
      <c r="W121" s="167">
        <v>0.94035437983528802</v>
      </c>
      <c r="X121" s="167">
        <v>0.116138705212979</v>
      </c>
      <c r="Y121" s="173">
        <v>10.5563393818238</v>
      </c>
      <c r="Z121" s="178">
        <v>719</v>
      </c>
      <c r="AA121" s="178">
        <v>464</v>
      </c>
      <c r="AB121" s="174">
        <v>4538.8100000000004</v>
      </c>
      <c r="AC121" s="194"/>
      <c r="AD121" s="195">
        <f t="shared" si="18"/>
        <v>1.3820544364139627E-2</v>
      </c>
      <c r="AE121" s="176">
        <f t="shared" si="19"/>
        <v>8.9189604797785642E-3</v>
      </c>
      <c r="AF121" s="174">
        <f t="shared" si="20"/>
        <v>6.3126703755215585</v>
      </c>
      <c r="AG121" s="180">
        <f t="shared" si="21"/>
        <v>8.7244540981085653E-2</v>
      </c>
      <c r="AH121" s="181">
        <v>0.45947847058232399</v>
      </c>
      <c r="AI121" s="181">
        <v>0.321911269657841</v>
      </c>
      <c r="AJ121" s="174">
        <v>0.69264185760418295</v>
      </c>
      <c r="AK121" s="58">
        <v>0.27085575888051699</v>
      </c>
      <c r="AL121" s="58">
        <v>0.11337075196063399</v>
      </c>
      <c r="AM121" s="182">
        <v>0</v>
      </c>
    </row>
    <row r="122" spans="1:40" ht="16.05" hidden="1" customHeight="1" outlineLevel="1">
      <c r="A122" s="186">
        <v>43463</v>
      </c>
      <c r="B122" s="199" t="s">
        <v>51</v>
      </c>
      <c r="C122" s="188">
        <v>22424</v>
      </c>
      <c r="D122" s="188">
        <v>54420</v>
      </c>
      <c r="E122" s="189">
        <v>2.4268640742062102</v>
      </c>
      <c r="F122" s="167">
        <v>0.187918202866593</v>
      </c>
      <c r="G122" s="192">
        <v>12.85</v>
      </c>
      <c r="H122" s="192">
        <v>25.53</v>
      </c>
      <c r="I122" s="176">
        <v>0.28199999999999997</v>
      </c>
      <c r="J122" s="176">
        <v>0.125</v>
      </c>
      <c r="K122" s="176">
        <v>7.0000000000000007E-2</v>
      </c>
      <c r="L122" s="174">
        <v>9.2949467107680999</v>
      </c>
      <c r="M122" s="177">
        <v>10.1157111356119</v>
      </c>
      <c r="N122" s="167">
        <v>16.634847248662901</v>
      </c>
      <c r="O122" s="193">
        <f t="shared" si="10"/>
        <v>0.60810363836824499</v>
      </c>
      <c r="P122" s="167">
        <v>2.1863536095246698</v>
      </c>
      <c r="Q122" s="167">
        <v>2.8571299066267799</v>
      </c>
      <c r="R122" s="167">
        <v>1.07472879460913</v>
      </c>
      <c r="S122" s="167">
        <v>6.0323935575499297</v>
      </c>
      <c r="T122" s="167">
        <v>1.16725591514822</v>
      </c>
      <c r="U122" s="167">
        <v>0.55404466201311497</v>
      </c>
      <c r="V122" s="167">
        <v>1.84591907654187</v>
      </c>
      <c r="W122" s="167">
        <v>0.91702172664913995</v>
      </c>
      <c r="X122" s="167">
        <v>0.105861815509004</v>
      </c>
      <c r="Y122" s="173">
        <v>10.221572951120899</v>
      </c>
      <c r="Z122" s="178">
        <v>749</v>
      </c>
      <c r="AA122" s="178">
        <v>492</v>
      </c>
      <c r="AB122" s="174">
        <v>5144.51</v>
      </c>
      <c r="AC122" s="194"/>
      <c r="AD122" s="195">
        <f t="shared" si="18"/>
        <v>1.376332230797501E-2</v>
      </c>
      <c r="AE122" s="176">
        <f t="shared" si="19"/>
        <v>9.0407938257993387E-3</v>
      </c>
      <c r="AF122" s="174">
        <f t="shared" si="20"/>
        <v>6.8685046728971964</v>
      </c>
      <c r="AG122" s="180">
        <f t="shared" si="21"/>
        <v>9.453344358691658E-2</v>
      </c>
      <c r="AH122" s="181">
        <v>0.455672493756689</v>
      </c>
      <c r="AI122" s="181">
        <v>0.30503032465215801</v>
      </c>
      <c r="AJ122" s="174">
        <v>0.66618890113928697</v>
      </c>
      <c r="AK122" s="58">
        <v>0.26286291804483602</v>
      </c>
      <c r="AL122" s="58">
        <v>0.11209114296214601</v>
      </c>
      <c r="AM122" s="182">
        <v>0</v>
      </c>
    </row>
    <row r="123" spans="1:40" ht="16.05" hidden="1" customHeight="1" outlineLevel="1">
      <c r="A123" s="186">
        <v>43464</v>
      </c>
      <c r="B123" s="185" t="s">
        <v>51</v>
      </c>
      <c r="C123" s="188">
        <v>27558</v>
      </c>
      <c r="D123" s="188">
        <v>61135</v>
      </c>
      <c r="E123" s="189">
        <v>2.2184120763480699</v>
      </c>
      <c r="F123" s="167">
        <v>0.16727747771325699</v>
      </c>
      <c r="G123" s="192">
        <v>12.23</v>
      </c>
      <c r="H123" s="192">
        <v>24.92</v>
      </c>
      <c r="I123" s="176">
        <v>0.28000000000000003</v>
      </c>
      <c r="J123" s="176">
        <v>0.13600000000000001</v>
      </c>
      <c r="K123" s="176">
        <v>7.4999999999999997E-2</v>
      </c>
      <c r="L123" s="174">
        <v>10.1889588615359</v>
      </c>
      <c r="M123" s="177">
        <v>11.6343502085548</v>
      </c>
      <c r="N123" s="167">
        <v>19.360498666231202</v>
      </c>
      <c r="O123" s="193">
        <f t="shared" si="10"/>
        <v>0.60093236280362772</v>
      </c>
      <c r="P123" s="167">
        <v>2.5535140726223502</v>
      </c>
      <c r="Q123" s="167">
        <v>3.43265828297675</v>
      </c>
      <c r="R123" s="167">
        <v>1.1565953508628699</v>
      </c>
      <c r="S123" s="167">
        <v>7.0694920790462197</v>
      </c>
      <c r="T123" s="167">
        <v>1.3764494528825699</v>
      </c>
      <c r="U123" s="167">
        <v>0.51935325820676104</v>
      </c>
      <c r="V123" s="167">
        <v>2.2194458054330699</v>
      </c>
      <c r="W123" s="167">
        <v>1.03296314442811</v>
      </c>
      <c r="X123" s="167">
        <v>0.161298765028216</v>
      </c>
      <c r="Y123" s="173">
        <v>11.7956489735831</v>
      </c>
      <c r="Z123" s="178">
        <v>906</v>
      </c>
      <c r="AA123" s="178">
        <v>585</v>
      </c>
      <c r="AB123" s="174">
        <v>6549.94</v>
      </c>
      <c r="AC123" s="194"/>
      <c r="AD123" s="195">
        <f t="shared" si="18"/>
        <v>1.4819661405087102E-2</v>
      </c>
      <c r="AE123" s="176">
        <f t="shared" si="19"/>
        <v>9.5689866688476316E-3</v>
      </c>
      <c r="AF123" s="174">
        <f t="shared" si="20"/>
        <v>7.2295143487858713</v>
      </c>
      <c r="AG123" s="180">
        <f t="shared" si="21"/>
        <v>0.10713895477222539</v>
      </c>
      <c r="AH123" s="181">
        <v>0.45253646853908103</v>
      </c>
      <c r="AI123" s="181">
        <v>0.30154583061180101</v>
      </c>
      <c r="AJ123" s="174">
        <v>0.55418336468471396</v>
      </c>
      <c r="AK123" s="58">
        <v>0.22227856383413799</v>
      </c>
      <c r="AL123" s="58">
        <v>7.9316267277336996E-2</v>
      </c>
      <c r="AM123" s="182">
        <v>0.287331315940133</v>
      </c>
    </row>
    <row r="124" spans="1:40" ht="16.05" hidden="1" customHeight="1" outlineLevel="1">
      <c r="A124" s="186">
        <v>43465</v>
      </c>
      <c r="B124" s="185" t="s">
        <v>51</v>
      </c>
      <c r="C124" s="188">
        <v>32808</v>
      </c>
      <c r="D124" s="188">
        <v>69398</v>
      </c>
      <c r="E124" s="189">
        <v>2.1152767617654198</v>
      </c>
      <c r="F124" s="167">
        <v>0.70122785797861598</v>
      </c>
      <c r="G124" s="192">
        <v>12.68</v>
      </c>
      <c r="H124" s="192">
        <v>25.58</v>
      </c>
      <c r="I124" s="176">
        <v>0.26400000000000001</v>
      </c>
      <c r="J124" s="176">
        <v>0.13500000000000001</v>
      </c>
      <c r="K124" s="176">
        <v>7.3999999999999996E-2</v>
      </c>
      <c r="L124" s="174">
        <v>9.7953111040663998</v>
      </c>
      <c r="M124" s="177">
        <v>11.0081270353612</v>
      </c>
      <c r="N124" s="167">
        <v>18.538231939624801</v>
      </c>
      <c r="O124" s="193">
        <f t="shared" si="10"/>
        <v>0.59380673794633709</v>
      </c>
      <c r="P124" s="167">
        <v>2.4298575553883901</v>
      </c>
      <c r="Q124" s="167">
        <v>3.4256351767817699</v>
      </c>
      <c r="R124" s="167">
        <v>1.1340726540318899</v>
      </c>
      <c r="S124" s="167">
        <v>6.5734669611007304</v>
      </c>
      <c r="T124" s="167">
        <v>1.3279866048678699</v>
      </c>
      <c r="U124" s="167">
        <v>0.52808852435147702</v>
      </c>
      <c r="V124" s="167">
        <v>2.1048800019413201</v>
      </c>
      <c r="W124" s="167">
        <v>1.0142444611614001</v>
      </c>
      <c r="X124" s="167">
        <v>0.17447188679789</v>
      </c>
      <c r="Y124" s="173">
        <v>11.1825989221591</v>
      </c>
      <c r="Z124" s="178">
        <v>889</v>
      </c>
      <c r="AA124" s="178">
        <v>583</v>
      </c>
      <c r="AB124" s="174">
        <v>6246.11</v>
      </c>
      <c r="AC124" s="194"/>
      <c r="AD124" s="195">
        <v>1.2810167439983901E-2</v>
      </c>
      <c r="AE124" s="176">
        <v>8.4008184673909896E-3</v>
      </c>
      <c r="AF124" s="174">
        <v>7.0259955005624297</v>
      </c>
      <c r="AG124" s="180">
        <v>9.00041787947779E-2</v>
      </c>
      <c r="AH124" s="181">
        <v>0.44358083394294101</v>
      </c>
      <c r="AI124" s="181">
        <v>0.29578151670324299</v>
      </c>
      <c r="AJ124" s="174">
        <v>0.52662900948154101</v>
      </c>
      <c r="AK124" s="58">
        <v>0.20543819706619801</v>
      </c>
      <c r="AL124" s="58">
        <v>7.5737052941006994E-2</v>
      </c>
      <c r="AM124" s="182">
        <v>0.27954696100752202</v>
      </c>
    </row>
    <row r="125" spans="1:40" ht="16.05" customHeight="1" collapsed="1">
      <c r="A125" s="186">
        <v>43466</v>
      </c>
      <c r="B125" s="185" t="s">
        <v>51</v>
      </c>
      <c r="C125" s="188">
        <v>36923</v>
      </c>
      <c r="D125" s="188">
        <v>73799</v>
      </c>
      <c r="E125" s="189">
        <v>1.9987270806814199</v>
      </c>
      <c r="F125" s="167">
        <v>0.188323893277687</v>
      </c>
      <c r="G125" s="192">
        <v>12.9</v>
      </c>
      <c r="H125" s="192">
        <v>27.98</v>
      </c>
      <c r="I125" s="176">
        <v>0.27200000000000002</v>
      </c>
      <c r="J125" s="176">
        <v>0.127</v>
      </c>
      <c r="K125" s="176">
        <v>6.4000000000000001E-2</v>
      </c>
      <c r="L125" s="174">
        <v>8.5401157197252004</v>
      </c>
      <c r="M125" s="177">
        <v>8.8839415168227198</v>
      </c>
      <c r="N125" s="167">
        <v>15.9667332326725</v>
      </c>
      <c r="O125" s="193">
        <f t="shared" si="10"/>
        <v>0.55640320329543902</v>
      </c>
      <c r="P125" s="167">
        <v>2.2778724855097199</v>
      </c>
      <c r="Q125" s="167">
        <v>3.0313915542350598</v>
      </c>
      <c r="R125" s="167">
        <v>0.89713116750280097</v>
      </c>
      <c r="S125" s="167">
        <v>5.3521260532852803</v>
      </c>
      <c r="T125" s="167">
        <v>1.19399931810433</v>
      </c>
      <c r="U125" s="167">
        <v>0.50830451512347197</v>
      </c>
      <c r="V125" s="167">
        <v>1.8018606010423299</v>
      </c>
      <c r="W125" s="167">
        <v>0.90404753786956304</v>
      </c>
      <c r="X125" s="167">
        <v>0.119093754657922</v>
      </c>
      <c r="Y125" s="173">
        <v>9.0030352714806394</v>
      </c>
      <c r="Z125" s="178">
        <v>750</v>
      </c>
      <c r="AA125" s="178">
        <v>472</v>
      </c>
      <c r="AB125" s="174">
        <v>6016.5</v>
      </c>
      <c r="AC125" s="194"/>
      <c r="AD125" s="195">
        <v>1.01627393325113E-2</v>
      </c>
      <c r="AE125" s="176">
        <v>6.3957506199270996E-3</v>
      </c>
      <c r="AF125" s="174">
        <v>8.0220000000000002</v>
      </c>
      <c r="AG125" s="180">
        <v>8.1525494925405506E-2</v>
      </c>
      <c r="AH125" s="181">
        <v>0.40657584703301503</v>
      </c>
      <c r="AI125" s="181">
        <v>0.259919291498524</v>
      </c>
      <c r="AJ125" s="174">
        <v>0.43753980406238602</v>
      </c>
      <c r="AK125" s="58">
        <v>0.179189419910839</v>
      </c>
      <c r="AL125" s="58">
        <v>1.6653342186208502E-2</v>
      </c>
      <c r="AM125" s="182">
        <v>0.23863466984647499</v>
      </c>
    </row>
    <row r="126" spans="1:40" s="166" customFormat="1" ht="16.05" hidden="1" customHeight="1" outlineLevel="1">
      <c r="A126" s="196">
        <v>43467</v>
      </c>
      <c r="B126" s="185" t="s">
        <v>51</v>
      </c>
      <c r="C126" s="198">
        <v>44210</v>
      </c>
      <c r="D126" s="198">
        <v>87453</v>
      </c>
      <c r="E126" s="200">
        <v>1.9781271205609601</v>
      </c>
      <c r="F126" s="166">
        <v>0.18363883228705699</v>
      </c>
      <c r="G126" s="201">
        <v>13.18</v>
      </c>
      <c r="H126" s="201">
        <v>29.57</v>
      </c>
      <c r="I126" s="203">
        <v>0.27900000000000003</v>
      </c>
      <c r="J126" s="203">
        <v>0.13800000000000001</v>
      </c>
      <c r="K126" s="203">
        <v>6.9000000000000006E-2</v>
      </c>
      <c r="L126" s="166">
        <v>9.4225469680857206</v>
      </c>
      <c r="M126" s="204">
        <v>10.288166214995501</v>
      </c>
      <c r="N126" s="166">
        <v>17.6833922955975</v>
      </c>
      <c r="O126" s="205">
        <f t="shared" si="10"/>
        <v>0.58179822304552209</v>
      </c>
      <c r="P126" s="166">
        <v>2.3565841194968602</v>
      </c>
      <c r="Q126" s="166">
        <v>3.2003341194968602</v>
      </c>
      <c r="R126" s="166">
        <v>1.0206957547169799</v>
      </c>
      <c r="S126" s="166">
        <v>6.2647798742138399</v>
      </c>
      <c r="T126" s="166">
        <v>1.27061713836478</v>
      </c>
      <c r="U126" s="166">
        <v>0.58018867924528295</v>
      </c>
      <c r="V126" s="166">
        <v>2.0044025157232701</v>
      </c>
      <c r="W126" s="166">
        <v>0.98579009433962295</v>
      </c>
      <c r="X126" s="166">
        <v>0.136747738785405</v>
      </c>
      <c r="Y126" s="200">
        <v>10.4249139537809</v>
      </c>
      <c r="Z126" s="206">
        <v>1072</v>
      </c>
      <c r="AA126" s="206">
        <v>681</v>
      </c>
      <c r="AB126" s="166">
        <v>6952.28</v>
      </c>
      <c r="AC126" s="209"/>
      <c r="AD126" s="210">
        <v>1.22580128754874E-2</v>
      </c>
      <c r="AE126" s="203">
        <v>7.7870398957154098E-3</v>
      </c>
      <c r="AF126" s="166">
        <v>6.4853358208955196</v>
      </c>
      <c r="AG126" s="211">
        <v>7.9497329994397001E-2</v>
      </c>
      <c r="AH126" s="212">
        <v>0.455824474100882</v>
      </c>
      <c r="AI126" s="212">
        <v>0.30909296539244502</v>
      </c>
      <c r="AJ126" s="166">
        <v>0.541673813362606</v>
      </c>
      <c r="AK126" s="213">
        <v>0.20063348312807999</v>
      </c>
      <c r="AL126" s="213">
        <v>1.8272672178198598E-2</v>
      </c>
      <c r="AM126" s="214">
        <v>0.20402959303854601</v>
      </c>
      <c r="AN126" s="210"/>
    </row>
    <row r="127" spans="1:40" ht="16.05" hidden="1" customHeight="1" outlineLevel="1">
      <c r="A127" s="186">
        <v>43468</v>
      </c>
      <c r="B127" s="187" t="s">
        <v>51</v>
      </c>
      <c r="C127" s="188">
        <v>27544</v>
      </c>
      <c r="D127" s="188">
        <v>74598</v>
      </c>
      <c r="E127" s="189">
        <v>2.7083212314841698</v>
      </c>
      <c r="F127" s="167">
        <v>0.21364883374889401</v>
      </c>
      <c r="G127" s="192">
        <v>13.11</v>
      </c>
      <c r="H127" s="192">
        <v>26.62</v>
      </c>
      <c r="I127" s="176">
        <v>0.32200000000000001</v>
      </c>
      <c r="J127" s="176">
        <v>0.159</v>
      </c>
      <c r="K127" s="176">
        <v>0.08</v>
      </c>
      <c r="L127" s="174">
        <v>10.563889112308599</v>
      </c>
      <c r="M127" s="177">
        <v>11.672390680715299</v>
      </c>
      <c r="N127" s="167">
        <v>17.750942857725299</v>
      </c>
      <c r="O127" s="193">
        <f t="shared" si="10"/>
        <v>0.65756454596638036</v>
      </c>
      <c r="P127" s="167">
        <v>2.2229017593215499</v>
      </c>
      <c r="Q127" s="167">
        <v>3.1816606527633402</v>
      </c>
      <c r="R127" s="167">
        <v>1.07371618453509</v>
      </c>
      <c r="S127" s="167">
        <v>6.4366297678021702</v>
      </c>
      <c r="T127" s="167">
        <v>1.2255519540089299</v>
      </c>
      <c r="U127" s="167">
        <v>0.58393982019448398</v>
      </c>
      <c r="V127" s="167">
        <v>2.0261757690661102</v>
      </c>
      <c r="W127" s="167">
        <v>1.0003669500336401</v>
      </c>
      <c r="X127" s="167">
        <v>0.15082173784819999</v>
      </c>
      <c r="Y127" s="173">
        <v>11.8232124185635</v>
      </c>
      <c r="Z127" s="178">
        <v>1053</v>
      </c>
      <c r="AA127" s="178">
        <v>704</v>
      </c>
      <c r="AB127" s="174">
        <v>6899.47</v>
      </c>
      <c r="AC127" s="194"/>
      <c r="AD127" s="195">
        <v>1.41156599372637E-2</v>
      </c>
      <c r="AE127" s="176">
        <v>9.4372503284270402E-3</v>
      </c>
      <c r="AF127" s="174">
        <v>6.5522032288699004</v>
      </c>
      <c r="AG127" s="180">
        <v>9.2488672618568898E-2</v>
      </c>
      <c r="AH127" s="181">
        <v>0.55006534998547796</v>
      </c>
      <c r="AI127" s="181">
        <v>0.42695323845483601</v>
      </c>
      <c r="AJ127" s="174">
        <v>0.731024960454704</v>
      </c>
      <c r="AK127" s="58">
        <v>0.281817206895627</v>
      </c>
      <c r="AL127" s="58">
        <v>2.3874634708705302E-2</v>
      </c>
      <c r="AM127" s="182">
        <v>0</v>
      </c>
    </row>
    <row r="128" spans="1:40" ht="16.05" hidden="1" customHeight="1" outlineLevel="1">
      <c r="A128" s="186">
        <v>43469</v>
      </c>
      <c r="B128" s="187" t="s">
        <v>51</v>
      </c>
      <c r="C128" s="188">
        <v>21387</v>
      </c>
      <c r="D128" s="188">
        <v>68718</v>
      </c>
      <c r="E128" s="189">
        <v>3.21307336232291</v>
      </c>
      <c r="F128" s="167">
        <v>0.24094048284292299</v>
      </c>
      <c r="G128" s="192">
        <v>12.98</v>
      </c>
      <c r="H128" s="192">
        <v>26.01</v>
      </c>
      <c r="I128" s="176">
        <v>0.32400000000000001</v>
      </c>
      <c r="J128" s="176">
        <v>0.159</v>
      </c>
      <c r="K128" s="176">
        <v>8.3000000000000004E-2</v>
      </c>
      <c r="L128" s="174">
        <v>10.412366483308601</v>
      </c>
      <c r="M128" s="177">
        <v>11.8276725166623</v>
      </c>
      <c r="N128" s="167">
        <v>17.328458127238601</v>
      </c>
      <c r="O128" s="193">
        <f t="shared" si="10"/>
        <v>0.68255769958380674</v>
      </c>
      <c r="P128" s="167">
        <v>2.2045667746887299</v>
      </c>
      <c r="Q128" s="167">
        <v>3.14896384103701</v>
      </c>
      <c r="R128" s="167">
        <v>1.08423588606515</v>
      </c>
      <c r="S128" s="167">
        <v>6.1651458297799797</v>
      </c>
      <c r="T128" s="167">
        <v>1.2131801125703601</v>
      </c>
      <c r="U128" s="167">
        <v>0.56347006651884701</v>
      </c>
      <c r="V128" s="167">
        <v>1.9619648644038901</v>
      </c>
      <c r="W128" s="167">
        <v>0.98693075217465498</v>
      </c>
      <c r="X128" s="167">
        <v>0.142015192525976</v>
      </c>
      <c r="Y128" s="173">
        <v>11.9696877091883</v>
      </c>
      <c r="Z128" s="178">
        <v>1049</v>
      </c>
      <c r="AA128" s="178">
        <v>688</v>
      </c>
      <c r="AB128" s="174">
        <v>7167.51</v>
      </c>
      <c r="AC128" s="194"/>
      <c r="AD128" s="195">
        <v>1.5265287115457399E-2</v>
      </c>
      <c r="AE128" s="176">
        <v>1.0011932826915799E-2</v>
      </c>
      <c r="AF128" s="174">
        <v>6.8327073403241201</v>
      </c>
      <c r="AG128" s="180">
        <v>0.104303239325941</v>
      </c>
      <c r="AH128" s="181">
        <v>0.56637209519801701</v>
      </c>
      <c r="AI128" s="181">
        <v>0.444615888156357</v>
      </c>
      <c r="AJ128" s="174">
        <v>0.73622631624901802</v>
      </c>
      <c r="AK128" s="58">
        <v>0.31201431939229901</v>
      </c>
      <c r="AL128" s="58">
        <v>2.6106696935300801E-2</v>
      </c>
      <c r="AM128" s="182">
        <v>0</v>
      </c>
    </row>
    <row r="129" spans="1:40" ht="16.05" hidden="1" customHeight="1" outlineLevel="1">
      <c r="A129" s="186">
        <v>43470</v>
      </c>
      <c r="B129" s="185" t="s">
        <v>51</v>
      </c>
      <c r="C129" s="188">
        <v>20979</v>
      </c>
      <c r="D129" s="188">
        <v>66568</v>
      </c>
      <c r="E129" s="189">
        <v>3.1730778397445101</v>
      </c>
      <c r="F129" s="167">
        <v>0.36997165154428502</v>
      </c>
      <c r="G129" s="192">
        <v>12.39</v>
      </c>
      <c r="H129" s="192">
        <v>24.44</v>
      </c>
      <c r="I129" s="176">
        <v>0.32300000000000001</v>
      </c>
      <c r="J129" s="176">
        <v>0.155</v>
      </c>
      <c r="K129" s="176">
        <v>8.5000000000000006E-2</v>
      </c>
      <c r="L129" s="174">
        <v>11.7368855906742</v>
      </c>
      <c r="M129" s="177">
        <v>13.908604735007801</v>
      </c>
      <c r="N129" s="167">
        <v>20.3523256836367</v>
      </c>
      <c r="O129" s="193">
        <f t="shared" si="10"/>
        <v>0.6833914193005638</v>
      </c>
      <c r="P129" s="167">
        <v>2.5535478765497199</v>
      </c>
      <c r="Q129" s="167">
        <v>3.6633254198540399</v>
      </c>
      <c r="R129" s="167">
        <v>1.10195199155896</v>
      </c>
      <c r="S129" s="167">
        <v>7.5975995779477703</v>
      </c>
      <c r="T129" s="167">
        <v>1.4251077112459301</v>
      </c>
      <c r="U129" s="167">
        <v>0.50274773586564703</v>
      </c>
      <c r="V129" s="167">
        <v>2.3952563088015499</v>
      </c>
      <c r="W129" s="167">
        <v>1.11278906181307</v>
      </c>
      <c r="X129" s="167">
        <v>0.18439790890518001</v>
      </c>
      <c r="Y129" s="173">
        <v>14.093002643913</v>
      </c>
      <c r="Z129" s="178">
        <v>1241</v>
      </c>
      <c r="AA129" s="178">
        <v>778</v>
      </c>
      <c r="AB129" s="174">
        <v>10661.59</v>
      </c>
      <c r="AC129" s="194"/>
      <c r="AD129" s="195">
        <v>1.8642591034731398E-2</v>
      </c>
      <c r="AE129" s="176">
        <v>1.16872971998558E-2</v>
      </c>
      <c r="AF129" s="174">
        <v>8.5911281224818694</v>
      </c>
      <c r="AG129" s="180">
        <v>0.16016088811440901</v>
      </c>
      <c r="AH129" s="181">
        <v>0.54664187997521296</v>
      </c>
      <c r="AI129" s="181">
        <v>0.40483340483340502</v>
      </c>
      <c r="AJ129" s="174">
        <v>0.591094820334094</v>
      </c>
      <c r="AK129" s="58">
        <v>0.28243300084124501</v>
      </c>
      <c r="AL129" s="58">
        <v>2.4816728758562698E-2</v>
      </c>
      <c r="AM129" s="182">
        <v>0.34886131474582399</v>
      </c>
    </row>
    <row r="130" spans="1:40" ht="16.05" hidden="1" customHeight="1" outlineLevel="1">
      <c r="A130" s="186">
        <v>43471</v>
      </c>
      <c r="B130" s="185" t="s">
        <v>51</v>
      </c>
      <c r="C130" s="188">
        <v>26972</v>
      </c>
      <c r="D130" s="188">
        <v>73068</v>
      </c>
      <c r="E130" s="189">
        <v>2.7090315883138101</v>
      </c>
      <c r="F130" s="167">
        <v>0.26235894235506602</v>
      </c>
      <c r="G130" s="192">
        <v>12.69</v>
      </c>
      <c r="H130" s="192">
        <v>24.79</v>
      </c>
      <c r="I130" s="176">
        <v>0.316</v>
      </c>
      <c r="J130" s="176">
        <v>0.153</v>
      </c>
      <c r="K130" s="176">
        <v>0.09</v>
      </c>
      <c r="L130" s="174">
        <v>10.918048940712801</v>
      </c>
      <c r="M130" s="177">
        <v>13.085290414408499</v>
      </c>
      <c r="N130" s="167">
        <v>19.751198149066301</v>
      </c>
      <c r="O130" s="193">
        <f t="shared" si="10"/>
        <v>0.66250615864673912</v>
      </c>
      <c r="P130" s="167">
        <v>2.5064039001817902</v>
      </c>
      <c r="Q130" s="167">
        <v>3.6375805651958402</v>
      </c>
      <c r="R130" s="167">
        <v>1.1561725334655399</v>
      </c>
      <c r="S130" s="167">
        <v>7.1369195174351301</v>
      </c>
      <c r="T130" s="167">
        <v>1.4036109733928299</v>
      </c>
      <c r="U130" s="167">
        <v>0.51776565856883205</v>
      </c>
      <c r="V130" s="167">
        <v>2.2944967773921698</v>
      </c>
      <c r="W130" s="167">
        <v>1.09824822343414</v>
      </c>
      <c r="X130" s="167">
        <v>0.202578420101823</v>
      </c>
      <c r="Y130" s="173">
        <v>13.2878688345103</v>
      </c>
      <c r="Z130" s="178">
        <v>1128</v>
      </c>
      <c r="AA130" s="178">
        <v>755</v>
      </c>
      <c r="AB130" s="174">
        <v>8298.7199999999993</v>
      </c>
      <c r="AC130" s="194"/>
      <c r="AD130" s="195">
        <v>1.5437674494991E-2</v>
      </c>
      <c r="AE130" s="176">
        <v>1.03328406415941E-2</v>
      </c>
      <c r="AF130" s="174">
        <v>7.3570212765957397</v>
      </c>
      <c r="AG130" s="180">
        <v>0.113575299720808</v>
      </c>
      <c r="AH130" s="181">
        <v>0.52476642444015997</v>
      </c>
      <c r="AI130" s="181">
        <v>0.36556428889218501</v>
      </c>
      <c r="AJ130" s="174">
        <v>0.59184595171621002</v>
      </c>
      <c r="AK130" s="58">
        <v>0.259005310122078</v>
      </c>
      <c r="AL130" s="58">
        <v>2.42787540373351E-2</v>
      </c>
      <c r="AM130" s="182">
        <v>0.33106147698034699</v>
      </c>
    </row>
    <row r="131" spans="1:40" ht="16.05" hidden="1" customHeight="1" outlineLevel="1">
      <c r="A131" s="186">
        <v>43472</v>
      </c>
      <c r="B131" s="185" t="s">
        <v>51</v>
      </c>
      <c r="C131" s="188">
        <v>36746</v>
      </c>
      <c r="D131" s="188">
        <v>84505</v>
      </c>
      <c r="E131" s="189">
        <v>2.2997060904588298</v>
      </c>
      <c r="F131" s="167">
        <v>0.24543432222945399</v>
      </c>
      <c r="G131" s="192">
        <v>13.23</v>
      </c>
      <c r="H131" s="190">
        <v>26.03</v>
      </c>
      <c r="I131" s="176">
        <v>0.32900000000000001</v>
      </c>
      <c r="J131" s="176">
        <v>0.16300000000000001</v>
      </c>
      <c r="K131" s="176">
        <v>9.6000000000000002E-2</v>
      </c>
      <c r="L131" s="174">
        <v>10.420105319211901</v>
      </c>
      <c r="M131" s="177">
        <v>12.233323471983899</v>
      </c>
      <c r="N131" s="167">
        <v>19.149337779012701</v>
      </c>
      <c r="O131" s="193">
        <f t="shared" si="10"/>
        <v>0.63883793858351501</v>
      </c>
      <c r="P131" s="167">
        <v>2.48428267111235</v>
      </c>
      <c r="Q131" s="167">
        <v>3.5610076873205498</v>
      </c>
      <c r="R131" s="167">
        <v>1.10215800685376</v>
      </c>
      <c r="S131" s="167">
        <v>6.79036769473002</v>
      </c>
      <c r="T131" s="167">
        <v>1.3782902658145799</v>
      </c>
      <c r="U131" s="167">
        <v>0.53983513939057104</v>
      </c>
      <c r="V131" s="167">
        <v>2.21894970825229</v>
      </c>
      <c r="W131" s="167">
        <v>1.07444660553858</v>
      </c>
      <c r="X131" s="167">
        <v>0.162298088870481</v>
      </c>
      <c r="Y131" s="173">
        <v>12.3956215608544</v>
      </c>
      <c r="Z131" s="178">
        <v>1246</v>
      </c>
      <c r="AA131" s="178">
        <v>807</v>
      </c>
      <c r="AB131" s="174">
        <v>8978.5400000000009</v>
      </c>
      <c r="AC131" s="194"/>
      <c r="AD131" s="195">
        <v>1.4744689663333499E-2</v>
      </c>
      <c r="AE131" s="176">
        <v>9.5497307851606407E-3</v>
      </c>
      <c r="AF131" s="174">
        <v>7.2058908507223096</v>
      </c>
      <c r="AG131" s="180">
        <v>0.106248624341755</v>
      </c>
      <c r="AH131" s="181">
        <v>0.506476895444402</v>
      </c>
      <c r="AI131" s="181">
        <v>0.34384694932781801</v>
      </c>
      <c r="AJ131" s="174">
        <v>0.56974143541802302</v>
      </c>
      <c r="AK131" s="58">
        <v>0.23999763327613799</v>
      </c>
      <c r="AL131" s="58">
        <v>2.0768001893379101E-2</v>
      </c>
      <c r="AM131" s="182">
        <v>0.301840127803089</v>
      </c>
    </row>
    <row r="132" spans="1:40" ht="16.05" hidden="1" customHeight="1" outlineLevel="1">
      <c r="A132" s="186">
        <v>43473</v>
      </c>
      <c r="B132" s="185" t="s">
        <v>51</v>
      </c>
      <c r="C132" s="188">
        <v>42945</v>
      </c>
      <c r="D132" s="188">
        <v>94554</v>
      </c>
      <c r="E132" s="189">
        <v>2.2017464198393299</v>
      </c>
      <c r="F132" s="167">
        <v>0.78096341290690996</v>
      </c>
      <c r="G132" s="192">
        <v>13.51</v>
      </c>
      <c r="H132" s="190">
        <v>27.18</v>
      </c>
      <c r="I132" s="176">
        <v>0.32800000000000001</v>
      </c>
      <c r="J132" s="176">
        <v>0.16600000000000001</v>
      </c>
      <c r="K132" s="176">
        <v>8.8999999999999996E-2</v>
      </c>
      <c r="L132" s="174">
        <v>10.111163990947</v>
      </c>
      <c r="M132" s="177">
        <v>11.5165619645917</v>
      </c>
      <c r="N132" s="167">
        <v>18.284253475720298</v>
      </c>
      <c r="O132" s="193">
        <f t="shared" ref="O132:O173" si="22">M132/N132</f>
        <v>0.62986230090742112</v>
      </c>
      <c r="P132" s="167">
        <v>2.3955268990529901</v>
      </c>
      <c r="Q132" s="167">
        <v>3.3876351669017399</v>
      </c>
      <c r="R132" s="167">
        <v>1.05918799113439</v>
      </c>
      <c r="S132" s="167">
        <v>6.35368392773188</v>
      </c>
      <c r="T132" s="167">
        <v>1.3300255221976001</v>
      </c>
      <c r="U132" s="167">
        <v>0.572637517630466</v>
      </c>
      <c r="V132" s="167">
        <v>2.1357377930015402</v>
      </c>
      <c r="W132" s="167">
        <v>1.04981865806972</v>
      </c>
      <c r="X132" s="167">
        <v>0.14967108742094501</v>
      </c>
      <c r="Y132" s="173">
        <v>11.666233052012601</v>
      </c>
      <c r="Z132" s="178">
        <v>1258</v>
      </c>
      <c r="AA132" s="178">
        <v>811</v>
      </c>
      <c r="AB132" s="174">
        <v>9192.42</v>
      </c>
      <c r="AC132" s="194"/>
      <c r="AD132" s="195">
        <v>1.3304566702625E-2</v>
      </c>
      <c r="AE132" s="176">
        <v>8.5771093766525003E-3</v>
      </c>
      <c r="AF132" s="174">
        <v>7.3071701112877596</v>
      </c>
      <c r="AG132" s="180">
        <v>9.7218732153055404E-2</v>
      </c>
      <c r="AH132" s="181">
        <v>0.503970194434742</v>
      </c>
      <c r="AI132" s="181">
        <v>0.34676912329724102</v>
      </c>
      <c r="AJ132" s="174">
        <v>0.598557438077712</v>
      </c>
      <c r="AK132" s="58">
        <v>0.23812847684920799</v>
      </c>
      <c r="AL132" s="58">
        <v>2.0422192609514101E-2</v>
      </c>
      <c r="AM132" s="182">
        <v>0.23659496160923901</v>
      </c>
    </row>
    <row r="133" spans="1:40" s="166" customFormat="1" ht="16.05" hidden="1" customHeight="1" outlineLevel="1">
      <c r="A133" s="196">
        <v>43474</v>
      </c>
      <c r="B133" s="197" t="s">
        <v>51</v>
      </c>
      <c r="C133" s="198">
        <v>47391</v>
      </c>
      <c r="D133" s="198">
        <v>103810</v>
      </c>
      <c r="E133" s="200">
        <v>2.1905003059652701</v>
      </c>
      <c r="F133" s="166">
        <v>0.19659633175994601</v>
      </c>
      <c r="G133" s="201">
        <v>13.42</v>
      </c>
      <c r="H133" s="217">
        <v>27.14</v>
      </c>
      <c r="I133" s="203">
        <v>0.33700000000000002</v>
      </c>
      <c r="J133" s="203">
        <v>0.17</v>
      </c>
      <c r="K133" s="203">
        <v>9.0999999999999998E-2</v>
      </c>
      <c r="L133" s="166">
        <v>9.9569020325594799</v>
      </c>
      <c r="M133" s="204">
        <v>11.0244774106541</v>
      </c>
      <c r="N133" s="166">
        <v>17.373070208728699</v>
      </c>
      <c r="O133" s="205">
        <f t="shared" si="22"/>
        <v>0.63457277718909499</v>
      </c>
      <c r="P133" s="166">
        <v>2.2752637571157499</v>
      </c>
      <c r="Q133" s="166">
        <v>3.0891688804554098</v>
      </c>
      <c r="R133" s="166">
        <v>1.0517495256167</v>
      </c>
      <c r="S133" s="166">
        <v>6.1262694497153696</v>
      </c>
      <c r="T133" s="166">
        <v>1.2442201138519899</v>
      </c>
      <c r="U133" s="166">
        <v>0.60324857685009503</v>
      </c>
      <c r="V133" s="166">
        <v>1.99316888045541</v>
      </c>
      <c r="W133" s="166">
        <v>0.98998102466793203</v>
      </c>
      <c r="X133" s="166">
        <v>0.13507369232251201</v>
      </c>
      <c r="Y133" s="200">
        <v>11.1595511029766</v>
      </c>
      <c r="Z133" s="206">
        <v>1308</v>
      </c>
      <c r="AA133" s="206">
        <v>886</v>
      </c>
      <c r="AB133" s="166">
        <v>8834.92</v>
      </c>
      <c r="AC133" s="209"/>
      <c r="AD133" s="210">
        <v>1.2599942202099999E-2</v>
      </c>
      <c r="AE133" s="203">
        <v>8.5348232347558003E-3</v>
      </c>
      <c r="AF133" s="166">
        <v>6.7545259938837896</v>
      </c>
      <c r="AG133" s="211">
        <v>8.5106637125517803E-2</v>
      </c>
      <c r="AH133" s="212">
        <v>0.51950792344537999</v>
      </c>
      <c r="AI133" s="212">
        <v>0.36631427908252601</v>
      </c>
      <c r="AJ133" s="166">
        <v>0.67950101146325004</v>
      </c>
      <c r="AK133" s="213">
        <v>0.26502263751083699</v>
      </c>
      <c r="AL133" s="213">
        <v>1.98246797033041E-2</v>
      </c>
      <c r="AM133" s="214">
        <v>0</v>
      </c>
      <c r="AN133" s="210"/>
    </row>
    <row r="134" spans="1:40" ht="16.05" hidden="1" customHeight="1" outlineLevel="1">
      <c r="A134" s="186">
        <v>43475</v>
      </c>
      <c r="B134" s="187" t="s">
        <v>51</v>
      </c>
      <c r="C134" s="188">
        <v>50823</v>
      </c>
      <c r="D134" s="188">
        <v>113180</v>
      </c>
      <c r="E134" s="189">
        <v>2.22694449363477</v>
      </c>
      <c r="F134" s="167">
        <v>0.230228299169464</v>
      </c>
      <c r="G134" s="192">
        <v>13.52</v>
      </c>
      <c r="H134" s="190">
        <v>27.64</v>
      </c>
      <c r="I134" s="176">
        <v>0.34599999999999997</v>
      </c>
      <c r="J134" s="176">
        <v>0.17599999999999999</v>
      </c>
      <c r="K134" s="176">
        <v>9.4E-2</v>
      </c>
      <c r="L134" s="174">
        <v>10.117591447252201</v>
      </c>
      <c r="M134" s="177">
        <v>11.167644460151999</v>
      </c>
      <c r="N134" s="167">
        <v>17.323456045612801</v>
      </c>
      <c r="O134" s="193">
        <f t="shared" si="22"/>
        <v>0.64465453260293448</v>
      </c>
      <c r="P134" s="167">
        <v>2.26283544858968</v>
      </c>
      <c r="Q134" s="167">
        <v>3.1165401167731099</v>
      </c>
      <c r="R134" s="167">
        <v>1.05583728516214</v>
      </c>
      <c r="S134" s="167">
        <v>6.0577697979770297</v>
      </c>
      <c r="T134" s="167">
        <v>1.23741125517393</v>
      </c>
      <c r="U134" s="167">
        <v>0.60490392258984105</v>
      </c>
      <c r="V134" s="167">
        <v>1.9929826485019599</v>
      </c>
      <c r="W134" s="167">
        <v>0.995175570845097</v>
      </c>
      <c r="X134" s="167">
        <v>0.12424456617776999</v>
      </c>
      <c r="Y134" s="173">
        <v>11.2918890263297</v>
      </c>
      <c r="Z134" s="178">
        <v>1581</v>
      </c>
      <c r="AA134" s="178">
        <v>1062</v>
      </c>
      <c r="AB134" s="174">
        <v>11280.19</v>
      </c>
      <c r="AC134" s="194"/>
      <c r="AD134" s="195">
        <v>1.3968899098780701E-2</v>
      </c>
      <c r="AE134" s="176">
        <v>9.3832832655946306E-3</v>
      </c>
      <c r="AF134" s="174">
        <v>7.1348450347881096</v>
      </c>
      <c r="AG134" s="180">
        <v>9.9665930376391598E-2</v>
      </c>
      <c r="AH134" s="181">
        <v>0.57775023119453806</v>
      </c>
      <c r="AI134" s="181">
        <v>0.414241583535014</v>
      </c>
      <c r="AJ134" s="174">
        <v>0.69303763915886196</v>
      </c>
      <c r="AK134" s="58">
        <v>0.27578194027213299</v>
      </c>
      <c r="AL134" s="58">
        <v>1.9270189079342599E-2</v>
      </c>
      <c r="AM134" s="182">
        <v>0</v>
      </c>
    </row>
    <row r="135" spans="1:40" ht="16.05" hidden="1" customHeight="1" outlineLevel="1">
      <c r="A135" s="186">
        <v>43476</v>
      </c>
      <c r="B135" s="187" t="s">
        <v>51</v>
      </c>
      <c r="C135" s="188">
        <v>54914</v>
      </c>
      <c r="D135" s="188">
        <v>123814</v>
      </c>
      <c r="E135" s="189">
        <v>2.2546891503077502</v>
      </c>
      <c r="F135" s="167">
        <v>0.21401800927197201</v>
      </c>
      <c r="G135" s="192">
        <v>12.88</v>
      </c>
      <c r="H135" s="190">
        <v>26.72</v>
      </c>
      <c r="I135" s="176">
        <v>0.33900000000000002</v>
      </c>
      <c r="J135" s="176">
        <v>0.17799999999999999</v>
      </c>
      <c r="K135" s="176">
        <v>9.6000000000000002E-2</v>
      </c>
      <c r="L135" s="174">
        <v>10.273313195599901</v>
      </c>
      <c r="M135" s="177">
        <v>11.2845074062707</v>
      </c>
      <c r="N135" s="167">
        <v>17.452533226741298</v>
      </c>
      <c r="O135" s="193">
        <f t="shared" si="22"/>
        <v>0.64658277739189385</v>
      </c>
      <c r="P135" s="167">
        <v>2.29525582092535</v>
      </c>
      <c r="Q135" s="167">
        <v>3.1821849705206402</v>
      </c>
      <c r="R135" s="167">
        <v>1.03538772858999</v>
      </c>
      <c r="S135" s="167">
        <v>6.0772584191066201</v>
      </c>
      <c r="T135" s="167">
        <v>1.2488383131807701</v>
      </c>
      <c r="U135" s="167">
        <v>0.60886129709203596</v>
      </c>
      <c r="V135" s="167">
        <v>2.0030978315179402</v>
      </c>
      <c r="W135" s="167">
        <v>1.00164884580793</v>
      </c>
      <c r="X135" s="167">
        <v>0.132303293650153</v>
      </c>
      <c r="Y135" s="173">
        <v>11.4168106999209</v>
      </c>
      <c r="Z135" s="178">
        <v>1782</v>
      </c>
      <c r="AA135" s="178">
        <v>1168</v>
      </c>
      <c r="AB135" s="174">
        <v>11471.18</v>
      </c>
      <c r="AC135" s="194"/>
      <c r="AD135" s="195">
        <v>1.43925565768007E-2</v>
      </c>
      <c r="AE135" s="176">
        <v>9.4335050963542093E-3</v>
      </c>
      <c r="AF135" s="174">
        <v>6.4372502805836103</v>
      </c>
      <c r="AG135" s="180">
        <v>9.2648488862325698E-2</v>
      </c>
      <c r="AH135" s="181">
        <v>0.53470881742360798</v>
      </c>
      <c r="AI135" s="181">
        <v>0.38338128710347102</v>
      </c>
      <c r="AJ135" s="174">
        <v>0.68435718093268905</v>
      </c>
      <c r="AK135" s="58">
        <v>0.28135752015119497</v>
      </c>
      <c r="AL135" s="58">
        <v>1.8875086823784099E-2</v>
      </c>
      <c r="AM135" s="182">
        <v>0</v>
      </c>
    </row>
    <row r="136" spans="1:40" ht="16.05" hidden="1" customHeight="1" outlineLevel="1">
      <c r="A136" s="186">
        <v>43477</v>
      </c>
      <c r="B136" s="185" t="s">
        <v>51</v>
      </c>
      <c r="C136" s="188">
        <v>55880</v>
      </c>
      <c r="D136" s="188">
        <v>130327</v>
      </c>
      <c r="E136" s="189">
        <v>2.3322655690765899</v>
      </c>
      <c r="F136" s="167">
        <v>0.28953759466572498</v>
      </c>
      <c r="G136" s="192">
        <v>13.23</v>
      </c>
      <c r="H136" s="190">
        <v>26.4</v>
      </c>
      <c r="I136" s="176">
        <v>0.34399999999999997</v>
      </c>
      <c r="J136" s="176">
        <v>0.17499999999999999</v>
      </c>
      <c r="K136" s="176">
        <v>0.1</v>
      </c>
      <c r="L136" s="174">
        <v>11.4224374074444</v>
      </c>
      <c r="M136" s="177">
        <v>13.4817267335241</v>
      </c>
      <c r="N136" s="167">
        <v>20.2106492132143</v>
      </c>
      <c r="O136" s="193">
        <f t="shared" si="22"/>
        <v>0.66706054769924772</v>
      </c>
      <c r="P136" s="167">
        <v>2.5877081991350002</v>
      </c>
      <c r="Q136" s="167">
        <v>3.8184411521118999</v>
      </c>
      <c r="R136" s="167">
        <v>1.0535221312229699</v>
      </c>
      <c r="S136" s="167">
        <v>7.2491372964019503</v>
      </c>
      <c r="T136" s="167">
        <v>1.3979134075641799</v>
      </c>
      <c r="U136" s="167">
        <v>0.56017070028526705</v>
      </c>
      <c r="V136" s="167">
        <v>2.3998113554798901</v>
      </c>
      <c r="W136" s="167">
        <v>1.14394497101316</v>
      </c>
      <c r="X136" s="167">
        <v>0.19705049605991101</v>
      </c>
      <c r="Y136" s="173">
        <v>13.678777229584</v>
      </c>
      <c r="Z136" s="178">
        <v>2169</v>
      </c>
      <c r="AA136" s="178">
        <v>1362</v>
      </c>
      <c r="AB136" s="174">
        <v>16335.31</v>
      </c>
      <c r="AC136" s="194"/>
      <c r="AD136" s="195">
        <v>1.6642752461116999E-2</v>
      </c>
      <c r="AE136" s="176">
        <v>1.0450635708640601E-2</v>
      </c>
      <c r="AF136" s="174">
        <v>7.5312632549562002</v>
      </c>
      <c r="AG136" s="180">
        <v>0.12534095007174301</v>
      </c>
      <c r="AH136" s="181">
        <v>0.56408375089477403</v>
      </c>
      <c r="AI136" s="181">
        <v>0.40458124552612701</v>
      </c>
      <c r="AJ136" s="174">
        <v>0.59082922188034703</v>
      </c>
      <c r="AK136" s="58">
        <v>0.25220407129758199</v>
      </c>
      <c r="AL136" s="58">
        <v>1.63281591688599E-2</v>
      </c>
      <c r="AM136" s="182">
        <v>0.34223146393303</v>
      </c>
    </row>
    <row r="137" spans="1:40" ht="16.05" hidden="1" customHeight="1" outlineLevel="1">
      <c r="A137" s="186">
        <v>43478</v>
      </c>
      <c r="B137" s="185" t="s">
        <v>51</v>
      </c>
      <c r="C137" s="188">
        <v>59991</v>
      </c>
      <c r="D137" s="188">
        <v>141823</v>
      </c>
      <c r="E137" s="189">
        <v>2.3640712773582702</v>
      </c>
      <c r="F137" s="167">
        <v>0.87301317924455102</v>
      </c>
      <c r="G137" s="192">
        <v>13.1</v>
      </c>
      <c r="H137" s="190">
        <v>25.62</v>
      </c>
      <c r="I137" s="176">
        <v>0.33400000000000002</v>
      </c>
      <c r="J137" s="176">
        <v>0.16900000000000001</v>
      </c>
      <c r="K137" s="176">
        <v>0.105</v>
      </c>
      <c r="L137" s="174">
        <v>11.8425713741777</v>
      </c>
      <c r="M137" s="177">
        <v>13.823695733414199</v>
      </c>
      <c r="N137" s="167">
        <v>20.481159178045001</v>
      </c>
      <c r="O137" s="193">
        <f t="shared" si="22"/>
        <v>0.67494694090521301</v>
      </c>
      <c r="P137" s="167">
        <v>2.5557389551100602</v>
      </c>
      <c r="Q137" s="167">
        <v>3.9443707363956402</v>
      </c>
      <c r="R137" s="167">
        <v>1.1434347022136799</v>
      </c>
      <c r="S137" s="167">
        <v>7.3057885774578697</v>
      </c>
      <c r="T137" s="167">
        <v>1.39744888898175</v>
      </c>
      <c r="U137" s="167">
        <v>0.56855719106170899</v>
      </c>
      <c r="V137" s="167">
        <v>2.4031319536579501</v>
      </c>
      <c r="W137" s="167">
        <v>1.1626881731663199</v>
      </c>
      <c r="X137" s="167">
        <v>0.19189412154587099</v>
      </c>
      <c r="Y137" s="173">
        <v>14.015589854960099</v>
      </c>
      <c r="Z137" s="178">
        <v>2136</v>
      </c>
      <c r="AA137" s="178">
        <v>1429</v>
      </c>
      <c r="AB137" s="174">
        <v>14948.64</v>
      </c>
      <c r="AC137" s="194"/>
      <c r="AD137" s="195">
        <v>1.5061026772808401E-2</v>
      </c>
      <c r="AE137" s="176">
        <v>1.00759397276887E-2</v>
      </c>
      <c r="AF137" s="174">
        <v>6.9984269662921301</v>
      </c>
      <c r="AG137" s="180">
        <v>0.10540349590687</v>
      </c>
      <c r="AH137" s="181">
        <v>0.56316780850460901</v>
      </c>
      <c r="AI137" s="181">
        <v>0.40912803587204699</v>
      </c>
      <c r="AJ137" s="174">
        <v>0.62618193099849795</v>
      </c>
      <c r="AK137" s="58">
        <v>0.25052353990537501</v>
      </c>
      <c r="AL137" s="58">
        <v>1.5709722682498602E-2</v>
      </c>
      <c r="AM137" s="182">
        <v>0.34531775523011099</v>
      </c>
    </row>
    <row r="138" spans="1:40" ht="16.05" hidden="1" customHeight="1" outlineLevel="1">
      <c r="A138" s="186">
        <v>43479</v>
      </c>
      <c r="B138" s="185" t="s">
        <v>51</v>
      </c>
      <c r="C138" s="188">
        <v>52052</v>
      </c>
      <c r="D138" s="188">
        <v>140406</v>
      </c>
      <c r="E138" s="189">
        <v>2.6974179666487399</v>
      </c>
      <c r="F138" s="167">
        <v>0.868707184522029</v>
      </c>
      <c r="G138" s="192">
        <v>14.56</v>
      </c>
      <c r="H138" s="190">
        <v>30.49</v>
      </c>
      <c r="I138" s="176">
        <v>0.32900000000000001</v>
      </c>
      <c r="J138" s="176">
        <v>0.17399999999999999</v>
      </c>
      <c r="K138" s="176">
        <v>0.105</v>
      </c>
      <c r="L138" s="174">
        <v>11.7895032975799</v>
      </c>
      <c r="M138" s="177">
        <v>13.5740566642451</v>
      </c>
      <c r="N138" s="167">
        <v>19.773400701346699</v>
      </c>
      <c r="O138" s="193">
        <f t="shared" si="22"/>
        <v>0.68648063473070764</v>
      </c>
      <c r="P138" s="167">
        <v>2.4634282987155798</v>
      </c>
      <c r="Q138" s="167">
        <v>3.9275828439814902</v>
      </c>
      <c r="R138" s="167">
        <v>1.1236797875210101</v>
      </c>
      <c r="S138" s="167">
        <v>6.9544124665407896</v>
      </c>
      <c r="T138" s="167">
        <v>1.34540285933642</v>
      </c>
      <c r="U138" s="167">
        <v>0.54276554686365197</v>
      </c>
      <c r="V138" s="167">
        <v>2.29022887141286</v>
      </c>
      <c r="W138" s="167">
        <v>1.12590002697487</v>
      </c>
      <c r="X138" s="167">
        <v>0.20890132900303399</v>
      </c>
      <c r="Y138" s="173">
        <v>13.7829579932482</v>
      </c>
      <c r="Z138" s="178">
        <v>2032</v>
      </c>
      <c r="AA138" s="178">
        <v>1336</v>
      </c>
      <c r="AB138" s="174">
        <v>13322.68</v>
      </c>
      <c r="AC138" s="194"/>
      <c r="AD138" s="195">
        <v>1.44723159978918E-2</v>
      </c>
      <c r="AE138" s="176">
        <v>9.5152628805036804E-3</v>
      </c>
      <c r="AF138" s="174">
        <v>6.5564370078740204</v>
      </c>
      <c r="AG138" s="180">
        <v>9.4886828198225096E-2</v>
      </c>
      <c r="AH138" s="181">
        <v>0.55780757703834605</v>
      </c>
      <c r="AI138" s="181">
        <v>0.42396065472988498</v>
      </c>
      <c r="AJ138" s="174">
        <v>0.63548566300585396</v>
      </c>
      <c r="AK138" s="58">
        <v>0.26577924020340998</v>
      </c>
      <c r="AL138" s="58">
        <v>1.6680198851900901E-2</v>
      </c>
      <c r="AM138" s="182">
        <v>0.34207939831631101</v>
      </c>
    </row>
    <row r="139" spans="1:40" ht="16.05" hidden="1" customHeight="1" outlineLevel="1">
      <c r="A139" s="186">
        <v>43480</v>
      </c>
      <c r="B139" s="185" t="s">
        <v>51</v>
      </c>
      <c r="C139" s="188">
        <v>39489</v>
      </c>
      <c r="D139" s="188">
        <v>128006</v>
      </c>
      <c r="E139" s="189">
        <v>3.2415609410215498</v>
      </c>
      <c r="F139" s="167">
        <v>0.87190070926362795</v>
      </c>
      <c r="G139" s="192">
        <v>15.09</v>
      </c>
      <c r="H139" s="190">
        <v>32.200000000000003</v>
      </c>
      <c r="I139" s="176">
        <v>0.35399999999999998</v>
      </c>
      <c r="J139" s="176">
        <v>0.184</v>
      </c>
      <c r="K139" s="176">
        <v>0.10100000000000001</v>
      </c>
      <c r="L139" s="174">
        <v>11.327617455431801</v>
      </c>
      <c r="M139" s="177">
        <v>13.073332500039101</v>
      </c>
      <c r="N139" s="167">
        <v>18.6093565820786</v>
      </c>
      <c r="O139" s="193">
        <f t="shared" si="22"/>
        <v>0.7025139446588462</v>
      </c>
      <c r="P139" s="167">
        <v>2.33835598158486</v>
      </c>
      <c r="Q139" s="167">
        <v>3.64447434557303</v>
      </c>
      <c r="R139" s="167">
        <v>1.11439405733603</v>
      </c>
      <c r="S139" s="167">
        <v>6.4219469341458497</v>
      </c>
      <c r="T139" s="167">
        <v>1.2907279318550799</v>
      </c>
      <c r="U139" s="167">
        <v>0.54855103084758605</v>
      </c>
      <c r="V139" s="167">
        <v>2.1756888997620298</v>
      </c>
      <c r="W139" s="167">
        <v>1.07521740097413</v>
      </c>
      <c r="X139" s="167">
        <v>0.18353045950971</v>
      </c>
      <c r="Y139" s="173">
        <v>13.256862959548799</v>
      </c>
      <c r="Z139" s="178">
        <v>1840</v>
      </c>
      <c r="AA139" s="178">
        <v>1229</v>
      </c>
      <c r="AB139" s="174">
        <v>12407.6</v>
      </c>
      <c r="AC139" s="194"/>
      <c r="AD139" s="195">
        <v>1.4374326203459201E-2</v>
      </c>
      <c r="AE139" s="176">
        <v>9.6011124478540093E-3</v>
      </c>
      <c r="AF139" s="174">
        <v>6.7432608695652201</v>
      </c>
      <c r="AG139" s="180">
        <v>9.6929831414152498E-2</v>
      </c>
      <c r="AH139" s="181">
        <v>0.56793030970650005</v>
      </c>
      <c r="AI139" s="181">
        <v>0.43771683253564297</v>
      </c>
      <c r="AJ139" s="174">
        <v>0.66948424292611297</v>
      </c>
      <c r="AK139" s="58">
        <v>0.29894692436291997</v>
      </c>
      <c r="AL139" s="58">
        <v>2.0584972579410301E-2</v>
      </c>
      <c r="AM139" s="182">
        <v>0.29642360514350902</v>
      </c>
    </row>
    <row r="140" spans="1:40" s="166" customFormat="1" ht="16.05" hidden="1" customHeight="1" outlineLevel="1">
      <c r="A140" s="196">
        <v>43481</v>
      </c>
      <c r="B140" s="197" t="s">
        <v>51</v>
      </c>
      <c r="C140" s="198">
        <v>33099</v>
      </c>
      <c r="D140" s="198">
        <v>119579</v>
      </c>
      <c r="E140" s="200">
        <v>3.6127677573340602</v>
      </c>
      <c r="F140" s="166">
        <v>0.81440819411435095</v>
      </c>
      <c r="G140" s="201">
        <v>15.01</v>
      </c>
      <c r="H140" s="217">
        <v>33.07</v>
      </c>
      <c r="I140" s="203">
        <v>0.34599999999999997</v>
      </c>
      <c r="J140" s="203">
        <v>0.17499999999999999</v>
      </c>
      <c r="K140" s="203">
        <v>9.6000000000000002E-2</v>
      </c>
      <c r="L140" s="166">
        <v>11.155470442134501</v>
      </c>
      <c r="M140" s="204">
        <v>12.5109927328377</v>
      </c>
      <c r="N140" s="166">
        <v>17.684247854559199</v>
      </c>
      <c r="O140" s="205">
        <f t="shared" si="22"/>
        <v>0.70746535762968421</v>
      </c>
      <c r="P140" s="166">
        <v>2.2045320220336202</v>
      </c>
      <c r="Q140" s="166">
        <v>3.3041443060119602</v>
      </c>
      <c r="R140" s="166">
        <v>1.13483770301898</v>
      </c>
      <c r="S140" s="166">
        <v>6.1623797252890196</v>
      </c>
      <c r="T140" s="166">
        <v>1.23506465873898</v>
      </c>
      <c r="U140" s="166">
        <v>0.57053358235419305</v>
      </c>
      <c r="V140" s="166">
        <v>2.0524007659755501</v>
      </c>
      <c r="W140" s="166">
        <v>1.0203550911369099</v>
      </c>
      <c r="X140" s="166">
        <v>0.14597044631582501</v>
      </c>
      <c r="Y140" s="200">
        <v>12.6569631791535</v>
      </c>
      <c r="Z140" s="206">
        <v>1781</v>
      </c>
      <c r="AA140" s="206">
        <v>1179</v>
      </c>
      <c r="AB140" s="166">
        <v>10442.19</v>
      </c>
      <c r="AC140" s="209"/>
      <c r="AD140" s="210">
        <v>1.48939195009157E-2</v>
      </c>
      <c r="AE140" s="203">
        <v>9.8595907308139403E-3</v>
      </c>
      <c r="AF140" s="166">
        <v>5.8631049971925897</v>
      </c>
      <c r="AG140" s="211">
        <v>8.73246138536031E-2</v>
      </c>
      <c r="AH140" s="212">
        <v>0.573672920632043</v>
      </c>
      <c r="AI140" s="212">
        <v>0.46814103145110098</v>
      </c>
      <c r="AJ140" s="166">
        <v>0.76929059450237902</v>
      </c>
      <c r="AK140" s="213">
        <v>0.34257687386581298</v>
      </c>
      <c r="AL140" s="213">
        <v>2.4435728681457401E-2</v>
      </c>
      <c r="AM140" s="214">
        <v>0</v>
      </c>
      <c r="AN140" s="210"/>
    </row>
    <row r="141" spans="1:40" s="167" customFormat="1" ht="16.05" hidden="1" customHeight="1" outlineLevel="1">
      <c r="A141" s="186">
        <v>43482</v>
      </c>
      <c r="B141" s="187" t="s">
        <v>51</v>
      </c>
      <c r="C141" s="188">
        <v>46727</v>
      </c>
      <c r="D141" s="188">
        <v>131279</v>
      </c>
      <c r="E141" s="189">
        <v>2.80948916044257</v>
      </c>
      <c r="F141" s="167">
        <v>0.75629821351472803</v>
      </c>
      <c r="G141" s="218">
        <v>14.84</v>
      </c>
      <c r="H141" s="190">
        <v>32.89</v>
      </c>
      <c r="I141" s="219">
        <v>0.34300000000000003</v>
      </c>
      <c r="J141" s="219">
        <v>0.17499999999999999</v>
      </c>
      <c r="K141" s="219">
        <v>9.6000000000000002E-2</v>
      </c>
      <c r="L141" s="167">
        <v>10.573823688480299</v>
      </c>
      <c r="M141" s="220">
        <v>11.791284211488501</v>
      </c>
      <c r="N141" s="167">
        <v>17.451105950260398</v>
      </c>
      <c r="O141" s="193">
        <f t="shared" si="22"/>
        <v>0.67567546980095872</v>
      </c>
      <c r="P141" s="167">
        <v>2.2656873576695</v>
      </c>
      <c r="Q141" s="167">
        <v>3.2113706568059301</v>
      </c>
      <c r="R141" s="167">
        <v>1.0862438276476301</v>
      </c>
      <c r="S141" s="167">
        <v>6.0499312304119401</v>
      </c>
      <c r="T141" s="167">
        <v>1.2449211968163101</v>
      </c>
      <c r="U141" s="167">
        <v>0.57627787423056998</v>
      </c>
      <c r="V141" s="167">
        <v>2.0098081215756101</v>
      </c>
      <c r="W141" s="167">
        <v>1.0068656851029301</v>
      </c>
      <c r="X141" s="167">
        <v>0.139870047760876</v>
      </c>
      <c r="Y141" s="189">
        <v>11.9311542592494</v>
      </c>
      <c r="Z141" s="207">
        <v>1640</v>
      </c>
      <c r="AA141" s="207">
        <v>1134</v>
      </c>
      <c r="AB141" s="167">
        <v>10186.6</v>
      </c>
      <c r="AC141" s="221"/>
      <c r="AD141" s="195">
        <v>1.2492477852512601E-2</v>
      </c>
      <c r="AE141" s="219">
        <v>8.6380913931398007E-3</v>
      </c>
      <c r="AF141" s="167">
        <v>6.2113414634146302</v>
      </c>
      <c r="AG141" s="222">
        <v>7.7595045666100398E-2</v>
      </c>
      <c r="AH141" s="223">
        <v>0.52286686498170198</v>
      </c>
      <c r="AI141" s="223">
        <v>0.37019282213709398</v>
      </c>
      <c r="AJ141" s="167">
        <v>0.71318337281667299</v>
      </c>
      <c r="AK141" s="224">
        <v>0.32407315716908303</v>
      </c>
      <c r="AL141" s="224">
        <v>2.2996823558985101E-2</v>
      </c>
      <c r="AM141" s="82">
        <v>0</v>
      </c>
      <c r="AN141" s="195"/>
    </row>
    <row r="142" spans="1:40" ht="16.05" hidden="1" customHeight="1" outlineLevel="1">
      <c r="A142" s="186">
        <v>43483</v>
      </c>
      <c r="B142" s="187" t="s">
        <v>51</v>
      </c>
      <c r="C142" s="188">
        <v>51555</v>
      </c>
      <c r="D142" s="188">
        <v>140251</v>
      </c>
      <c r="E142" s="189">
        <v>2.7204150906798601</v>
      </c>
      <c r="F142" s="167">
        <v>0.72123733160547898</v>
      </c>
      <c r="G142" s="218">
        <v>12.88</v>
      </c>
      <c r="H142" s="190">
        <v>26.08</v>
      </c>
      <c r="I142" s="219">
        <v>0.33300000000000002</v>
      </c>
      <c r="J142" s="219">
        <v>0.17699999999999999</v>
      </c>
      <c r="K142" s="219">
        <v>9.5000000000000001E-2</v>
      </c>
      <c r="L142" s="167">
        <v>10.4818432667147</v>
      </c>
      <c r="M142" s="220">
        <v>11.937875665770701</v>
      </c>
      <c r="N142" s="167">
        <v>17.6787249094576</v>
      </c>
      <c r="O142" s="193">
        <f t="shared" si="22"/>
        <v>0.67526791252825524</v>
      </c>
      <c r="P142" s="167">
        <v>2.2980772276600501</v>
      </c>
      <c r="Q142" s="167">
        <v>3.2789867697213499</v>
      </c>
      <c r="R142" s="167">
        <v>1.0743450853685601</v>
      </c>
      <c r="S142" s="167">
        <v>6.1220606713336903</v>
      </c>
      <c r="T142" s="167">
        <v>1.26577760883567</v>
      </c>
      <c r="U142" s="167">
        <v>0.58431794904283696</v>
      </c>
      <c r="V142" s="167">
        <v>2.0389833908792401</v>
      </c>
      <c r="W142" s="167">
        <v>1.0161762066161999</v>
      </c>
      <c r="X142" s="167">
        <v>0.14966025197681301</v>
      </c>
      <c r="Y142" s="189">
        <v>12.0875359177475</v>
      </c>
      <c r="Z142" s="207">
        <v>1748</v>
      </c>
      <c r="AA142" s="207">
        <v>1231</v>
      </c>
      <c r="AB142" s="167">
        <v>10662.52</v>
      </c>
      <c r="AC142" s="221"/>
      <c r="AD142" s="195">
        <v>1.24633692451391E-2</v>
      </c>
      <c r="AE142" s="219">
        <v>8.7771210187449593E-3</v>
      </c>
      <c r="AF142" s="167">
        <v>6.0998398169336401</v>
      </c>
      <c r="AG142" s="222">
        <v>7.60245559746454E-2</v>
      </c>
      <c r="AH142" s="223">
        <v>0.53730966928522905</v>
      </c>
      <c r="AI142" s="223">
        <v>0.38940936863543801</v>
      </c>
      <c r="AJ142" s="167">
        <v>0.71045482741655996</v>
      </c>
      <c r="AK142" s="224">
        <v>0.320261531112078</v>
      </c>
      <c r="AL142" s="224">
        <v>2.3115699709805999E-2</v>
      </c>
      <c r="AM142" s="82">
        <v>0</v>
      </c>
    </row>
    <row r="143" spans="1:40" ht="16.05" hidden="1" customHeight="1" outlineLevel="1">
      <c r="A143" s="186">
        <v>43484</v>
      </c>
      <c r="B143" s="185" t="s">
        <v>51</v>
      </c>
      <c r="C143" s="188">
        <v>47382</v>
      </c>
      <c r="D143" s="188">
        <v>139380</v>
      </c>
      <c r="E143" s="189">
        <v>2.94162340129163</v>
      </c>
      <c r="F143" s="167">
        <v>0.89628053034868704</v>
      </c>
      <c r="G143" s="218">
        <v>11.98</v>
      </c>
      <c r="H143" s="190">
        <v>25.15</v>
      </c>
      <c r="I143" s="219">
        <v>0.33200000000000002</v>
      </c>
      <c r="J143" s="219">
        <v>0.17199999999999999</v>
      </c>
      <c r="K143" s="219">
        <v>9.9000000000000005E-2</v>
      </c>
      <c r="L143" s="167">
        <v>11.821796527478799</v>
      </c>
      <c r="M143" s="220">
        <v>14.873669106041</v>
      </c>
      <c r="N143" s="167">
        <v>21.3307404206281</v>
      </c>
      <c r="O143" s="193">
        <f t="shared" si="22"/>
        <v>0.69728798966852901</v>
      </c>
      <c r="P143" s="167">
        <v>2.6708750051446701</v>
      </c>
      <c r="Q143" s="167">
        <v>3.9882907354817498</v>
      </c>
      <c r="R143" s="167">
        <v>1.0839095361567299</v>
      </c>
      <c r="S143" s="167">
        <v>7.83813845330699</v>
      </c>
      <c r="T143" s="167">
        <v>1.48702514713751</v>
      </c>
      <c r="U143" s="167">
        <v>0.53199983537062201</v>
      </c>
      <c r="V143" s="167">
        <v>2.5437296785611401</v>
      </c>
      <c r="W143" s="167">
        <v>1.1867720294686599</v>
      </c>
      <c r="X143" s="167">
        <v>0.210482135170039</v>
      </c>
      <c r="Y143" s="189">
        <v>15.084151241211099</v>
      </c>
      <c r="Z143" s="207">
        <v>2434</v>
      </c>
      <c r="AA143" s="207">
        <v>1532</v>
      </c>
      <c r="AB143" s="167">
        <v>16467.66</v>
      </c>
      <c r="AC143" s="221"/>
      <c r="AD143" s="195">
        <v>1.7463050652891401E-2</v>
      </c>
      <c r="AE143" s="219">
        <v>1.0991533936002299E-2</v>
      </c>
      <c r="AF143" s="167">
        <v>6.7656778964667197</v>
      </c>
      <c r="AG143" s="222">
        <v>0.118149375807146</v>
      </c>
      <c r="AH143" s="223">
        <v>0.55601283187708395</v>
      </c>
      <c r="AI143" s="223">
        <v>0.41446118779283297</v>
      </c>
      <c r="AJ143" s="167">
        <v>0.61262017506098398</v>
      </c>
      <c r="AK143" s="224">
        <v>0.29597503228583699</v>
      </c>
      <c r="AL143" s="224">
        <v>2.1861099153393598E-2</v>
      </c>
      <c r="AM143" s="82">
        <v>0.364492753623188</v>
      </c>
    </row>
    <row r="144" spans="1:40" ht="16.05" hidden="1" customHeight="1" outlineLevel="1">
      <c r="A144" s="186">
        <v>43485</v>
      </c>
      <c r="B144" s="185" t="s">
        <v>51</v>
      </c>
      <c r="C144" s="188">
        <v>49293</v>
      </c>
      <c r="D144" s="188">
        <v>144897</v>
      </c>
      <c r="E144" s="189">
        <v>2.9395045949729202</v>
      </c>
      <c r="F144" s="167">
        <v>0.89519841797966804</v>
      </c>
      <c r="G144" s="218">
        <v>12.78</v>
      </c>
      <c r="H144" s="190">
        <v>28.63</v>
      </c>
      <c r="I144" s="219">
        <v>0.33200000000000002</v>
      </c>
      <c r="J144" s="219">
        <v>0.17299999999999999</v>
      </c>
      <c r="K144" s="219">
        <v>0.10299999999999999</v>
      </c>
      <c r="L144" s="167">
        <v>12.2469685362706</v>
      </c>
      <c r="M144" s="220">
        <v>15.3672608818678</v>
      </c>
      <c r="N144" s="167">
        <v>21.8684750689936</v>
      </c>
      <c r="O144" s="193">
        <f t="shared" si="22"/>
        <v>0.70271296162101393</v>
      </c>
      <c r="P144" s="167">
        <v>2.6593531786173799</v>
      </c>
      <c r="Q144" s="167">
        <v>4.1780673927775203</v>
      </c>
      <c r="R144" s="167">
        <v>1.21865823356675</v>
      </c>
      <c r="S144" s="167">
        <v>8.0153111833511801</v>
      </c>
      <c r="T144" s="167">
        <v>1.4913622926508301</v>
      </c>
      <c r="U144" s="167">
        <v>0.546193810707025</v>
      </c>
      <c r="V144" s="167">
        <v>2.5319138488131099</v>
      </c>
      <c r="W144" s="167">
        <v>1.22761512850984</v>
      </c>
      <c r="X144" s="167">
        <v>0.23668536960737599</v>
      </c>
      <c r="Y144" s="189">
        <v>15.6039462514752</v>
      </c>
      <c r="Z144" s="207">
        <v>2263</v>
      </c>
      <c r="AA144" s="207">
        <v>1488</v>
      </c>
      <c r="AB144" s="167">
        <v>15531.37</v>
      </c>
      <c r="AC144" s="221"/>
      <c r="AD144" s="195">
        <v>1.5617990710642699E-2</v>
      </c>
      <c r="AE144" s="219">
        <v>1.02693637549432E-2</v>
      </c>
      <c r="AF144" s="167">
        <v>6.8631771984091898</v>
      </c>
      <c r="AG144" s="222">
        <v>0.10718903773025</v>
      </c>
      <c r="AH144" s="223">
        <v>0.55750309374556195</v>
      </c>
      <c r="AI144" s="223">
        <v>0.41807153145477</v>
      </c>
      <c r="AJ144" s="167">
        <v>0.64316721533227095</v>
      </c>
      <c r="AK144" s="224">
        <v>0.29563759084038999</v>
      </c>
      <c r="AL144" s="224">
        <v>2.2022540149209398E-2</v>
      </c>
      <c r="AM144" s="82">
        <v>0.36786820983181201</v>
      </c>
    </row>
    <row r="145" spans="1:40" ht="16.05" hidden="1" customHeight="1" outlineLevel="1">
      <c r="A145" s="186">
        <v>43486</v>
      </c>
      <c r="B145" s="185" t="s">
        <v>51</v>
      </c>
      <c r="C145" s="188">
        <v>46493</v>
      </c>
      <c r="D145" s="188">
        <v>145926</v>
      </c>
      <c r="E145" s="189">
        <v>3.1386660357473199</v>
      </c>
      <c r="F145" s="167">
        <v>0.89576303030302995</v>
      </c>
      <c r="G145" s="218">
        <v>12.51</v>
      </c>
      <c r="H145" s="190">
        <v>25.17</v>
      </c>
      <c r="I145" s="219">
        <v>0.33500000000000002</v>
      </c>
      <c r="J145" s="219">
        <v>0.17699999999999999</v>
      </c>
      <c r="K145" s="219">
        <v>0.10299999999999999</v>
      </c>
      <c r="L145" s="167">
        <v>11.870783821937099</v>
      </c>
      <c r="M145" s="220">
        <v>14.7826843742719</v>
      </c>
      <c r="N145" s="167">
        <v>21.032711601649702</v>
      </c>
      <c r="O145" s="193">
        <f t="shared" si="22"/>
        <v>0.70284253662815499</v>
      </c>
      <c r="P145" s="167">
        <v>2.56138178485419</v>
      </c>
      <c r="Q145" s="167">
        <v>4.0770063278180197</v>
      </c>
      <c r="R145" s="167">
        <v>1.1874945155660399</v>
      </c>
      <c r="S145" s="167">
        <v>7.6385538644540398</v>
      </c>
      <c r="T145" s="167">
        <v>1.4431227635697099</v>
      </c>
      <c r="U145" s="167">
        <v>0.51579029474566895</v>
      </c>
      <c r="V145" s="167">
        <v>2.4234763023702501</v>
      </c>
      <c r="W145" s="167">
        <v>1.1858857482717899</v>
      </c>
      <c r="X145" s="167">
        <v>0.24213642531145901</v>
      </c>
      <c r="Y145" s="189">
        <v>15.0248207995834</v>
      </c>
      <c r="Z145" s="207">
        <v>2192</v>
      </c>
      <c r="AA145" s="207">
        <v>1457</v>
      </c>
      <c r="AB145" s="167">
        <v>15292.08</v>
      </c>
      <c r="AC145" s="221"/>
      <c r="AD145" s="195">
        <v>1.5021312171922801E-2</v>
      </c>
      <c r="AE145" s="219">
        <v>9.9845126982169002E-3</v>
      </c>
      <c r="AF145" s="167">
        <v>6.9763138686131398</v>
      </c>
      <c r="AG145" s="222">
        <v>0.104793388429752</v>
      </c>
      <c r="AH145" s="223">
        <v>0.53752177747187702</v>
      </c>
      <c r="AI145" s="223">
        <v>0.40664186006495601</v>
      </c>
      <c r="AJ145" s="167">
        <v>0.63722708770198599</v>
      </c>
      <c r="AK145" s="224">
        <v>0.30316735879829498</v>
      </c>
      <c r="AL145" s="224">
        <v>2.3463947480229699E-2</v>
      </c>
      <c r="AM145" s="82">
        <v>0.35650946370078002</v>
      </c>
    </row>
    <row r="146" spans="1:40" ht="16.05" hidden="1" customHeight="1" outlineLevel="1">
      <c r="A146" s="186">
        <v>43487</v>
      </c>
      <c r="B146" s="185" t="s">
        <v>51</v>
      </c>
      <c r="C146" s="188">
        <v>44764</v>
      </c>
      <c r="D146" s="188">
        <v>144004</v>
      </c>
      <c r="E146" s="189">
        <v>3.21696005718881</v>
      </c>
      <c r="F146" s="167">
        <v>0.86248519439043403</v>
      </c>
      <c r="G146" s="218">
        <v>12.83</v>
      </c>
      <c r="H146" s="190">
        <v>25.73</v>
      </c>
      <c r="I146" s="219">
        <v>0.34699999999999998</v>
      </c>
      <c r="J146" s="219">
        <v>0.184</v>
      </c>
      <c r="K146" s="219">
        <v>0.104</v>
      </c>
      <c r="L146" s="167">
        <v>11.5540957195633</v>
      </c>
      <c r="M146" s="220">
        <v>14.1233507402572</v>
      </c>
      <c r="N146" s="167">
        <v>19.990554261394401</v>
      </c>
      <c r="O146" s="193">
        <f t="shared" si="22"/>
        <v>0.70650120829976693</v>
      </c>
      <c r="P146" s="167">
        <v>2.4953164469868998</v>
      </c>
      <c r="Q146" s="167">
        <v>3.8080283863611801</v>
      </c>
      <c r="R146" s="167">
        <v>1.1765596280679</v>
      </c>
      <c r="S146" s="167">
        <v>7.1328104266800301</v>
      </c>
      <c r="T146" s="167">
        <v>1.39595435378763</v>
      </c>
      <c r="U146" s="167">
        <v>0.55332763247132399</v>
      </c>
      <c r="V146" s="167">
        <v>2.2965627733710798</v>
      </c>
      <c r="W146" s="167">
        <v>1.1319946136683099</v>
      </c>
      <c r="X146" s="167">
        <v>0.21486208716424501</v>
      </c>
      <c r="Y146" s="189">
        <v>14.338212827421501</v>
      </c>
      <c r="Z146" s="207">
        <v>2043</v>
      </c>
      <c r="AA146" s="207">
        <v>1364</v>
      </c>
      <c r="AB146" s="167">
        <v>13700.57</v>
      </c>
      <c r="AC146" s="221"/>
      <c r="AD146" s="195">
        <v>1.41871059137246E-2</v>
      </c>
      <c r="AE146" s="219">
        <v>9.4719591122468805E-3</v>
      </c>
      <c r="AF146" s="167">
        <v>6.7061037689672096</v>
      </c>
      <c r="AG146" s="222">
        <v>9.5140204438765599E-2</v>
      </c>
      <c r="AH146" s="223">
        <v>0.55392726297918005</v>
      </c>
      <c r="AI146" s="223">
        <v>0.41432847824144398</v>
      </c>
      <c r="AJ146" s="167">
        <v>0.682425488180884</v>
      </c>
      <c r="AK146" s="224">
        <v>0.317782839365573</v>
      </c>
      <c r="AL146" s="224">
        <v>2.6971473014638501E-2</v>
      </c>
      <c r="AM146" s="82">
        <v>0.299186133718508</v>
      </c>
    </row>
    <row r="147" spans="1:40" s="166" customFormat="1" ht="16.05" hidden="1" customHeight="1" outlineLevel="1">
      <c r="A147" s="196">
        <v>43488</v>
      </c>
      <c r="B147" s="197" t="s">
        <v>51</v>
      </c>
      <c r="C147" s="198">
        <v>35828</v>
      </c>
      <c r="D147" s="198">
        <v>134645</v>
      </c>
      <c r="E147" s="200">
        <v>3.7580942279781202</v>
      </c>
      <c r="F147" s="166">
        <v>0.61028113925507799</v>
      </c>
      <c r="G147" s="201">
        <v>12.7</v>
      </c>
      <c r="H147" s="217">
        <v>26.79</v>
      </c>
      <c r="I147" s="203">
        <v>0.34300000000000003</v>
      </c>
      <c r="J147" s="203">
        <v>0.17599999999999999</v>
      </c>
      <c r="K147" s="203">
        <v>9.7000000000000003E-2</v>
      </c>
      <c r="L147" s="166">
        <v>11.243053956701001</v>
      </c>
      <c r="M147" s="204">
        <v>13.421746073006799</v>
      </c>
      <c r="N147" s="166">
        <v>18.677225655759699</v>
      </c>
      <c r="O147" s="205">
        <f t="shared" si="22"/>
        <v>0.71861561884956882</v>
      </c>
      <c r="P147" s="166">
        <v>2.3407056780834701</v>
      </c>
      <c r="Q147" s="166">
        <v>3.4166890593025898</v>
      </c>
      <c r="R147" s="166">
        <v>1.1685648731887801</v>
      </c>
      <c r="S147" s="166">
        <v>6.7190413195808096</v>
      </c>
      <c r="T147" s="166">
        <v>1.3016184708241201</v>
      </c>
      <c r="U147" s="166">
        <v>0.56832509973335499</v>
      </c>
      <c r="V147" s="166">
        <v>2.1081460964468102</v>
      </c>
      <c r="W147" s="166">
        <v>1.0541350585998099</v>
      </c>
      <c r="X147" s="166">
        <v>0.155119016673475</v>
      </c>
      <c r="Y147" s="200">
        <v>13.5768650896803</v>
      </c>
      <c r="Z147" s="206">
        <v>1815</v>
      </c>
      <c r="AA147" s="206">
        <v>1256</v>
      </c>
      <c r="AB147" s="166">
        <v>10658.85</v>
      </c>
      <c r="AC147" s="209"/>
      <c r="AD147" s="210">
        <v>1.3479891566712501E-2</v>
      </c>
      <c r="AE147" s="203">
        <v>9.3282335029150707E-3</v>
      </c>
      <c r="AF147" s="166">
        <v>5.8726446280991702</v>
      </c>
      <c r="AG147" s="211">
        <v>7.9162612796613296E-2</v>
      </c>
      <c r="AH147" s="212">
        <v>0.56969409400468896</v>
      </c>
      <c r="AI147" s="212">
        <v>0.456263257787206</v>
      </c>
      <c r="AJ147" s="166">
        <v>0.79115451743473597</v>
      </c>
      <c r="AK147" s="213">
        <v>0.36154331761298197</v>
      </c>
      <c r="AL147" s="213">
        <v>3.0955475509673602E-2</v>
      </c>
      <c r="AM147" s="214">
        <v>0</v>
      </c>
      <c r="AN147" s="210"/>
    </row>
    <row r="148" spans="1:40" s="167" customFormat="1" ht="16.05" hidden="1" customHeight="1" outlineLevel="1">
      <c r="A148" s="186">
        <v>43489</v>
      </c>
      <c r="B148" s="187" t="s">
        <v>51</v>
      </c>
      <c r="C148" s="188">
        <v>36011</v>
      </c>
      <c r="D148" s="188">
        <v>133158</v>
      </c>
      <c r="E148" s="189">
        <v>3.6977034794923802</v>
      </c>
      <c r="F148" s="167">
        <v>0.76259396091109799</v>
      </c>
      <c r="G148" s="218">
        <v>13.58</v>
      </c>
      <c r="H148" s="190">
        <v>27.12</v>
      </c>
      <c r="I148" s="219">
        <v>0.34799999999999998</v>
      </c>
      <c r="J148" s="219">
        <v>0.17299999999999999</v>
      </c>
      <c r="K148" s="219">
        <v>9.2999999999999999E-2</v>
      </c>
      <c r="L148" s="167">
        <v>11.0172501839919</v>
      </c>
      <c r="M148" s="220">
        <v>12.899705612880901</v>
      </c>
      <c r="N148" s="167">
        <v>18.117276658580298</v>
      </c>
      <c r="O148" s="193">
        <f t="shared" si="22"/>
        <v>0.71201129485273007</v>
      </c>
      <c r="P148" s="167">
        <v>2.3307351545195698</v>
      </c>
      <c r="Q148" s="167">
        <v>3.3246598460078101</v>
      </c>
      <c r="R148" s="167">
        <v>1.1119291214007001</v>
      </c>
      <c r="S148" s="167">
        <v>6.3912351017825104</v>
      </c>
      <c r="T148" s="167">
        <v>1.29846007805084</v>
      </c>
      <c r="U148" s="167">
        <v>0.56558379917730195</v>
      </c>
      <c r="V148" s="167">
        <v>2.0551524100833198</v>
      </c>
      <c r="W148" s="167">
        <v>1.03952114755827</v>
      </c>
      <c r="X148" s="167">
        <v>0.170564292044038</v>
      </c>
      <c r="Y148" s="189">
        <v>13.070269904925</v>
      </c>
      <c r="Z148" s="207">
        <v>1912</v>
      </c>
      <c r="AA148" s="207">
        <v>1283</v>
      </c>
      <c r="AB148" s="167">
        <v>11052.88</v>
      </c>
      <c r="AC148" s="221"/>
      <c r="AD148" s="195">
        <v>1.43588819297376E-2</v>
      </c>
      <c r="AE148" s="219">
        <v>9.6351702488772697E-3</v>
      </c>
      <c r="AF148" s="167">
        <v>5.7807949790795004</v>
      </c>
      <c r="AG148" s="222">
        <v>8.3005752564622504E-2</v>
      </c>
      <c r="AH148" s="223">
        <v>0.54827691538696499</v>
      </c>
      <c r="AI148" s="223">
        <v>0.40990252978256603</v>
      </c>
      <c r="AJ148" s="167">
        <v>0.75574880968473501</v>
      </c>
      <c r="AK148" s="224">
        <v>0.36673725949623798</v>
      </c>
      <c r="AL148" s="224">
        <v>3.2450171976148599E-2</v>
      </c>
      <c r="AM148" s="82">
        <v>0</v>
      </c>
      <c r="AN148" s="195"/>
    </row>
    <row r="149" spans="1:40" ht="16.05" hidden="1" customHeight="1" outlineLevel="1">
      <c r="A149" s="186">
        <v>43490</v>
      </c>
      <c r="B149" s="187" t="s">
        <v>51</v>
      </c>
      <c r="C149" s="188">
        <v>44572</v>
      </c>
      <c r="D149" s="188">
        <v>140914</v>
      </c>
      <c r="E149" s="189">
        <v>3.1614915193395001</v>
      </c>
      <c r="F149" s="167">
        <v>0.77417719726925605</v>
      </c>
      <c r="G149" s="218">
        <v>13.15</v>
      </c>
      <c r="H149" s="190">
        <v>26.94</v>
      </c>
      <c r="I149" s="219">
        <v>0.34399999999999997</v>
      </c>
      <c r="J149" s="219">
        <v>0.17699999999999999</v>
      </c>
      <c r="K149" s="219">
        <v>9.7000000000000003E-2</v>
      </c>
      <c r="L149" s="167">
        <v>10.8939211150063</v>
      </c>
      <c r="M149" s="220">
        <v>12.3168883148587</v>
      </c>
      <c r="N149" s="167">
        <v>17.694900393532201</v>
      </c>
      <c r="O149" s="193">
        <f t="shared" si="22"/>
        <v>0.69606994336971462</v>
      </c>
      <c r="P149" s="167">
        <v>2.3359398894847399</v>
      </c>
      <c r="Q149" s="167">
        <v>3.2303794629202902</v>
      </c>
      <c r="R149" s="167">
        <v>1.07542360785433</v>
      </c>
      <c r="S149" s="167">
        <v>6.1445160369471701</v>
      </c>
      <c r="T149" s="167">
        <v>1.2989315498644001</v>
      </c>
      <c r="U149" s="167">
        <v>0.574261362477825</v>
      </c>
      <c r="V149" s="167">
        <v>2.00951206084456</v>
      </c>
      <c r="W149" s="167">
        <v>1.0259364231388799</v>
      </c>
      <c r="X149" s="167">
        <v>0.170380515775579</v>
      </c>
      <c r="Y149" s="189">
        <v>12.487268830634299</v>
      </c>
      <c r="Z149" s="207">
        <v>1895</v>
      </c>
      <c r="AA149" s="207">
        <v>1335</v>
      </c>
      <c r="AB149" s="167">
        <v>11869.05</v>
      </c>
      <c r="AC149" s="221"/>
      <c r="AD149" s="195">
        <v>1.34479185886427E-2</v>
      </c>
      <c r="AE149" s="219">
        <v>9.4738634912074002E-3</v>
      </c>
      <c r="AF149" s="167">
        <v>6.2633509234828502</v>
      </c>
      <c r="AG149" s="222">
        <v>8.4229033311097504E-2</v>
      </c>
      <c r="AH149" s="223">
        <v>0.53665978641299505</v>
      </c>
      <c r="AI149" s="223">
        <v>0.38878668222202301</v>
      </c>
      <c r="AJ149" s="167">
        <v>0.72151099252026096</v>
      </c>
      <c r="AK149" s="224">
        <v>0.34754531132463801</v>
      </c>
      <c r="AL149" s="224">
        <v>3.1941467845636298E-2</v>
      </c>
      <c r="AM149" s="82">
        <v>0</v>
      </c>
    </row>
    <row r="150" spans="1:40" ht="16.05" hidden="1" customHeight="1" outlineLevel="1">
      <c r="A150" s="186">
        <v>43491</v>
      </c>
      <c r="B150" s="185" t="s">
        <v>51</v>
      </c>
      <c r="C150" s="188">
        <v>58243</v>
      </c>
      <c r="D150" s="188">
        <v>156067</v>
      </c>
      <c r="E150" s="189">
        <v>2.6795838126470102</v>
      </c>
      <c r="F150" s="167">
        <v>0.242519583255909</v>
      </c>
      <c r="G150" s="218">
        <v>12.82</v>
      </c>
      <c r="H150" s="190">
        <v>28.55</v>
      </c>
      <c r="I150" s="219">
        <v>0.33</v>
      </c>
      <c r="J150" s="219">
        <v>0.16300000000000001</v>
      </c>
      <c r="K150" s="219">
        <v>9.2999999999999999E-2</v>
      </c>
      <c r="L150" s="167">
        <v>11.7880781971845</v>
      </c>
      <c r="M150" s="220">
        <v>13.8974414834654</v>
      </c>
      <c r="N150" s="167">
        <v>20.378953302640198</v>
      </c>
      <c r="O150" s="193">
        <f t="shared" si="22"/>
        <v>0.68195070066061314</v>
      </c>
      <c r="P150" s="167">
        <v>2.6936484074039302</v>
      </c>
      <c r="Q150" s="167">
        <v>3.8267499765103801</v>
      </c>
      <c r="R150" s="167">
        <v>1.1386733063985699</v>
      </c>
      <c r="S150" s="167">
        <v>7.1755801935544499</v>
      </c>
      <c r="T150" s="167">
        <v>1.4901719440007499</v>
      </c>
      <c r="U150" s="167">
        <v>0.53742365874283604</v>
      </c>
      <c r="V150" s="167">
        <v>2.38258949544301</v>
      </c>
      <c r="W150" s="167">
        <v>1.1341163205863001</v>
      </c>
      <c r="X150" s="167">
        <v>0.26318183856933203</v>
      </c>
      <c r="Y150" s="189">
        <v>14.1606233220348</v>
      </c>
      <c r="Z150" s="207">
        <v>2402</v>
      </c>
      <c r="AA150" s="207">
        <v>1600</v>
      </c>
      <c r="AB150" s="167">
        <v>16384.98</v>
      </c>
      <c r="AC150" s="221"/>
      <c r="AD150" s="195">
        <v>1.5390825735101E-2</v>
      </c>
      <c r="AE150" s="219">
        <v>1.0252007150775001E-2</v>
      </c>
      <c r="AF150" s="167">
        <v>6.8213905079100696</v>
      </c>
      <c r="AG150" s="222">
        <v>0.10498683257831599</v>
      </c>
      <c r="AH150" s="223">
        <v>0.53699156980238005</v>
      </c>
      <c r="AI150" s="223">
        <v>0.366825197877857</v>
      </c>
      <c r="AJ150" s="167">
        <v>0.57897569633554802</v>
      </c>
      <c r="AK150" s="224">
        <v>0.28933086430827798</v>
      </c>
      <c r="AL150" s="224">
        <v>2.6847443726092001E-2</v>
      </c>
      <c r="AM150" s="82">
        <v>0.34102661036606102</v>
      </c>
    </row>
    <row r="151" spans="1:40" ht="16.05" hidden="1" customHeight="1" outlineLevel="1">
      <c r="A151" s="186">
        <v>43492</v>
      </c>
      <c r="B151" s="185" t="s">
        <v>51</v>
      </c>
      <c r="C151" s="188">
        <v>70470</v>
      </c>
      <c r="D151" s="188">
        <v>175509</v>
      </c>
      <c r="E151" s="189">
        <v>2.4905491698595101</v>
      </c>
      <c r="F151" s="167">
        <v>0.24534785224689301</v>
      </c>
      <c r="G151" s="218">
        <v>12.15</v>
      </c>
      <c r="H151" s="190">
        <v>25.01</v>
      </c>
      <c r="I151" s="219">
        <v>0.33100000000000002</v>
      </c>
      <c r="J151" s="219">
        <v>0.16900000000000001</v>
      </c>
      <c r="K151" s="219">
        <v>0.10100000000000001</v>
      </c>
      <c r="L151" s="167">
        <v>11.944418804733701</v>
      </c>
      <c r="M151" s="220">
        <v>13.947096730082199</v>
      </c>
      <c r="N151" s="167">
        <v>20.678873739165699</v>
      </c>
      <c r="O151" s="193">
        <f t="shared" si="22"/>
        <v>0.67446113874502056</v>
      </c>
      <c r="P151" s="167">
        <v>2.6566644702383999</v>
      </c>
      <c r="Q151" s="167">
        <v>3.92744183688986</v>
      </c>
      <c r="R151" s="167">
        <v>1.18301316167402</v>
      </c>
      <c r="S151" s="167">
        <v>7.3713991248078097</v>
      </c>
      <c r="T151" s="167">
        <v>1.46873468836062</v>
      </c>
      <c r="U151" s="167">
        <v>0.55867842600571105</v>
      </c>
      <c r="V151" s="167">
        <v>2.35860070623617</v>
      </c>
      <c r="W151" s="167">
        <v>1.15434132495311</v>
      </c>
      <c r="X151" s="167">
        <v>0.27209430855397698</v>
      </c>
      <c r="Y151" s="189">
        <v>14.2191910386362</v>
      </c>
      <c r="Z151" s="207">
        <v>2598</v>
      </c>
      <c r="AA151" s="207">
        <v>1706</v>
      </c>
      <c r="AB151" s="167">
        <v>18641.02</v>
      </c>
      <c r="AC151" s="221"/>
      <c r="AD151" s="195">
        <v>1.4802659692665299E-2</v>
      </c>
      <c r="AE151" s="219">
        <v>9.7202992439134207E-3</v>
      </c>
      <c r="AF151" s="167">
        <v>7.1751424172440403</v>
      </c>
      <c r="AG151" s="222">
        <v>0.10621119144887201</v>
      </c>
      <c r="AH151" s="223">
        <v>0.53320561941251599</v>
      </c>
      <c r="AI151" s="223">
        <v>0.37167589044983701</v>
      </c>
      <c r="AJ151" s="167">
        <v>0.58876752759117801</v>
      </c>
      <c r="AK151" s="224">
        <v>0.26821986336883002</v>
      </c>
      <c r="AL151" s="224">
        <v>2.3753767613056899E-2</v>
      </c>
      <c r="AM151" s="82">
        <v>0.33886011543567601</v>
      </c>
    </row>
    <row r="152" spans="1:40" ht="16.05" hidden="1" customHeight="1" outlineLevel="1">
      <c r="A152" s="186">
        <v>43493</v>
      </c>
      <c r="B152" s="185" t="s">
        <v>51</v>
      </c>
      <c r="C152" s="188">
        <v>71107</v>
      </c>
      <c r="D152" s="188">
        <v>185778</v>
      </c>
      <c r="E152" s="189">
        <v>2.6126541690691498</v>
      </c>
      <c r="F152" s="167">
        <v>0.19777160158899301</v>
      </c>
      <c r="G152" s="218">
        <v>12.19</v>
      </c>
      <c r="H152" s="190">
        <v>25.52</v>
      </c>
      <c r="I152" s="219">
        <v>0.33500000000000002</v>
      </c>
      <c r="J152" s="219">
        <v>0.17899999999999999</v>
      </c>
      <c r="K152" s="219">
        <v>0.10299999999999999</v>
      </c>
      <c r="L152" s="167">
        <v>11.800799879426</v>
      </c>
      <c r="M152" s="220">
        <v>13.824871620967</v>
      </c>
      <c r="N152" s="167">
        <v>20.3601937437572</v>
      </c>
      <c r="O152" s="193">
        <f t="shared" si="22"/>
        <v>0.67901473802065138</v>
      </c>
      <c r="P152" s="167">
        <v>2.5765224422494599</v>
      </c>
      <c r="Q152" s="167">
        <v>3.9464509378022301</v>
      </c>
      <c r="R152" s="167">
        <v>1.15433703803529</v>
      </c>
      <c r="S152" s="167">
        <v>7.2475068571337999</v>
      </c>
      <c r="T152" s="167">
        <v>1.4378894297084299</v>
      </c>
      <c r="U152" s="167">
        <v>0.55071108081112397</v>
      </c>
      <c r="V152" s="167">
        <v>2.3103784503670299</v>
      </c>
      <c r="W152" s="167">
        <v>1.13639750764987</v>
      </c>
      <c r="X152" s="167">
        <v>0.25436811678454901</v>
      </c>
      <c r="Y152" s="189">
        <v>14.0792397377515</v>
      </c>
      <c r="Z152" s="207">
        <v>2354</v>
      </c>
      <c r="AA152" s="207">
        <v>1586</v>
      </c>
      <c r="AB152" s="167">
        <v>15905.46</v>
      </c>
      <c r="AC152" s="221"/>
      <c r="AD152" s="195">
        <v>1.2671037474835599E-2</v>
      </c>
      <c r="AE152" s="219">
        <v>8.5370711279053497E-3</v>
      </c>
      <c r="AF152" s="167">
        <v>6.7567799490229401</v>
      </c>
      <c r="AG152" s="222">
        <v>8.5615411943287201E-2</v>
      </c>
      <c r="AH152" s="223">
        <v>0.53731700113912795</v>
      </c>
      <c r="AI152" s="223">
        <v>0.388499022599744</v>
      </c>
      <c r="AJ152" s="167">
        <v>0.60058779833995402</v>
      </c>
      <c r="AK152" s="224">
        <v>0.27199668421449302</v>
      </c>
      <c r="AL152" s="224">
        <v>2.3727244345401501E-2</v>
      </c>
      <c r="AM152" s="82">
        <v>0.32952771587593799</v>
      </c>
    </row>
    <row r="153" spans="1:40" ht="16.05" hidden="1" customHeight="1" outlineLevel="1">
      <c r="A153" s="186">
        <v>43494</v>
      </c>
      <c r="B153" s="185" t="s">
        <v>51</v>
      </c>
      <c r="C153" s="188">
        <v>66196</v>
      </c>
      <c r="D153" s="188">
        <v>185846</v>
      </c>
      <c r="E153" s="189">
        <v>2.8075110278566702</v>
      </c>
      <c r="F153" s="167">
        <v>0.82394150022061297</v>
      </c>
      <c r="G153" s="218">
        <v>13.57</v>
      </c>
      <c r="H153" s="190">
        <v>26.76</v>
      </c>
      <c r="I153" s="219">
        <v>0.34699999999999998</v>
      </c>
      <c r="J153" s="219">
        <v>0.183</v>
      </c>
      <c r="K153" s="219">
        <v>9.4E-2</v>
      </c>
      <c r="L153" s="167">
        <v>11.5650592425987</v>
      </c>
      <c r="M153" s="220">
        <v>13.1654703356543</v>
      </c>
      <c r="N153" s="167">
        <v>19.190196078431399</v>
      </c>
      <c r="O153" s="193">
        <f t="shared" si="22"/>
        <v>0.68605189242706488</v>
      </c>
      <c r="P153" s="167">
        <v>2.4554666666666698</v>
      </c>
      <c r="Q153" s="167">
        <v>3.6755529411764698</v>
      </c>
      <c r="R153" s="167">
        <v>1.1147372549019601</v>
      </c>
      <c r="S153" s="167">
        <v>6.7297568627451003</v>
      </c>
      <c r="T153" s="167">
        <v>1.3633803921568599</v>
      </c>
      <c r="U153" s="167">
        <v>0.57305098039215696</v>
      </c>
      <c r="V153" s="167">
        <v>2.1915215686274498</v>
      </c>
      <c r="W153" s="167">
        <v>1.0867294117647099</v>
      </c>
      <c r="X153" s="167">
        <v>0.22610656134649099</v>
      </c>
      <c r="Y153" s="189">
        <v>13.3915768970007</v>
      </c>
      <c r="Z153" s="207">
        <v>2357</v>
      </c>
      <c r="AA153" s="207">
        <v>1591</v>
      </c>
      <c r="AB153" s="167">
        <v>15081.43</v>
      </c>
      <c r="AC153" s="221"/>
      <c r="AD153" s="195">
        <v>1.26825436113772E-2</v>
      </c>
      <c r="AE153" s="219">
        <v>8.5608514576584905E-3</v>
      </c>
      <c r="AF153" s="167">
        <v>6.3985702163767497</v>
      </c>
      <c r="AG153" s="222">
        <f>AD153*AF153</f>
        <v>8.1150145819657377E-2</v>
      </c>
      <c r="AH153" s="223">
        <v>0.54917215541724596</v>
      </c>
      <c r="AI153" s="223">
        <v>0.40227506193727702</v>
      </c>
      <c r="AJ153" s="167">
        <v>0.64217685610666897</v>
      </c>
      <c r="AK153" s="224">
        <v>0.291042045564607</v>
      </c>
      <c r="AL153" s="224">
        <v>2.65972902295449E-2</v>
      </c>
      <c r="AM153" s="82">
        <v>0.27797746521313299</v>
      </c>
    </row>
    <row r="154" spans="1:40" s="166" customFormat="1" ht="16.05" hidden="1" customHeight="1" outlineLevel="1">
      <c r="A154" s="196">
        <v>43495</v>
      </c>
      <c r="B154" s="197" t="s">
        <v>51</v>
      </c>
      <c r="C154" s="198">
        <v>55921</v>
      </c>
      <c r="D154" s="198">
        <v>180628</v>
      </c>
      <c r="E154" s="200">
        <v>3.2300566871121799</v>
      </c>
      <c r="F154" s="166">
        <v>0.77680230480324197</v>
      </c>
      <c r="G154" s="201">
        <v>13.73</v>
      </c>
      <c r="H154" s="217">
        <v>26.44</v>
      </c>
      <c r="I154" s="203">
        <v>0.34499999999999997</v>
      </c>
      <c r="J154" s="203">
        <v>0.17599999999999999</v>
      </c>
      <c r="K154" s="203">
        <v>9.2999999999999999E-2</v>
      </c>
      <c r="L154" s="166">
        <v>11.2988794649777</v>
      </c>
      <c r="M154" s="204">
        <v>12.2507916823527</v>
      </c>
      <c r="N154" s="166">
        <v>17.5068909318185</v>
      </c>
      <c r="O154" s="205">
        <f t="shared" si="22"/>
        <v>0.69976969240649567</v>
      </c>
      <c r="P154" s="166">
        <v>2.2274165730470399</v>
      </c>
      <c r="Q154" s="166">
        <v>3.2306761182930099</v>
      </c>
      <c r="R154" s="166">
        <v>1.03283279798731</v>
      </c>
      <c r="S154" s="166">
        <v>6.2143309229576396</v>
      </c>
      <c r="T154" s="166">
        <v>1.23539138277504</v>
      </c>
      <c r="U154" s="166">
        <v>0.57908352980268696</v>
      </c>
      <c r="V154" s="166">
        <v>1.9896042658902799</v>
      </c>
      <c r="W154" s="166">
        <v>0.99755534106552302</v>
      </c>
      <c r="X154" s="166">
        <v>0.19550125119029199</v>
      </c>
      <c r="Y154" s="200">
        <v>12.446292933543001</v>
      </c>
      <c r="Z154" s="206">
        <v>2207</v>
      </c>
      <c r="AA154" s="206">
        <v>1503</v>
      </c>
      <c r="AB154" s="166">
        <v>13354.93</v>
      </c>
      <c r="AC154" s="209"/>
      <c r="AD154" s="210">
        <v>1.22184821843789E-2</v>
      </c>
      <c r="AE154" s="203">
        <v>8.3209690634896E-3</v>
      </c>
      <c r="AF154" s="166">
        <v>6.05116900770276</v>
      </c>
      <c r="AG154" s="211">
        <v>7.3936100715282296E-2</v>
      </c>
      <c r="AH154" s="212">
        <v>0.56542264980955304</v>
      </c>
      <c r="AI154" s="212">
        <v>0.43134064126178001</v>
      </c>
      <c r="AJ154" s="166">
        <v>0.711921739708129</v>
      </c>
      <c r="AK154" s="213">
        <v>0.327225014947849</v>
      </c>
      <c r="AL154" s="213">
        <v>2.97185375467812E-2</v>
      </c>
      <c r="AM154" s="214">
        <v>0</v>
      </c>
      <c r="AN154" s="210"/>
    </row>
    <row r="155" spans="1:40" s="167" customFormat="1" ht="16.05" hidden="1" customHeight="1" outlineLevel="1">
      <c r="A155" s="186">
        <v>43496</v>
      </c>
      <c r="B155" s="187" t="s">
        <v>51</v>
      </c>
      <c r="C155" s="188">
        <v>45066</v>
      </c>
      <c r="D155" s="188">
        <v>171432</v>
      </c>
      <c r="E155" s="189">
        <v>3.8040207695380102</v>
      </c>
      <c r="F155" s="167">
        <v>0.80717073708525799</v>
      </c>
      <c r="G155" s="218">
        <v>14.33</v>
      </c>
      <c r="H155" s="190">
        <v>26.56</v>
      </c>
      <c r="I155" s="219">
        <v>0.34399999999999997</v>
      </c>
      <c r="J155" s="219">
        <v>0.17599999999999999</v>
      </c>
      <c r="K155" s="219">
        <v>9.1999999999999998E-2</v>
      </c>
      <c r="L155" s="167">
        <v>10.8891280507723</v>
      </c>
      <c r="M155" s="220">
        <v>12.1491903495263</v>
      </c>
      <c r="N155" s="167">
        <v>17.179810777593602</v>
      </c>
      <c r="O155" s="193">
        <f t="shared" si="22"/>
        <v>0.70717835643286708</v>
      </c>
      <c r="P155" s="167">
        <v>2.2114605759158001</v>
      </c>
      <c r="Q155" s="167">
        <v>3.2252439517293099</v>
      </c>
      <c r="R155" s="167">
        <v>0.99646135953082104</v>
      </c>
      <c r="S155" s="167">
        <v>5.9963623765806302</v>
      </c>
      <c r="T155" s="167">
        <v>1.2348782922141699</v>
      </c>
      <c r="U155" s="167">
        <v>0.55947638019351198</v>
      </c>
      <c r="V155" s="167">
        <v>1.9616935982777</v>
      </c>
      <c r="W155" s="167">
        <v>0.99423424315161701</v>
      </c>
      <c r="X155" s="167">
        <v>0.19442111157776801</v>
      </c>
      <c r="Y155" s="189">
        <v>12.3436114611041</v>
      </c>
      <c r="Z155" s="207">
        <v>2278</v>
      </c>
      <c r="AA155" s="207">
        <v>1533</v>
      </c>
      <c r="AB155" s="167">
        <v>13189.22</v>
      </c>
      <c r="AC155" s="221"/>
      <c r="AD155" s="195">
        <v>1.32880675719819E-2</v>
      </c>
      <c r="AE155" s="219">
        <v>8.9423211535769303E-3</v>
      </c>
      <c r="AF155" s="167">
        <v>5.7898244073748897</v>
      </c>
      <c r="AG155" s="222">
        <v>7.6935577955107595E-2</v>
      </c>
      <c r="AH155" s="223">
        <v>0.56863267208094803</v>
      </c>
      <c r="AI155" s="223">
        <v>0.44587937691385998</v>
      </c>
      <c r="AJ155" s="167">
        <v>0.69456110877782395</v>
      </c>
      <c r="AK155" s="224">
        <v>0.34599724672173199</v>
      </c>
      <c r="AL155" s="224">
        <v>3.10910448457698E-2</v>
      </c>
      <c r="AM155" s="82">
        <v>0</v>
      </c>
      <c r="AN155" s="195"/>
    </row>
    <row r="156" spans="1:40" ht="16.05" customHeight="1" collapsed="1">
      <c r="A156" s="186">
        <v>43497</v>
      </c>
      <c r="B156" s="187" t="s">
        <v>51</v>
      </c>
      <c r="C156" s="188">
        <v>41447</v>
      </c>
      <c r="D156" s="188">
        <v>165692</v>
      </c>
      <c r="E156" s="189">
        <v>3.9976837889352699</v>
      </c>
      <c r="F156" s="167">
        <v>0.80110615135311303</v>
      </c>
      <c r="G156" s="218">
        <v>14.26</v>
      </c>
      <c r="H156" s="190">
        <v>26.68</v>
      </c>
      <c r="I156" s="219">
        <v>0.34399999999999997</v>
      </c>
      <c r="J156" s="219">
        <v>0.18</v>
      </c>
      <c r="K156" s="219">
        <v>9.4E-2</v>
      </c>
      <c r="L156" s="167">
        <v>10.6017369577288</v>
      </c>
      <c r="M156" s="220">
        <v>11.6572616662241</v>
      </c>
      <c r="N156" s="167">
        <v>16.471368268451801</v>
      </c>
      <c r="O156" s="193">
        <f t="shared" si="22"/>
        <v>0.70772879801076816</v>
      </c>
      <c r="P156" s="167">
        <v>2.1681234810045602</v>
      </c>
      <c r="Q156" s="167">
        <v>3.1047541892295198</v>
      </c>
      <c r="R156" s="167">
        <v>0.94762290538523897</v>
      </c>
      <c r="S156" s="167">
        <v>5.6431671854346996</v>
      </c>
      <c r="T156" s="167">
        <v>1.2071803180829701</v>
      </c>
      <c r="U156" s="167">
        <v>0.55540868971986501</v>
      </c>
      <c r="V156" s="167">
        <v>1.8775679017609701</v>
      </c>
      <c r="W156" s="167">
        <v>0.96754359783396604</v>
      </c>
      <c r="X156" s="167">
        <v>0.18005697317915201</v>
      </c>
      <c r="Y156" s="189">
        <v>11.8373186394032</v>
      </c>
      <c r="Z156" s="207">
        <v>2378</v>
      </c>
      <c r="AA156" s="207">
        <v>1622</v>
      </c>
      <c r="AB156" s="167">
        <v>14582.22</v>
      </c>
      <c r="AC156" s="221"/>
      <c r="AD156" s="195">
        <v>1.43519300871497E-2</v>
      </c>
      <c r="AE156" s="219">
        <v>9.7892475194940008E-3</v>
      </c>
      <c r="AF156" s="167">
        <v>6.1321362489486999</v>
      </c>
      <c r="AG156" s="222">
        <v>8.8007990729787794E-2</v>
      </c>
      <c r="AH156" s="223">
        <v>0.57442034405385201</v>
      </c>
      <c r="AI156" s="223">
        <v>0.433734649069897</v>
      </c>
      <c r="AJ156" s="167">
        <v>0.65952490162470101</v>
      </c>
      <c r="AK156" s="224">
        <v>0.34930473408492901</v>
      </c>
      <c r="AL156" s="224">
        <v>3.1516307365473298E-2</v>
      </c>
      <c r="AM156" s="82">
        <v>0</v>
      </c>
    </row>
    <row r="157" spans="1:40" ht="16.05" hidden="1" customHeight="1" outlineLevel="1">
      <c r="A157" s="186">
        <v>43498</v>
      </c>
      <c r="B157" s="185" t="s">
        <v>51</v>
      </c>
      <c r="C157" s="188">
        <v>40734</v>
      </c>
      <c r="D157" s="188">
        <v>160152</v>
      </c>
      <c r="E157" s="189">
        <v>3.9316541464133201</v>
      </c>
      <c r="F157" s="167">
        <v>0.95892047504870404</v>
      </c>
      <c r="G157" s="218">
        <v>12.87</v>
      </c>
      <c r="H157" s="190">
        <v>24.63</v>
      </c>
      <c r="I157" s="219">
        <v>0.34</v>
      </c>
      <c r="J157" s="219">
        <v>0.16200000000000001</v>
      </c>
      <c r="K157" s="219">
        <v>9.6000000000000002E-2</v>
      </c>
      <c r="L157" s="167">
        <v>12.093405015235501</v>
      </c>
      <c r="M157" s="220">
        <v>14.3587591787802</v>
      </c>
      <c r="N157" s="167">
        <v>20.170727856428599</v>
      </c>
      <c r="O157" s="193">
        <f t="shared" si="22"/>
        <v>0.71186123182976413</v>
      </c>
      <c r="P157" s="167">
        <v>2.5709173201410498</v>
      </c>
      <c r="Q157" s="167">
        <v>3.7437240145255499</v>
      </c>
      <c r="R157" s="167">
        <v>1.0164991316246501</v>
      </c>
      <c r="S157" s="167">
        <v>7.3709892461800299</v>
      </c>
      <c r="T157" s="167">
        <v>1.4692998614107999</v>
      </c>
      <c r="U157" s="167">
        <v>0.50410504710278403</v>
      </c>
      <c r="V157" s="167">
        <v>2.3773573320702401</v>
      </c>
      <c r="W157" s="167">
        <v>1.1178359033735099</v>
      </c>
      <c r="X157" s="167">
        <v>0.28332459163794399</v>
      </c>
      <c r="Y157" s="189">
        <v>14.6420837704181</v>
      </c>
      <c r="Z157" s="207">
        <v>2808</v>
      </c>
      <c r="AA157" s="207">
        <v>1760</v>
      </c>
      <c r="AB157" s="167">
        <v>20982.92</v>
      </c>
      <c r="AC157" s="221"/>
      <c r="AD157" s="195">
        <v>1.75333433238423E-2</v>
      </c>
      <c r="AE157" s="219">
        <v>1.0989559918077801E-2</v>
      </c>
      <c r="AF157" s="167">
        <v>7.4725498575498603</v>
      </c>
      <c r="AG157" s="222">
        <v>0.13101878215695101</v>
      </c>
      <c r="AH157" s="223">
        <v>0.56976972553640703</v>
      </c>
      <c r="AI157" s="223">
        <v>0.41908479402955801</v>
      </c>
      <c r="AJ157" s="167">
        <v>0.54640591438133801</v>
      </c>
      <c r="AK157" s="224">
        <v>0.311510315200559</v>
      </c>
      <c r="AL157" s="224">
        <v>2.8610320195813999E-2</v>
      </c>
      <c r="AM157" s="82">
        <v>0.36803786402917199</v>
      </c>
    </row>
    <row r="158" spans="1:40" ht="16.05" hidden="1" customHeight="1" outlineLevel="1">
      <c r="A158" s="186">
        <v>43499</v>
      </c>
      <c r="B158" s="185" t="s">
        <v>51</v>
      </c>
      <c r="C158" s="188">
        <v>58991</v>
      </c>
      <c r="D158" s="188">
        <v>178593</v>
      </c>
      <c r="E158" s="189">
        <v>3.0274618162092501</v>
      </c>
      <c r="F158" s="167">
        <v>0.23979166652668399</v>
      </c>
      <c r="G158" s="218">
        <v>12.09</v>
      </c>
      <c r="H158" s="190">
        <v>24.38</v>
      </c>
      <c r="I158" s="219">
        <v>0.34</v>
      </c>
      <c r="J158" s="219">
        <v>0.17</v>
      </c>
      <c r="K158" s="219">
        <v>0.10299999999999999</v>
      </c>
      <c r="L158" s="167">
        <v>11.589799152262399</v>
      </c>
      <c r="M158" s="220">
        <v>13.7270721696819</v>
      </c>
      <c r="N158" s="167">
        <v>19.9072586866316</v>
      </c>
      <c r="O158" s="193">
        <f t="shared" si="22"/>
        <v>0.68955110222685234</v>
      </c>
      <c r="P158" s="167">
        <v>2.5218150370689201</v>
      </c>
      <c r="Q158" s="167">
        <v>3.7483617406556302</v>
      </c>
      <c r="R158" s="167">
        <v>1.04869710675686</v>
      </c>
      <c r="S158" s="167">
        <v>7.1887307245694201</v>
      </c>
      <c r="T158" s="167">
        <v>1.44814817822313</v>
      </c>
      <c r="U158" s="167">
        <v>0.52412930677472003</v>
      </c>
      <c r="V158" s="167">
        <v>2.2999618348504698</v>
      </c>
      <c r="W158" s="167">
        <v>1.1274147577325</v>
      </c>
      <c r="X158" s="167">
        <v>0.28820838442716101</v>
      </c>
      <c r="Y158" s="189">
        <v>14.015280554109101</v>
      </c>
      <c r="Z158" s="207">
        <v>2599</v>
      </c>
      <c r="AA158" s="207">
        <v>1711</v>
      </c>
      <c r="AB158" s="167">
        <v>18539.009999999998</v>
      </c>
      <c r="AC158" s="221"/>
      <c r="AD158" s="195">
        <v>1.45526420408415E-2</v>
      </c>
      <c r="AE158" s="219">
        <v>9.5804426825239503E-3</v>
      </c>
      <c r="AF158" s="167">
        <v>7.1331319738360897</v>
      </c>
      <c r="AG158" s="222">
        <v>0.103805916245318</v>
      </c>
      <c r="AH158" s="223">
        <v>0.54379481615839698</v>
      </c>
      <c r="AI158" s="223">
        <v>0.36334356088216802</v>
      </c>
      <c r="AJ158" s="167">
        <v>0.52846976085288899</v>
      </c>
      <c r="AK158" s="224">
        <v>0.27942304569608001</v>
      </c>
      <c r="AL158" s="224">
        <v>2.5364935915741401E-2</v>
      </c>
      <c r="AM158" s="82">
        <v>0.349532176513077</v>
      </c>
    </row>
    <row r="159" spans="1:40" ht="16.05" hidden="1" customHeight="1" outlineLevel="1">
      <c r="A159" s="186">
        <v>43500</v>
      </c>
      <c r="B159" s="185" t="s">
        <v>51</v>
      </c>
      <c r="C159" s="188">
        <v>65892</v>
      </c>
      <c r="D159" s="188">
        <v>191621</v>
      </c>
      <c r="E159" s="189">
        <v>2.9081072057305901</v>
      </c>
      <c r="F159" s="167">
        <v>0.70005354252404495</v>
      </c>
      <c r="G159" s="218">
        <v>12.5</v>
      </c>
      <c r="H159" s="190">
        <v>25.44</v>
      </c>
      <c r="I159" s="219">
        <v>0.33800000000000002</v>
      </c>
      <c r="J159" s="219">
        <v>0.18099999999999999</v>
      </c>
      <c r="K159" s="219">
        <v>0.104</v>
      </c>
      <c r="L159" s="167">
        <v>11.455612902552399</v>
      </c>
      <c r="M159" s="220">
        <v>13.073222663486799</v>
      </c>
      <c r="N159" s="167">
        <v>19.130525093930402</v>
      </c>
      <c r="O159" s="193">
        <f t="shared" si="22"/>
        <v>0.68336977679899535</v>
      </c>
      <c r="P159" s="167">
        <v>2.4522940403824398</v>
      </c>
      <c r="Q159" s="167">
        <v>3.67573387909705</v>
      </c>
      <c r="R159" s="167">
        <v>0.99597550172587601</v>
      </c>
      <c r="S159" s="167">
        <v>6.8009591593609704</v>
      </c>
      <c r="T159" s="167">
        <v>1.40277056541528</v>
      </c>
      <c r="U159" s="167">
        <v>0.52414698964474404</v>
      </c>
      <c r="V159" s="167">
        <v>2.19266426367719</v>
      </c>
      <c r="W159" s="167">
        <v>1.08598069462687</v>
      </c>
      <c r="X159" s="167">
        <v>0.28044421018573101</v>
      </c>
      <c r="Y159" s="189">
        <v>13.3536668736725</v>
      </c>
      <c r="Z159" s="207">
        <v>2440</v>
      </c>
      <c r="AA159" s="207">
        <v>1670</v>
      </c>
      <c r="AB159" s="167">
        <v>16164.6</v>
      </c>
      <c r="AC159" s="221"/>
      <c r="AD159" s="195">
        <v>1.27334686699266E-2</v>
      </c>
      <c r="AE159" s="219">
        <v>8.7151199503186002E-3</v>
      </c>
      <c r="AF159" s="167">
        <v>6.6248360655737697</v>
      </c>
      <c r="AG159" s="222">
        <v>8.4357142484383293E-2</v>
      </c>
      <c r="AH159" s="223">
        <v>0.54300977356887004</v>
      </c>
      <c r="AI159" s="223">
        <v>0.37015115643780699</v>
      </c>
      <c r="AJ159" s="167">
        <v>0.51911324959164196</v>
      </c>
      <c r="AK159" s="224">
        <v>0.26509098689600802</v>
      </c>
      <c r="AL159" s="224">
        <v>2.3567354308765699E-2</v>
      </c>
      <c r="AM159" s="82">
        <v>0.32959331179776702</v>
      </c>
    </row>
    <row r="160" spans="1:40" ht="16.05" hidden="1" customHeight="1" outlineLevel="1">
      <c r="A160" s="186">
        <v>43501</v>
      </c>
      <c r="B160" s="185" t="s">
        <v>51</v>
      </c>
      <c r="C160" s="188">
        <v>59353</v>
      </c>
      <c r="D160" s="188">
        <v>185218</v>
      </c>
      <c r="E160" s="189">
        <v>3.1206173234714298</v>
      </c>
      <c r="F160" s="167">
        <v>0.19722551965791699</v>
      </c>
      <c r="G160" s="218">
        <v>13.43</v>
      </c>
      <c r="H160" s="190">
        <v>26.78</v>
      </c>
      <c r="I160" s="219">
        <v>0.35299999999999998</v>
      </c>
      <c r="J160" s="219">
        <v>0.187</v>
      </c>
      <c r="K160" s="219">
        <v>0.104</v>
      </c>
      <c r="L160" s="167">
        <v>11.4867561468108</v>
      </c>
      <c r="M160" s="220">
        <v>13.212949065425599</v>
      </c>
      <c r="N160" s="167">
        <v>19.198236503130101</v>
      </c>
      <c r="O160" s="193">
        <f t="shared" si="22"/>
        <v>0.68823764428942968</v>
      </c>
      <c r="P160" s="167">
        <v>2.5731521722076698</v>
      </c>
      <c r="Q160" s="167">
        <v>3.8378179079655501</v>
      </c>
      <c r="R160" s="167">
        <v>1.0812636302304801</v>
      </c>
      <c r="S160" s="167">
        <v>7.2740951095909798</v>
      </c>
      <c r="T160" s="167">
        <v>1.48827211823588</v>
      </c>
      <c r="U160" s="167">
        <v>0.56238134835339004</v>
      </c>
      <c r="V160" s="167">
        <v>2.3404537395861098</v>
      </c>
      <c r="W160" s="167">
        <v>1.15025024710921</v>
      </c>
      <c r="X160" s="167">
        <v>0.28953449448757701</v>
      </c>
      <c r="Y160" s="189">
        <v>13.5024835599132</v>
      </c>
      <c r="Z160" s="207">
        <v>2527</v>
      </c>
      <c r="AA160" s="207">
        <v>1634</v>
      </c>
      <c r="AB160" s="167">
        <v>15813.73</v>
      </c>
      <c r="AC160" s="221"/>
      <c r="AD160" s="195">
        <v>1.3643382392639999E-2</v>
      </c>
      <c r="AE160" s="219">
        <v>8.8220367350905406E-3</v>
      </c>
      <c r="AF160" s="167">
        <v>6.25790660862683</v>
      </c>
      <c r="AG160" s="222">
        <v>8.5379012838924906E-2</v>
      </c>
      <c r="AH160" s="223">
        <v>0.56049399356393104</v>
      </c>
      <c r="AI160" s="223">
        <v>0.41350900544201602</v>
      </c>
      <c r="AJ160" s="167">
        <v>0.59310650152792899</v>
      </c>
      <c r="AK160" s="224">
        <v>0.27946527875260502</v>
      </c>
      <c r="AL160" s="224">
        <v>2.6260946560269501E-2</v>
      </c>
      <c r="AM160" s="82">
        <v>0.28070705870919699</v>
      </c>
    </row>
    <row r="161" spans="1:40" s="166" customFormat="1" ht="16.05" hidden="1" customHeight="1" outlineLevel="1">
      <c r="A161" s="196">
        <v>43502</v>
      </c>
      <c r="B161" s="197" t="s">
        <v>51</v>
      </c>
      <c r="C161" s="198">
        <v>53377</v>
      </c>
      <c r="D161" s="198">
        <v>182088</v>
      </c>
      <c r="E161" s="200">
        <v>3.4113569514959599</v>
      </c>
      <c r="F161" s="166">
        <v>0.719356120881112</v>
      </c>
      <c r="G161" s="201">
        <v>13.36</v>
      </c>
      <c r="H161" s="217">
        <v>26.49</v>
      </c>
      <c r="I161" s="203">
        <v>0.35399999999999998</v>
      </c>
      <c r="J161" s="203">
        <v>0.17799999999999999</v>
      </c>
      <c r="K161" s="203">
        <v>9.5000000000000001E-2</v>
      </c>
      <c r="L161" s="166">
        <v>11.084777689908201</v>
      </c>
      <c r="M161" s="204">
        <v>12.0143062694961</v>
      </c>
      <c r="N161" s="166">
        <v>17.234633746671498</v>
      </c>
      <c r="O161" s="205">
        <f t="shared" si="22"/>
        <v>0.69710249989016482</v>
      </c>
      <c r="P161" s="166">
        <v>2.2381079931302899</v>
      </c>
      <c r="Q161" s="166">
        <v>3.1338805993665999</v>
      </c>
      <c r="R161" s="166">
        <v>0.98306994185954899</v>
      </c>
      <c r="S161" s="166">
        <v>6.0539177840452503</v>
      </c>
      <c r="T161" s="166">
        <v>1.2768367813194299</v>
      </c>
      <c r="U161" s="166">
        <v>0.58208990498999502</v>
      </c>
      <c r="V161" s="166">
        <v>1.96680952305923</v>
      </c>
      <c r="W161" s="166">
        <v>0.99992121890116104</v>
      </c>
      <c r="X161" s="166">
        <v>0.21279271561003499</v>
      </c>
      <c r="Y161" s="200">
        <v>12.2270989851061</v>
      </c>
      <c r="Z161" s="206">
        <v>2203</v>
      </c>
      <c r="AA161" s="206">
        <v>1508</v>
      </c>
      <c r="AB161" s="166">
        <v>12856.97</v>
      </c>
      <c r="AC161" s="209"/>
      <c r="AD161" s="210">
        <v>1.2098545758095E-2</v>
      </c>
      <c r="AE161" s="203">
        <v>8.2817099424454099E-3</v>
      </c>
      <c r="AF161" s="166">
        <v>5.8361189287335398</v>
      </c>
      <c r="AG161" s="211">
        <v>7.0608551908967102E-2</v>
      </c>
      <c r="AH161" s="212">
        <v>0.57378646233396402</v>
      </c>
      <c r="AI161" s="212">
        <v>0.421567341738951</v>
      </c>
      <c r="AJ161" s="166">
        <v>0.66663371556609996</v>
      </c>
      <c r="AK161" s="213">
        <v>0.31619326918852397</v>
      </c>
      <c r="AL161" s="213">
        <v>2.856860419138E-2</v>
      </c>
      <c r="AM161" s="214">
        <v>0</v>
      </c>
      <c r="AN161" s="210"/>
    </row>
    <row r="162" spans="1:40" s="167" customFormat="1" ht="16.05" hidden="1" customHeight="1" outlineLevel="1">
      <c r="A162" s="186">
        <v>43503</v>
      </c>
      <c r="B162" s="187" t="s">
        <v>51</v>
      </c>
      <c r="C162" s="188">
        <v>50127</v>
      </c>
      <c r="D162" s="188">
        <v>179524</v>
      </c>
      <c r="E162" s="189">
        <v>3.58138328645241</v>
      </c>
      <c r="F162" s="167">
        <v>0.16395024397852101</v>
      </c>
      <c r="G162" s="218">
        <v>13.84</v>
      </c>
      <c r="H162" s="190">
        <v>26.24</v>
      </c>
      <c r="I162" s="219">
        <v>0.34899999999999998</v>
      </c>
      <c r="J162" s="219">
        <v>0.18099999999999999</v>
      </c>
      <c r="K162" s="219">
        <v>9.7000000000000003E-2</v>
      </c>
      <c r="L162" s="167">
        <v>10.965709320202301</v>
      </c>
      <c r="M162" s="220">
        <v>11.597312894097699</v>
      </c>
      <c r="N162" s="167">
        <v>16.505176705617501</v>
      </c>
      <c r="O162" s="193">
        <f t="shared" si="22"/>
        <v>0.70264699984402945</v>
      </c>
      <c r="P162" s="167">
        <v>2.18017789475353</v>
      </c>
      <c r="Q162" s="167">
        <v>3.0478746174945699</v>
      </c>
      <c r="R162" s="167">
        <v>0.92878660557149895</v>
      </c>
      <c r="S162" s="167">
        <v>5.6846094084444498</v>
      </c>
      <c r="T162" s="167">
        <v>1.2394127253412801</v>
      </c>
      <c r="U162" s="167">
        <v>0.569810213885938</v>
      </c>
      <c r="V162" s="167">
        <v>1.8878882529213099</v>
      </c>
      <c r="W162" s="167">
        <v>0.96661698720489597</v>
      </c>
      <c r="X162" s="167">
        <v>0.18474410106726699</v>
      </c>
      <c r="Y162" s="189">
        <v>11.782056995165</v>
      </c>
      <c r="Z162" s="207">
        <v>2144</v>
      </c>
      <c r="AA162" s="207">
        <v>1509</v>
      </c>
      <c r="AB162" s="167">
        <v>12741.56</v>
      </c>
      <c r="AC162" s="221"/>
      <c r="AD162" s="195">
        <v>1.19426928989996E-2</v>
      </c>
      <c r="AE162" s="219">
        <v>8.4055613734096805E-3</v>
      </c>
      <c r="AF162" s="167">
        <v>5.9428917910447803</v>
      </c>
      <c r="AG162" s="222">
        <v>7.0974131592433307E-2</v>
      </c>
      <c r="AH162" s="223">
        <v>0.57312426436850405</v>
      </c>
      <c r="AI162" s="223">
        <v>0.42543938396473002</v>
      </c>
      <c r="AJ162" s="167">
        <v>0.64664334573650295</v>
      </c>
      <c r="AK162" s="224">
        <v>0.32567790379002198</v>
      </c>
      <c r="AL162" s="224">
        <v>2.83026224905862E-2</v>
      </c>
      <c r="AM162" s="82">
        <v>0</v>
      </c>
      <c r="AN162" s="195"/>
    </row>
    <row r="163" spans="1:40" ht="16.05" hidden="1" customHeight="1" outlineLevel="1">
      <c r="A163" s="186">
        <v>43504</v>
      </c>
      <c r="B163" s="187" t="s">
        <v>51</v>
      </c>
      <c r="C163" s="188">
        <v>49191</v>
      </c>
      <c r="D163" s="188">
        <v>177524</v>
      </c>
      <c r="E163" s="189">
        <v>3.60887154154215</v>
      </c>
      <c r="F163" s="167">
        <v>0.67434052471778505</v>
      </c>
      <c r="G163" s="218">
        <v>13.07</v>
      </c>
      <c r="H163" s="190">
        <v>25.51</v>
      </c>
      <c r="I163" s="219">
        <v>0.34399999999999997</v>
      </c>
      <c r="J163" s="219">
        <v>0.18</v>
      </c>
      <c r="K163" s="219">
        <v>9.2999999999999999E-2</v>
      </c>
      <c r="L163" s="167">
        <v>10.715875036614801</v>
      </c>
      <c r="M163" s="220">
        <v>11.3780108605034</v>
      </c>
      <c r="N163" s="167">
        <v>16.3708644696957</v>
      </c>
      <c r="O163" s="193">
        <f t="shared" si="22"/>
        <v>0.69501588517609258</v>
      </c>
      <c r="P163" s="167">
        <v>2.1985783987939902</v>
      </c>
      <c r="Q163" s="167">
        <v>3.01268418407872</v>
      </c>
      <c r="R163" s="167">
        <v>0.91103240342999803</v>
      </c>
      <c r="S163" s="167">
        <v>5.5979964662592598</v>
      </c>
      <c r="T163" s="167">
        <v>1.2469728161320099</v>
      </c>
      <c r="U163" s="167">
        <v>0.56006548767243203</v>
      </c>
      <c r="V163" s="167">
        <v>1.87719440437017</v>
      </c>
      <c r="W163" s="167">
        <v>0.966340308959167</v>
      </c>
      <c r="X163" s="167">
        <v>0.18701696671999299</v>
      </c>
      <c r="Y163" s="189">
        <v>11.5650278272234</v>
      </c>
      <c r="Z163" s="207">
        <v>2217</v>
      </c>
      <c r="AA163" s="207">
        <v>1562</v>
      </c>
      <c r="AB163" s="167">
        <v>13416.83</v>
      </c>
      <c r="AC163" s="221"/>
      <c r="AD163" s="195">
        <v>1.24884522656092E-2</v>
      </c>
      <c r="AE163" s="219">
        <v>8.7988103017056906E-3</v>
      </c>
      <c r="AF163" s="167">
        <v>6.0517952187641004</v>
      </c>
      <c r="AG163" s="222">
        <v>7.5577555710777095E-2</v>
      </c>
      <c r="AH163" s="223">
        <v>0.55428838608688602</v>
      </c>
      <c r="AI163" s="223">
        <v>0.40450488910573101</v>
      </c>
      <c r="AJ163" s="167">
        <v>0.62601113088934501</v>
      </c>
      <c r="AK163" s="224">
        <v>0.32857529122822798</v>
      </c>
      <c r="AL163" s="224">
        <v>2.7799058155517E-2</v>
      </c>
      <c r="AM163" s="82">
        <v>0</v>
      </c>
    </row>
    <row r="164" spans="1:40" ht="16.05" hidden="1" customHeight="1" outlineLevel="1">
      <c r="A164" s="186">
        <v>43505</v>
      </c>
      <c r="B164" s="185" t="s">
        <v>51</v>
      </c>
      <c r="C164" s="188">
        <v>75653</v>
      </c>
      <c r="D164" s="188">
        <v>202455</v>
      </c>
      <c r="E164" s="189">
        <v>2.6761000885622499</v>
      </c>
      <c r="F164" s="167">
        <v>0.229021059494702</v>
      </c>
      <c r="G164" s="218">
        <v>11.7</v>
      </c>
      <c r="H164" s="190">
        <v>23.37</v>
      </c>
      <c r="I164" s="219">
        <v>0.32500000000000001</v>
      </c>
      <c r="J164" s="219">
        <v>0.159</v>
      </c>
      <c r="K164" s="219">
        <v>8.7999999999999995E-2</v>
      </c>
      <c r="L164" s="167">
        <v>11.304986293250399</v>
      </c>
      <c r="M164" s="220">
        <v>12.772255562964601</v>
      </c>
      <c r="N164" s="167">
        <v>19.2309071031749</v>
      </c>
      <c r="O164" s="193">
        <f t="shared" si="22"/>
        <v>0.66415252772220934</v>
      </c>
      <c r="P164" s="167">
        <v>2.5250221253746399</v>
      </c>
      <c r="Q164" s="167">
        <v>3.4806821308781002</v>
      </c>
      <c r="R164" s="167">
        <v>0.94833446129360899</v>
      </c>
      <c r="S164" s="167">
        <v>7.0030640854969102</v>
      </c>
      <c r="T164" s="167">
        <v>1.42520879660273</v>
      </c>
      <c r="U164" s="167">
        <v>0.52363138753988103</v>
      </c>
      <c r="V164" s="167">
        <v>2.2478860041201498</v>
      </c>
      <c r="W164" s="167">
        <v>1.0770781118688699</v>
      </c>
      <c r="X164" s="167">
        <v>0.29955298708354899</v>
      </c>
      <c r="Y164" s="189">
        <v>13.0718085500482</v>
      </c>
      <c r="Z164" s="207">
        <v>2794</v>
      </c>
      <c r="AA164" s="207">
        <v>1832</v>
      </c>
      <c r="AB164" s="167">
        <v>20072.060000000001</v>
      </c>
      <c r="AC164" s="221"/>
      <c r="AD164" s="195">
        <v>1.3800597663678299E-2</v>
      </c>
      <c r="AE164" s="219">
        <v>9.0489244523474406E-3</v>
      </c>
      <c r="AF164" s="167">
        <v>7.1839871152469597</v>
      </c>
      <c r="AG164" s="222">
        <v>9.9143315798572496E-2</v>
      </c>
      <c r="AH164" s="223">
        <v>0.51500931886376</v>
      </c>
      <c r="AI164" s="223">
        <v>0.32200970219290698</v>
      </c>
      <c r="AJ164" s="167">
        <v>0.482359042750241</v>
      </c>
      <c r="AK164" s="224">
        <v>0.25601244721049099</v>
      </c>
      <c r="AL164" s="224">
        <v>2.1906102590699202E-2</v>
      </c>
      <c r="AM164" s="82">
        <v>0.33234052011558102</v>
      </c>
    </row>
    <row r="165" spans="1:40" ht="16.05" hidden="1" customHeight="1" outlineLevel="1">
      <c r="A165" s="186">
        <v>43506</v>
      </c>
      <c r="B165" s="185" t="s">
        <v>51</v>
      </c>
      <c r="C165" s="188">
        <v>61746</v>
      </c>
      <c r="D165" s="188">
        <v>198767</v>
      </c>
      <c r="E165" s="189">
        <v>3.2191073105950201</v>
      </c>
      <c r="F165" s="167">
        <v>0.76696176820095896</v>
      </c>
      <c r="G165" s="218">
        <v>12.61</v>
      </c>
      <c r="H165" s="190">
        <v>26.22</v>
      </c>
      <c r="I165" s="219">
        <v>0.32700000000000001</v>
      </c>
      <c r="J165" s="219">
        <v>0.16600000000000001</v>
      </c>
      <c r="K165" s="219">
        <v>0.1</v>
      </c>
      <c r="L165" s="167">
        <v>12.1013196355532</v>
      </c>
      <c r="M165" s="220">
        <v>13.6286003209788</v>
      </c>
      <c r="N165" s="167">
        <v>19.5831387489247</v>
      </c>
      <c r="O165" s="193">
        <f t="shared" si="22"/>
        <v>0.69593544199992652</v>
      </c>
      <c r="P165" s="167">
        <v>2.4556528276789402</v>
      </c>
      <c r="Q165" s="167">
        <v>3.7161838804589098</v>
      </c>
      <c r="R165" s="167">
        <v>1.0304997505946001</v>
      </c>
      <c r="S165" s="167">
        <v>7.0653225281755798</v>
      </c>
      <c r="T165" s="167">
        <v>1.4214372980358401</v>
      </c>
      <c r="U165" s="167">
        <v>0.52988165894353301</v>
      </c>
      <c r="V165" s="167">
        <v>2.2530199741196699</v>
      </c>
      <c r="W165" s="167">
        <v>1.1111408309175901</v>
      </c>
      <c r="X165" s="167">
        <v>0.32258875970357298</v>
      </c>
      <c r="Y165" s="189">
        <v>13.951189080682401</v>
      </c>
      <c r="Z165" s="207">
        <v>2625</v>
      </c>
      <c r="AA165" s="207">
        <v>1789</v>
      </c>
      <c r="AB165" s="167">
        <v>17233.75</v>
      </c>
      <c r="AC165" s="221"/>
      <c r="AD165" s="195">
        <v>1.32064175642838E-2</v>
      </c>
      <c r="AE165" s="219">
        <v>9.00048800857285E-3</v>
      </c>
      <c r="AF165" s="167">
        <v>6.5652380952381</v>
      </c>
      <c r="AG165" s="222">
        <v>8.6703275694657606E-2</v>
      </c>
      <c r="AH165" s="223">
        <v>0.56453859359310699</v>
      </c>
      <c r="AI165" s="223">
        <v>0.42062643734007099</v>
      </c>
      <c r="AJ165" s="167">
        <v>0.53337827707818697</v>
      </c>
      <c r="AK165" s="224">
        <v>0.26741360487404903</v>
      </c>
      <c r="AL165" s="224">
        <v>2.2805596502437499E-2</v>
      </c>
      <c r="AM165" s="82">
        <v>0.35883220051618198</v>
      </c>
    </row>
    <row r="166" spans="1:40" ht="16.05" hidden="1" customHeight="1" outlineLevel="1">
      <c r="A166" s="186">
        <v>43507</v>
      </c>
      <c r="B166" s="185" t="s">
        <v>51</v>
      </c>
      <c r="C166" s="188">
        <v>52256</v>
      </c>
      <c r="D166" s="188">
        <v>193045</v>
      </c>
      <c r="E166" s="189">
        <v>3.69421693202694</v>
      </c>
      <c r="F166" s="167">
        <v>0.77425219246807697</v>
      </c>
      <c r="G166" s="218">
        <v>12.8</v>
      </c>
      <c r="H166" s="190">
        <v>26.38</v>
      </c>
      <c r="I166" s="219">
        <v>0.33600000000000002</v>
      </c>
      <c r="J166" s="219">
        <v>0.17299999999999999</v>
      </c>
      <c r="K166" s="219">
        <v>0.105</v>
      </c>
      <c r="L166" s="167">
        <v>11.778766608821799</v>
      </c>
      <c r="M166" s="220">
        <v>13.364008391825701</v>
      </c>
      <c r="N166" s="167">
        <v>19.070765386832999</v>
      </c>
      <c r="O166" s="193">
        <f t="shared" si="22"/>
        <v>0.70075889041415163</v>
      </c>
      <c r="P166" s="167">
        <v>2.39663507739618</v>
      </c>
      <c r="Q166" s="167">
        <v>3.6711808276290299</v>
      </c>
      <c r="R166" s="167">
        <v>1.02321885302858</v>
      </c>
      <c r="S166" s="167">
        <v>6.8077810139120896</v>
      </c>
      <c r="T166" s="167">
        <v>1.4012625851949301</v>
      </c>
      <c r="U166" s="167">
        <v>0.50472360620352197</v>
      </c>
      <c r="V166" s="167">
        <v>2.1816629459335601</v>
      </c>
      <c r="W166" s="167">
        <v>1.0843004775351499</v>
      </c>
      <c r="X166" s="167">
        <v>0.31610246315625901</v>
      </c>
      <c r="Y166" s="189">
        <v>13.680110854982001</v>
      </c>
      <c r="Z166" s="207">
        <v>2582</v>
      </c>
      <c r="AA166" s="207">
        <v>1754</v>
      </c>
      <c r="AB166" s="167">
        <v>17787.18</v>
      </c>
      <c r="AC166" s="221"/>
      <c r="AD166" s="195">
        <v>1.33751197907224E-2</v>
      </c>
      <c r="AE166" s="219">
        <v>9.0859644124426896E-3</v>
      </c>
      <c r="AF166" s="167">
        <v>6.8889155693260999</v>
      </c>
      <c r="AG166" s="222">
        <v>9.2140070967908994E-2</v>
      </c>
      <c r="AH166" s="223">
        <v>0.56508343539497896</v>
      </c>
      <c r="AI166" s="223">
        <v>0.43074479485609302</v>
      </c>
      <c r="AJ166" s="167">
        <v>0.55323888212592898</v>
      </c>
      <c r="AK166" s="224">
        <v>0.28165453650703198</v>
      </c>
      <c r="AL166" s="224">
        <v>2.4268952834831301E-2</v>
      </c>
      <c r="AM166" s="82">
        <v>0.35681835841384102</v>
      </c>
    </row>
    <row r="167" spans="1:40" ht="16.05" hidden="1" customHeight="1" outlineLevel="1">
      <c r="A167" s="186">
        <v>43508</v>
      </c>
      <c r="B167" s="185" t="s">
        <v>51</v>
      </c>
      <c r="C167" s="188">
        <v>41034</v>
      </c>
      <c r="D167" s="188">
        <v>177217</v>
      </c>
      <c r="E167" s="189">
        <v>4.3187844226738799</v>
      </c>
      <c r="F167" s="167">
        <v>0.78893502609794797</v>
      </c>
      <c r="G167" s="218">
        <v>13.72</v>
      </c>
      <c r="H167" s="190">
        <v>27.7</v>
      </c>
      <c r="I167" s="219">
        <v>0.34499999999999997</v>
      </c>
      <c r="J167" s="219">
        <v>0.18099999999999999</v>
      </c>
      <c r="K167" s="219">
        <v>0.105</v>
      </c>
      <c r="L167" s="167">
        <v>11.5220718102665</v>
      </c>
      <c r="M167" s="220">
        <v>13.077548993606699</v>
      </c>
      <c r="N167" s="167">
        <v>18.318926267863901</v>
      </c>
      <c r="O167" s="193">
        <f t="shared" si="22"/>
        <v>0.71388185106395008</v>
      </c>
      <c r="P167" s="167">
        <v>2.3273444416340001</v>
      </c>
      <c r="Q167" s="167">
        <v>3.46731535348425</v>
      </c>
      <c r="R167" s="167">
        <v>1.0195949791324099</v>
      </c>
      <c r="S167" s="167">
        <v>6.4287024155811299</v>
      </c>
      <c r="T167" s="167">
        <v>1.37024155811306</v>
      </c>
      <c r="U167" s="167">
        <v>0.53530099911470896</v>
      </c>
      <c r="V167" s="167">
        <v>2.1150799924117898</v>
      </c>
      <c r="W167" s="167">
        <v>1.05534652839256</v>
      </c>
      <c r="X167" s="167">
        <v>0.286135077334567</v>
      </c>
      <c r="Y167" s="189">
        <v>13.3636840709413</v>
      </c>
      <c r="Z167" s="207">
        <v>2298</v>
      </c>
      <c r="AA167" s="207">
        <v>1592</v>
      </c>
      <c r="AB167" s="167">
        <v>15498.02</v>
      </c>
      <c r="AC167" s="221"/>
      <c r="AD167" s="195">
        <v>1.2967153264077399E-2</v>
      </c>
      <c r="AE167" s="219">
        <v>8.9833368130596992E-3</v>
      </c>
      <c r="AF167" s="167">
        <v>6.74413402959095</v>
      </c>
      <c r="AG167" s="222">
        <v>8.7452219595185607E-2</v>
      </c>
      <c r="AH167" s="223">
        <v>0.59375152312716295</v>
      </c>
      <c r="AI167" s="223">
        <v>0.47670224691719099</v>
      </c>
      <c r="AJ167" s="167">
        <v>0.60022458342032603</v>
      </c>
      <c r="AK167" s="224">
        <v>0.31151074671165901</v>
      </c>
      <c r="AL167" s="224">
        <v>2.9043489055790399E-2</v>
      </c>
      <c r="AM167" s="82">
        <v>0.31382993730849801</v>
      </c>
    </row>
    <row r="168" spans="1:40" s="166" customFormat="1" ht="16.05" hidden="1" customHeight="1" outlineLevel="1">
      <c r="A168" s="196">
        <v>43509</v>
      </c>
      <c r="B168" s="197" t="s">
        <v>51</v>
      </c>
      <c r="C168" s="198">
        <v>32477</v>
      </c>
      <c r="D168" s="198">
        <v>162291</v>
      </c>
      <c r="E168" s="200">
        <v>4.9971056439942103</v>
      </c>
      <c r="F168" s="166">
        <v>0.70225824637225698</v>
      </c>
      <c r="G168" s="201">
        <v>13.67</v>
      </c>
      <c r="H168" s="217">
        <v>27.65</v>
      </c>
      <c r="I168" s="203">
        <v>0.35199999999999998</v>
      </c>
      <c r="J168" s="203">
        <v>0.17899999999999999</v>
      </c>
      <c r="K168" s="203">
        <v>9.9000000000000005E-2</v>
      </c>
      <c r="L168" s="166">
        <v>10.6004830828573</v>
      </c>
      <c r="M168" s="204">
        <v>12.085876604371199</v>
      </c>
      <c r="N168" s="166">
        <v>16.8542397057813</v>
      </c>
      <c r="O168" s="205">
        <f t="shared" si="22"/>
        <v>0.71708227813002634</v>
      </c>
      <c r="P168" s="166">
        <v>2.1546366948511699</v>
      </c>
      <c r="Q168" s="166">
        <v>3.03667422836324</v>
      </c>
      <c r="R168" s="166">
        <v>0.98535780573314102</v>
      </c>
      <c r="S168" s="166">
        <v>5.9493194473087199</v>
      </c>
      <c r="T168" s="166">
        <v>1.2737591943355999</v>
      </c>
      <c r="U168" s="166">
        <v>0.54665051213308602</v>
      </c>
      <c r="V168" s="166">
        <v>1.92735615590843</v>
      </c>
      <c r="W168" s="166">
        <v>0.980485667147866</v>
      </c>
      <c r="X168" s="166">
        <v>0.21250100128780999</v>
      </c>
      <c r="Y168" s="200">
        <v>12.298377605659001</v>
      </c>
      <c r="Z168" s="206">
        <v>2014</v>
      </c>
      <c r="AA168" s="206">
        <v>1377</v>
      </c>
      <c r="AB168" s="166">
        <v>11061.86</v>
      </c>
      <c r="AC168" s="209"/>
      <c r="AD168" s="210">
        <v>1.24098070749456E-2</v>
      </c>
      <c r="AE168" s="203">
        <v>8.4847588590864498E-3</v>
      </c>
      <c r="AF168" s="166">
        <v>5.4924826216484597</v>
      </c>
      <c r="AG168" s="211">
        <v>6.8160649697148995E-2</v>
      </c>
      <c r="AH168" s="212">
        <v>0.59386642854943505</v>
      </c>
      <c r="AI168" s="212">
        <v>0.48686762939926698</v>
      </c>
      <c r="AJ168" s="166">
        <v>0.68372244918079295</v>
      </c>
      <c r="AK168" s="213">
        <v>0.35188026446321702</v>
      </c>
      <c r="AL168" s="213">
        <v>3.3064063934537299E-2</v>
      </c>
      <c r="AM168" s="214">
        <v>0</v>
      </c>
      <c r="AN168" s="210"/>
    </row>
    <row r="169" spans="1:40" s="167" customFormat="1" ht="16.05" hidden="1" customHeight="1" outlineLevel="1">
      <c r="A169" s="186">
        <v>43510</v>
      </c>
      <c r="B169" s="187" t="s">
        <v>51</v>
      </c>
      <c r="C169" s="188">
        <v>32994</v>
      </c>
      <c r="D169" s="188">
        <v>155858</v>
      </c>
      <c r="E169" s="189">
        <v>4.7238285748923996</v>
      </c>
      <c r="F169" s="167">
        <v>0.70297353424270803</v>
      </c>
      <c r="G169" s="218">
        <v>13.88</v>
      </c>
      <c r="H169" s="190">
        <v>28.26</v>
      </c>
      <c r="I169" s="219">
        <v>0.32600000000000001</v>
      </c>
      <c r="J169" s="219">
        <v>0.16700000000000001</v>
      </c>
      <c r="K169" s="219">
        <v>0.09</v>
      </c>
      <c r="L169" s="167">
        <v>10.339026549808199</v>
      </c>
      <c r="M169" s="220">
        <v>11.5534653338295</v>
      </c>
      <c r="N169" s="167">
        <v>16.379678901168901</v>
      </c>
      <c r="O169" s="193">
        <f t="shared" si="22"/>
        <v>0.70535359108932294</v>
      </c>
      <c r="P169" s="167">
        <v>2.1544730977395701</v>
      </c>
      <c r="Q169" s="167">
        <v>2.9544003274662298</v>
      </c>
      <c r="R169" s="167">
        <v>0.95579205894392105</v>
      </c>
      <c r="S169" s="167">
        <v>5.6922090326101804</v>
      </c>
      <c r="T169" s="167">
        <v>1.26032655660163</v>
      </c>
      <c r="U169" s="167">
        <v>0.53578933005867102</v>
      </c>
      <c r="V169" s="167">
        <v>1.8640378405421401</v>
      </c>
      <c r="W169" s="167">
        <v>0.96265065720653098</v>
      </c>
      <c r="X169" s="167">
        <v>0.20973578513775401</v>
      </c>
      <c r="Y169" s="189">
        <v>11.7632011189673</v>
      </c>
      <c r="Z169" s="207">
        <v>1926</v>
      </c>
      <c r="AA169" s="207">
        <v>1334</v>
      </c>
      <c r="AB169" s="167">
        <v>11750.74</v>
      </c>
      <c r="AC169" s="221"/>
      <c r="AD169" s="195">
        <v>1.2357402250766701E-2</v>
      </c>
      <c r="AE169" s="219">
        <v>8.5590730023482903E-3</v>
      </c>
      <c r="AF169" s="167">
        <v>6.10111111111111</v>
      </c>
      <c r="AG169" s="222">
        <v>7.5393884176622294E-2</v>
      </c>
      <c r="AH169" s="223">
        <v>0.54582651391161996</v>
      </c>
      <c r="AI169" s="223">
        <v>0.41950051524519599</v>
      </c>
      <c r="AJ169" s="167">
        <v>0.663206251844628</v>
      </c>
      <c r="AK169" s="224">
        <v>0.35770380731178397</v>
      </c>
      <c r="AL169" s="224">
        <v>3.2972320958821501E-2</v>
      </c>
      <c r="AM169" s="82">
        <v>0</v>
      </c>
      <c r="AN169" s="195"/>
    </row>
    <row r="170" spans="1:40" ht="16.05" hidden="1" customHeight="1" outlineLevel="1">
      <c r="A170" s="186">
        <v>43511</v>
      </c>
      <c r="B170" s="187" t="s">
        <v>51</v>
      </c>
      <c r="C170" s="188">
        <v>39102</v>
      </c>
      <c r="D170" s="188">
        <v>157609</v>
      </c>
      <c r="E170" s="189">
        <v>4.03071454145568</v>
      </c>
      <c r="F170" s="167">
        <v>0.65067657213737795</v>
      </c>
      <c r="G170" s="218">
        <v>13.48</v>
      </c>
      <c r="H170" s="190">
        <v>25.82</v>
      </c>
      <c r="I170" s="219">
        <v>0.32300000000000001</v>
      </c>
      <c r="J170" s="219">
        <v>0.16500000000000001</v>
      </c>
      <c r="K170" s="219">
        <v>0.09</v>
      </c>
      <c r="L170" s="167">
        <v>9.9085141076969006</v>
      </c>
      <c r="M170" s="220">
        <v>10.9007607433586</v>
      </c>
      <c r="N170" s="167">
        <v>15.904704597211699</v>
      </c>
      <c r="O170" s="193">
        <f t="shared" si="22"/>
        <v>0.68537964202552015</v>
      </c>
      <c r="P170" s="167">
        <v>2.1728536779544898</v>
      </c>
      <c r="Q170" s="167">
        <v>2.8532706300568398</v>
      </c>
      <c r="R170" s="167">
        <v>0.91913684249504701</v>
      </c>
      <c r="S170" s="167">
        <v>5.4171465071929799</v>
      </c>
      <c r="T170" s="167">
        <v>1.2497546796023</v>
      </c>
      <c r="U170" s="167">
        <v>0.54080650237914496</v>
      </c>
      <c r="V170" s="167">
        <v>1.8086223176760301</v>
      </c>
      <c r="W170" s="167">
        <v>0.94311343985484497</v>
      </c>
      <c r="X170" s="167">
        <v>0.20474719083301099</v>
      </c>
      <c r="Y170" s="189">
        <v>11.1055079341916</v>
      </c>
      <c r="Z170" s="207">
        <v>1933</v>
      </c>
      <c r="AA170" s="207">
        <v>1358</v>
      </c>
      <c r="AB170" s="167">
        <v>11334.67</v>
      </c>
      <c r="AC170" s="221"/>
      <c r="AD170" s="195">
        <v>1.22645280409114E-2</v>
      </c>
      <c r="AE170" s="219">
        <v>8.6162592237752893E-3</v>
      </c>
      <c r="AF170" s="167">
        <v>5.8637713398861901</v>
      </c>
      <c r="AG170" s="222">
        <v>7.1916388023526595E-2</v>
      </c>
      <c r="AH170" s="223">
        <v>0.50713518490102805</v>
      </c>
      <c r="AI170" s="223">
        <v>0.36072323666308598</v>
      </c>
      <c r="AJ170" s="167">
        <v>0.62106859379857704</v>
      </c>
      <c r="AK170" s="224">
        <v>0.34462498968967498</v>
      </c>
      <c r="AL170" s="224">
        <v>3.1812904085426599E-2</v>
      </c>
      <c r="AM170" s="82">
        <v>0</v>
      </c>
    </row>
    <row r="171" spans="1:40" ht="16.05" hidden="1" customHeight="1" outlineLevel="1">
      <c r="A171" s="186">
        <v>43512</v>
      </c>
      <c r="B171" s="185" t="s">
        <v>51</v>
      </c>
      <c r="C171" s="188">
        <v>53034</v>
      </c>
      <c r="D171" s="188">
        <v>171449</v>
      </c>
      <c r="E171" s="189">
        <v>3.2328129124712399</v>
      </c>
      <c r="F171" s="167">
        <v>0.82875799686204099</v>
      </c>
      <c r="G171" s="218">
        <v>12.25</v>
      </c>
      <c r="H171" s="190">
        <v>24.02</v>
      </c>
      <c r="I171" s="219">
        <v>0.30399999999999999</v>
      </c>
      <c r="J171" s="219">
        <v>0.151</v>
      </c>
      <c r="K171" s="219">
        <v>8.1000000000000003E-2</v>
      </c>
      <c r="L171" s="167">
        <v>11.9394747125967</v>
      </c>
      <c r="M171" s="220">
        <v>13.643631633897</v>
      </c>
      <c r="N171" s="167">
        <v>20.272359344125899</v>
      </c>
      <c r="O171" s="193">
        <f t="shared" si="22"/>
        <v>0.67301646553785888</v>
      </c>
      <c r="P171" s="167">
        <v>2.5991784240995601</v>
      </c>
      <c r="Q171" s="167">
        <v>3.5692619683156002</v>
      </c>
      <c r="R171" s="167">
        <v>1.01462023780636</v>
      </c>
      <c r="S171" s="167">
        <v>7.5776423891565896</v>
      </c>
      <c r="T171" s="167">
        <v>1.52675321523902</v>
      </c>
      <c r="U171" s="167">
        <v>0.50428987416369098</v>
      </c>
      <c r="V171" s="167">
        <v>2.3656446077581701</v>
      </c>
      <c r="W171" s="167">
        <v>1.1149686275869199</v>
      </c>
      <c r="X171" s="167">
        <v>0.35873058460533502</v>
      </c>
      <c r="Y171" s="189">
        <v>14.0023622185023</v>
      </c>
      <c r="Z171" s="207">
        <v>2865</v>
      </c>
      <c r="AA171" s="207">
        <v>1773</v>
      </c>
      <c r="AB171" s="167">
        <v>20608.349999999999</v>
      </c>
      <c r="AC171" s="221"/>
      <c r="AD171" s="195">
        <v>1.6710508664384199E-2</v>
      </c>
      <c r="AE171" s="219">
        <v>1.0341267665603201E-2</v>
      </c>
      <c r="AF171" s="167">
        <v>7.1931413612565498</v>
      </c>
      <c r="AG171" s="222">
        <v>0.120201051041418</v>
      </c>
      <c r="AH171" s="223">
        <v>0.49653052758607702</v>
      </c>
      <c r="AI171" s="223">
        <v>0.331070633932949</v>
      </c>
      <c r="AJ171" s="167">
        <v>0.49882472338713002</v>
      </c>
      <c r="AK171" s="224">
        <v>0.28488938401507202</v>
      </c>
      <c r="AL171" s="224">
        <v>2.6981784670660099E-2</v>
      </c>
      <c r="AM171" s="82">
        <v>0.343233264702623</v>
      </c>
    </row>
    <row r="172" spans="1:40" ht="16.05" hidden="1" customHeight="1" outlineLevel="1">
      <c r="A172" s="186">
        <v>43513</v>
      </c>
      <c r="B172" s="185" t="s">
        <v>51</v>
      </c>
      <c r="C172" s="188">
        <v>64660</v>
      </c>
      <c r="D172" s="188">
        <v>188186</v>
      </c>
      <c r="E172" s="189">
        <v>2.9103928240024701</v>
      </c>
      <c r="F172" s="167">
        <v>0.77589717419999404</v>
      </c>
      <c r="G172" s="218">
        <v>11.35</v>
      </c>
      <c r="H172" s="190">
        <v>21.4</v>
      </c>
      <c r="I172" s="219">
        <v>0.3</v>
      </c>
      <c r="J172" s="219">
        <v>0.14399999999999999</v>
      </c>
      <c r="K172" s="219">
        <v>8.3000000000000004E-2</v>
      </c>
      <c r="L172" s="167">
        <v>11.4117575164996</v>
      </c>
      <c r="M172" s="220">
        <v>13.4046740990297</v>
      </c>
      <c r="N172" s="167">
        <v>20.303043961173799</v>
      </c>
      <c r="O172" s="193">
        <f t="shared" si="22"/>
        <v>0.66022977267171923</v>
      </c>
      <c r="P172" s="167">
        <v>2.5586578239943298</v>
      </c>
      <c r="Q172" s="167">
        <v>3.7126990003702298</v>
      </c>
      <c r="R172" s="167">
        <v>1.0679538979122101</v>
      </c>
      <c r="S172" s="167">
        <v>7.4828485424078002</v>
      </c>
      <c r="T172" s="167">
        <v>1.51237866812614</v>
      </c>
      <c r="U172" s="167">
        <v>0.51470469874281699</v>
      </c>
      <c r="V172" s="167">
        <v>2.3186500973874402</v>
      </c>
      <c r="W172" s="167">
        <v>1.1351512322328301</v>
      </c>
      <c r="X172" s="167">
        <v>0.36408128128553702</v>
      </c>
      <c r="Y172" s="189">
        <v>13.7687553803152</v>
      </c>
      <c r="Z172" s="207">
        <v>2697</v>
      </c>
      <c r="AA172" s="207">
        <v>1766</v>
      </c>
      <c r="AB172" s="167">
        <v>20001.03</v>
      </c>
      <c r="AC172" s="221"/>
      <c r="AD172" s="195">
        <v>1.43315655787359E-2</v>
      </c>
      <c r="AE172" s="219">
        <v>9.3843325220792206E-3</v>
      </c>
      <c r="AF172" s="167">
        <v>7.4160289210233596</v>
      </c>
      <c r="AG172" s="222">
        <v>0.106283304815449</v>
      </c>
      <c r="AH172" s="223">
        <v>0.48472007423445701</v>
      </c>
      <c r="AI172" s="223">
        <v>0.32381688833900402</v>
      </c>
      <c r="AJ172" s="167">
        <v>0.50215212608801896</v>
      </c>
      <c r="AK172" s="224">
        <v>0.26647040693781698</v>
      </c>
      <c r="AL172" s="224">
        <v>2.5246298874517799E-2</v>
      </c>
      <c r="AM172" s="82">
        <v>0.335088688850393</v>
      </c>
    </row>
    <row r="173" spans="1:40" ht="16.05" hidden="1" customHeight="1" outlineLevel="1">
      <c r="A173" s="186">
        <v>43514</v>
      </c>
      <c r="B173" s="185" t="s">
        <v>51</v>
      </c>
      <c r="C173" s="188">
        <v>77157</v>
      </c>
      <c r="D173" s="188">
        <v>209056</v>
      </c>
      <c r="E173" s="189">
        <v>2.7094884456368198</v>
      </c>
      <c r="F173" s="167">
        <v>0.65798768776308703</v>
      </c>
      <c r="G173" s="218">
        <v>11.01</v>
      </c>
      <c r="H173" s="190">
        <v>21.28</v>
      </c>
      <c r="I173" s="219">
        <v>0.29499999999999998</v>
      </c>
      <c r="J173" s="219">
        <v>0.14699999999999999</v>
      </c>
      <c r="K173" s="219">
        <v>8.2000000000000003E-2</v>
      </c>
      <c r="L173" s="167">
        <v>11.0531914893617</v>
      </c>
      <c r="M173" s="220">
        <v>12.5970696846778</v>
      </c>
      <c r="N173" s="167">
        <v>19.5105350501563</v>
      </c>
      <c r="O173" s="193">
        <f t="shared" si="22"/>
        <v>0.64565475279351114</v>
      </c>
      <c r="P173" s="167">
        <v>2.4946806146186802</v>
      </c>
      <c r="Q173" s="167">
        <v>3.66698276756212</v>
      </c>
      <c r="R173" s="167">
        <v>1.0142319489101901</v>
      </c>
      <c r="S173" s="167">
        <v>7.0052156647750001</v>
      </c>
      <c r="T173" s="167">
        <v>1.4735734712323501</v>
      </c>
      <c r="U173" s="167">
        <v>0.51827705255671297</v>
      </c>
      <c r="V173" s="167">
        <v>2.2297781860747699</v>
      </c>
      <c r="W173" s="167">
        <v>1.1077953444265001</v>
      </c>
      <c r="X173" s="167">
        <v>0.36008055257921301</v>
      </c>
      <c r="Y173" s="189">
        <v>12.957150237257</v>
      </c>
      <c r="Z173" s="207">
        <v>2528</v>
      </c>
      <c r="AA173" s="207">
        <v>1714</v>
      </c>
      <c r="AB173" s="167">
        <v>16772.72</v>
      </c>
      <c r="AC173" s="221"/>
      <c r="AD173" s="195">
        <v>1.2092453696617199E-2</v>
      </c>
      <c r="AE173" s="219">
        <v>8.1987601408235102E-3</v>
      </c>
      <c r="AF173" s="167">
        <v>6.6347784810126598</v>
      </c>
      <c r="AG173" s="222">
        <v>8.0230751568957606E-2</v>
      </c>
      <c r="AH173" s="223">
        <v>0.47240043029148399</v>
      </c>
      <c r="AI173" s="223">
        <v>0.31302409373096401</v>
      </c>
      <c r="AJ173" s="167">
        <v>0.49026098270319901</v>
      </c>
      <c r="AK173" s="224">
        <v>0.25317618245828899</v>
      </c>
      <c r="AL173" s="224">
        <v>2.40940226542171E-2</v>
      </c>
      <c r="AM173" s="82">
        <v>0.31360975049747403</v>
      </c>
    </row>
    <row r="174" spans="1:40" ht="16.05" hidden="1" customHeight="1" outlineLevel="1">
      <c r="A174" s="186">
        <v>43515</v>
      </c>
      <c r="B174" s="185" t="s">
        <v>51</v>
      </c>
      <c r="C174" s="188">
        <v>79584</v>
      </c>
      <c r="D174" s="188">
        <v>215962</v>
      </c>
      <c r="E174" s="189">
        <v>2.7136359067149201</v>
      </c>
      <c r="F174" s="167">
        <v>0.61741163929765397</v>
      </c>
      <c r="G174" s="218">
        <v>11.19</v>
      </c>
      <c r="H174" s="190">
        <v>22.31</v>
      </c>
      <c r="I174" s="219">
        <v>0.29899999999999999</v>
      </c>
      <c r="J174" s="219">
        <v>0.14899999999999999</v>
      </c>
      <c r="K174" s="219">
        <v>7.6999999999999999E-2</v>
      </c>
      <c r="L174" s="167">
        <v>10.5365388355359</v>
      </c>
      <c r="M174" s="220">
        <v>11.7590270510553</v>
      </c>
      <c r="N174" s="167">
        <v>18.326631497665399</v>
      </c>
      <c r="O174" s="193">
        <v>0.64163602856058</v>
      </c>
      <c r="P174" s="167">
        <v>2.3798468632955401</v>
      </c>
      <c r="Q174" s="167">
        <v>3.4111453499700501</v>
      </c>
      <c r="R174" s="167">
        <v>0.98799154211981</v>
      </c>
      <c r="S174" s="167">
        <v>6.4340436894254802</v>
      </c>
      <c r="T174" s="167">
        <v>1.3986461618399499</v>
      </c>
      <c r="U174" s="167">
        <v>0.54376520000866002</v>
      </c>
      <c r="V174" s="167">
        <v>2.1095555282927601</v>
      </c>
      <c r="W174" s="167">
        <v>1.06163716271316</v>
      </c>
      <c r="X174" s="167">
        <v>0.30163639899611999</v>
      </c>
      <c r="Y174" s="189">
        <v>12.060663450051401</v>
      </c>
      <c r="Z174" s="207">
        <v>2368</v>
      </c>
      <c r="AA174" s="207">
        <v>1598</v>
      </c>
      <c r="AB174" s="167">
        <v>15856.32</v>
      </c>
      <c r="AC174" s="221"/>
      <c r="AD174" s="195">
        <v>1.09648919717358E-2</v>
      </c>
      <c r="AE174" s="219">
        <v>7.3994499032237204E-3</v>
      </c>
      <c r="AF174" s="167">
        <v>6.69608108108108</v>
      </c>
      <c r="AG174" s="222">
        <v>7.3421805688037703E-2</v>
      </c>
      <c r="AH174" s="223">
        <v>0.472519601930036</v>
      </c>
      <c r="AI174" s="223">
        <v>0.31839314435062299</v>
      </c>
      <c r="AJ174" s="167">
        <v>0.52670377195988205</v>
      </c>
      <c r="AK174" s="224">
        <v>0.26064770654096597</v>
      </c>
      <c r="AL174" s="224">
        <v>2.6222205758420498E-2</v>
      </c>
      <c r="AM174" s="82">
        <v>0.26051342365786601</v>
      </c>
    </row>
    <row r="175" spans="1:40" s="166" customFormat="1" ht="16.05" hidden="1" customHeight="1" outlineLevel="1">
      <c r="A175" s="196">
        <v>43516</v>
      </c>
      <c r="B175" s="197" t="s">
        <v>51</v>
      </c>
      <c r="C175" s="198">
        <v>74400</v>
      </c>
      <c r="D175" s="198">
        <v>213414</v>
      </c>
      <c r="E175" s="200">
        <v>2.86846774193548</v>
      </c>
      <c r="F175" s="166">
        <v>0.57862907164946997</v>
      </c>
      <c r="G175" s="201">
        <v>11.78</v>
      </c>
      <c r="H175" s="217">
        <v>23.37</v>
      </c>
      <c r="I175" s="203">
        <v>0.29699999999999999</v>
      </c>
      <c r="J175" s="203">
        <v>0.14399999999999999</v>
      </c>
      <c r="K175" s="203">
        <v>7.5999999999999998E-2</v>
      </c>
      <c r="L175" s="166">
        <v>9.9775178760531205</v>
      </c>
      <c r="M175" s="204">
        <v>10.696219554481001</v>
      </c>
      <c r="N175" s="166">
        <v>16.595345760148899</v>
      </c>
      <c r="O175" s="205">
        <v>0.64453128660725201</v>
      </c>
      <c r="P175" s="166">
        <v>2.2120070954984299</v>
      </c>
      <c r="Q175" s="166">
        <v>2.9719378853088299</v>
      </c>
      <c r="R175" s="166">
        <v>0.92003751308596005</v>
      </c>
      <c r="S175" s="166">
        <v>5.79525561242294</v>
      </c>
      <c r="T175" s="166">
        <v>1.2751468535535699</v>
      </c>
      <c r="U175" s="166">
        <v>0.55532453181342301</v>
      </c>
      <c r="V175" s="166">
        <v>1.8958139467256001</v>
      </c>
      <c r="W175" s="166">
        <v>0.96982232174014205</v>
      </c>
      <c r="X175" s="166">
        <v>0.224352666647924</v>
      </c>
      <c r="Y175" s="200">
        <v>10.9205722211289</v>
      </c>
      <c r="Z175" s="206">
        <v>2024</v>
      </c>
      <c r="AA175" s="206">
        <v>1442</v>
      </c>
      <c r="AB175" s="166">
        <v>11618.76</v>
      </c>
      <c r="AC175" s="209"/>
      <c r="AD175" s="210">
        <v>9.4839138950584302E-3</v>
      </c>
      <c r="AE175" s="203">
        <v>6.7568200774082302E-3</v>
      </c>
      <c r="AF175" s="166">
        <v>5.7404940711462498</v>
      </c>
      <c r="AG175" s="211">
        <v>5.4442351485844399E-2</v>
      </c>
      <c r="AH175" s="212">
        <v>0.47213709677419402</v>
      </c>
      <c r="AI175" s="212">
        <v>0.328467741935484</v>
      </c>
      <c r="AJ175" s="166">
        <v>0.58361681988997904</v>
      </c>
      <c r="AK175" s="213">
        <v>0.28601216415043101</v>
      </c>
      <c r="AL175" s="213">
        <v>2.7406824294563599E-2</v>
      </c>
      <c r="AM175" s="214">
        <v>0</v>
      </c>
      <c r="AN175" s="210"/>
    </row>
    <row r="176" spans="1:40" s="167" customFormat="1" ht="16.05" hidden="1" customHeight="1" outlineLevel="1">
      <c r="A176" s="186">
        <v>43517</v>
      </c>
      <c r="B176" s="187" t="s">
        <v>51</v>
      </c>
      <c r="C176" s="188">
        <v>71770</v>
      </c>
      <c r="D176" s="188">
        <v>212176</v>
      </c>
      <c r="E176" s="189">
        <v>2.9563327295527402</v>
      </c>
      <c r="F176" s="167">
        <v>0.53662356243873</v>
      </c>
      <c r="G176" s="218">
        <v>11.75</v>
      </c>
      <c r="H176" s="190">
        <v>23.7</v>
      </c>
      <c r="I176" s="219">
        <v>0.29299999999999998</v>
      </c>
      <c r="J176" s="219">
        <v>0.14099999999999999</v>
      </c>
      <c r="K176" s="219">
        <v>7.1999999999999995E-2</v>
      </c>
      <c r="L176" s="167">
        <v>9.7287582007390103</v>
      </c>
      <c r="M176" s="220">
        <v>10.183969911771401</v>
      </c>
      <c r="N176" s="167">
        <v>15.9698015594398</v>
      </c>
      <c r="O176" s="193">
        <v>0.63770171932735098</v>
      </c>
      <c r="P176" s="167">
        <v>2.1552640331103801</v>
      </c>
      <c r="Q176" s="167">
        <v>2.8886515649828199</v>
      </c>
      <c r="R176" s="167">
        <v>0.88465319093898998</v>
      </c>
      <c r="S176" s="167">
        <v>5.4987177118362203</v>
      </c>
      <c r="T176" s="167">
        <v>1.2405306529692199</v>
      </c>
      <c r="U176" s="167">
        <v>0.53829496323121795</v>
      </c>
      <c r="V176" s="167">
        <v>1.8201322937068101</v>
      </c>
      <c r="W176" s="167">
        <v>0.94355714866412899</v>
      </c>
      <c r="X176" s="167">
        <v>0.209104705527487</v>
      </c>
      <c r="Y176" s="189">
        <v>10.393074617298801</v>
      </c>
      <c r="Z176" s="207">
        <v>2078</v>
      </c>
      <c r="AA176" s="207">
        <v>1421</v>
      </c>
      <c r="AB176" s="167">
        <v>12494.22</v>
      </c>
      <c r="AC176" s="221"/>
      <c r="AD176" s="195">
        <v>9.7937561269889097E-3</v>
      </c>
      <c r="AE176" s="219">
        <v>6.6972701907850101E-3</v>
      </c>
      <c r="AF176" s="167">
        <v>6.0126179018286798</v>
      </c>
      <c r="AG176" s="222">
        <v>5.8886113415277899E-2</v>
      </c>
      <c r="AH176" s="223">
        <v>0.44979796572384001</v>
      </c>
      <c r="AI176" s="223">
        <v>0.31208025637453002</v>
      </c>
      <c r="AJ176" s="167">
        <v>0.55211711032350497</v>
      </c>
      <c r="AK176" s="224">
        <v>0.290475831385265</v>
      </c>
      <c r="AL176" s="224">
        <v>2.65015835909811E-2</v>
      </c>
      <c r="AM176" s="82">
        <v>0</v>
      </c>
      <c r="AN176" s="195"/>
    </row>
    <row r="177" spans="1:40" ht="16.05" hidden="1" customHeight="1" outlineLevel="1">
      <c r="A177" s="186">
        <v>43518</v>
      </c>
      <c r="B177" s="187" t="s">
        <v>51</v>
      </c>
      <c r="C177" s="188">
        <v>70432</v>
      </c>
      <c r="D177" s="188">
        <v>211926</v>
      </c>
      <c r="E177" s="189">
        <v>3.0089447978191699</v>
      </c>
      <c r="F177" s="167">
        <v>0.51683483883525405</v>
      </c>
      <c r="G177" s="218">
        <v>10.76</v>
      </c>
      <c r="H177" s="190">
        <v>21.77</v>
      </c>
      <c r="I177" s="219">
        <v>0.27200000000000002</v>
      </c>
      <c r="J177" s="219">
        <v>0.13900000000000001</v>
      </c>
      <c r="K177" s="219">
        <v>7.1999999999999995E-2</v>
      </c>
      <c r="L177" s="167">
        <v>9.7166558138218093</v>
      </c>
      <c r="M177" s="220">
        <v>10.1708379339958</v>
      </c>
      <c r="N177" s="167">
        <v>15.9938932090704</v>
      </c>
      <c r="O177" s="193">
        <v>0.63592008531279798</v>
      </c>
      <c r="P177" s="167">
        <v>2.1606687047370299</v>
      </c>
      <c r="Q177" s="167">
        <v>2.9121453163955802</v>
      </c>
      <c r="R177" s="167">
        <v>0.89205894574379696</v>
      </c>
      <c r="S177" s="167">
        <v>5.4651475127626696</v>
      </c>
      <c r="T177" s="167">
        <v>1.2401979698444701</v>
      </c>
      <c r="U177" s="167">
        <v>0.54121156357592304</v>
      </c>
      <c r="V177" s="167">
        <v>1.8336548735604901</v>
      </c>
      <c r="W177" s="167">
        <v>0.94880832245043301</v>
      </c>
      <c r="X177" s="167">
        <v>0.19297773751215</v>
      </c>
      <c r="Y177" s="189">
        <v>10.363815671508</v>
      </c>
      <c r="Z177" s="207">
        <v>2159</v>
      </c>
      <c r="AA177" s="207">
        <v>1504</v>
      </c>
      <c r="AB177" s="167">
        <v>12343.41</v>
      </c>
      <c r="AC177" s="221"/>
      <c r="AD177" s="195">
        <v>1.01875182846843E-2</v>
      </c>
      <c r="AE177" s="219">
        <v>7.0968168134160001E-3</v>
      </c>
      <c r="AF177" s="167">
        <v>5.7171885132005604</v>
      </c>
      <c r="AG177" s="222">
        <v>5.8243962515217601E-2</v>
      </c>
      <c r="AH177" s="223">
        <v>0.44665776919582001</v>
      </c>
      <c r="AI177" s="223">
        <v>0.32118923216719703</v>
      </c>
      <c r="AJ177" s="167">
        <v>0.55458980965053795</v>
      </c>
      <c r="AK177" s="224">
        <v>0.296037296037296</v>
      </c>
      <c r="AL177" s="224">
        <v>2.5928861961250601E-2</v>
      </c>
      <c r="AM177" s="82">
        <v>0</v>
      </c>
    </row>
    <row r="178" spans="1:40" ht="16.05" hidden="1" customHeight="1" outlineLevel="1">
      <c r="A178" s="186">
        <v>43519</v>
      </c>
      <c r="B178" s="185" t="s">
        <v>51</v>
      </c>
      <c r="C178" s="188">
        <v>57014</v>
      </c>
      <c r="D178" s="188">
        <v>195190</v>
      </c>
      <c r="E178" s="189">
        <v>3.4235450941873902</v>
      </c>
      <c r="F178" s="167">
        <v>0.68866740972898199</v>
      </c>
      <c r="G178" s="218">
        <v>11</v>
      </c>
      <c r="H178" s="190">
        <v>23.25</v>
      </c>
      <c r="I178" s="219">
        <v>0.27</v>
      </c>
      <c r="J178" s="219">
        <v>0.13200000000000001</v>
      </c>
      <c r="K178" s="219">
        <v>7.2999999999999995E-2</v>
      </c>
      <c r="L178" s="167">
        <v>11.0849275065321</v>
      </c>
      <c r="M178" s="220">
        <v>12.6277729391875</v>
      </c>
      <c r="N178" s="167">
        <v>19.211490346768102</v>
      </c>
      <c r="O178" s="193">
        <v>0.65730314052974004</v>
      </c>
      <c r="P178" s="167">
        <v>2.5138465615476302</v>
      </c>
      <c r="Q178" s="167">
        <v>3.5741510066329401</v>
      </c>
      <c r="R178" s="167">
        <v>1.0467813466979501</v>
      </c>
      <c r="S178" s="167">
        <v>6.7850256042525698</v>
      </c>
      <c r="T178" s="167">
        <v>1.47477377064513</v>
      </c>
      <c r="U178" s="167">
        <v>0.476589840918479</v>
      </c>
      <c r="V178" s="167">
        <v>2.2677963195348401</v>
      </c>
      <c r="W178" s="167">
        <v>1.07252589653855</v>
      </c>
      <c r="X178" s="167">
        <v>0.35409600901685501</v>
      </c>
      <c r="Y178" s="189">
        <v>12.981868948204299</v>
      </c>
      <c r="Z178" s="207">
        <v>2669</v>
      </c>
      <c r="AA178" s="207">
        <v>1707</v>
      </c>
      <c r="AB178" s="167">
        <v>19493.310000000001</v>
      </c>
      <c r="AC178" s="221"/>
      <c r="AD178" s="195">
        <v>1.3673856242635399E-2</v>
      </c>
      <c r="AE178" s="219">
        <v>8.7453250678825797E-3</v>
      </c>
      <c r="AF178" s="167">
        <v>7.3036005994754598</v>
      </c>
      <c r="AG178" s="222">
        <v>9.9868384650853001E-2</v>
      </c>
      <c r="AH178" s="223">
        <v>0.45566001333005901</v>
      </c>
      <c r="AI178" s="223">
        <v>0.33570701932858599</v>
      </c>
      <c r="AJ178" s="167">
        <v>0.47433270147036199</v>
      </c>
      <c r="AK178" s="224">
        <v>0.27934832727086401</v>
      </c>
      <c r="AL178" s="224">
        <v>2.5175470054818402E-2</v>
      </c>
      <c r="AM178" s="82">
        <v>0.32695322506275898</v>
      </c>
    </row>
    <row r="179" spans="1:40" ht="16.05" hidden="1" customHeight="1" outlineLevel="1">
      <c r="A179" s="186">
        <v>43520</v>
      </c>
      <c r="B179" s="185" t="s">
        <v>51</v>
      </c>
      <c r="C179" s="188">
        <v>55820</v>
      </c>
      <c r="D179" s="188">
        <v>193133</v>
      </c>
      <c r="E179" s="189">
        <v>3.4599247581512</v>
      </c>
      <c r="F179" s="167">
        <v>0.64574533822806002</v>
      </c>
      <c r="G179" s="218">
        <v>10.06</v>
      </c>
      <c r="H179" s="190">
        <v>20.21</v>
      </c>
      <c r="I179" s="219">
        <v>0.28299999999999997</v>
      </c>
      <c r="J179" s="219">
        <v>0.128</v>
      </c>
      <c r="K179" s="219">
        <v>7.1999999999999995E-2</v>
      </c>
      <c r="L179" s="167">
        <v>10.976223638632399</v>
      </c>
      <c r="M179" s="220">
        <v>12.524312261498601</v>
      </c>
      <c r="N179" s="167">
        <v>19.210092442580802</v>
      </c>
      <c r="O179" s="193">
        <v>0.65196522603594398</v>
      </c>
      <c r="P179" s="167">
        <v>2.8117078052034699</v>
      </c>
      <c r="Q179" s="167">
        <v>4.1620127704183698</v>
      </c>
      <c r="R179" s="167">
        <v>1.27874138314432</v>
      </c>
      <c r="S179" s="167">
        <v>7.5511293243114501</v>
      </c>
      <c r="T179" s="167">
        <v>1.6622430826900501</v>
      </c>
      <c r="U179" s="167">
        <v>0.52839194383557297</v>
      </c>
      <c r="V179" s="167">
        <v>2.5500889481876801</v>
      </c>
      <c r="W179" s="167">
        <v>1.26684456304203</v>
      </c>
      <c r="X179" s="167">
        <v>0.385806672086075</v>
      </c>
      <c r="Y179" s="189">
        <v>12.9101189335846</v>
      </c>
      <c r="Z179" s="207">
        <v>2402</v>
      </c>
      <c r="AA179" s="207">
        <v>1586</v>
      </c>
      <c r="AB179" s="167">
        <v>16945.98</v>
      </c>
      <c r="AC179" s="221"/>
      <c r="AD179" s="195">
        <v>1.2437025262384001E-2</v>
      </c>
      <c r="AE179" s="219">
        <v>8.2119575629229606E-3</v>
      </c>
      <c r="AF179" s="167">
        <v>7.0549458784346397</v>
      </c>
      <c r="AG179" s="222">
        <v>8.7742540114843101E-2</v>
      </c>
      <c r="AH179" s="223">
        <v>0.44136510211393798</v>
      </c>
      <c r="AI179" s="223">
        <v>0.31440343962737399</v>
      </c>
      <c r="AJ179" s="167">
        <v>0.48077231752212202</v>
      </c>
      <c r="AK179" s="224">
        <v>0.27445335597748699</v>
      </c>
      <c r="AL179" s="224">
        <v>2.5640361823199599E-2</v>
      </c>
      <c r="AM179" s="82">
        <v>0.334070303883852</v>
      </c>
    </row>
    <row r="180" spans="1:40" ht="16.05" hidden="1" customHeight="1" outlineLevel="1">
      <c r="A180" s="186">
        <v>43521</v>
      </c>
      <c r="B180" s="185" t="s">
        <v>51</v>
      </c>
      <c r="C180" s="188">
        <v>65650</v>
      </c>
      <c r="D180" s="188">
        <v>204891</v>
      </c>
      <c r="E180" s="189">
        <v>3.1209596344249801</v>
      </c>
      <c r="F180" s="167">
        <v>0.58421120055053699</v>
      </c>
      <c r="G180" s="218">
        <v>9.7899999999999991</v>
      </c>
      <c r="H180" s="190">
        <v>20.39</v>
      </c>
      <c r="I180" s="219">
        <v>0.27100000000000002</v>
      </c>
      <c r="J180" s="219">
        <v>0.13400000000000001</v>
      </c>
      <c r="K180" s="219">
        <v>7.4999999999999997E-2</v>
      </c>
      <c r="L180" s="167">
        <v>10.589474403463299</v>
      </c>
      <c r="M180" s="220">
        <v>11.8887310814043</v>
      </c>
      <c r="N180" s="167">
        <v>18.4708139340906</v>
      </c>
      <c r="O180" s="193">
        <v>0.64364955024866899</v>
      </c>
      <c r="P180" s="167">
        <v>2.3908233367202998</v>
      </c>
      <c r="Q180" s="167">
        <v>3.5277301748585801</v>
      </c>
      <c r="R180" s="167">
        <v>1.05478548355298</v>
      </c>
      <c r="S180" s="167">
        <v>6.4119261741912998</v>
      </c>
      <c r="T180" s="167">
        <v>1.4290025629748699</v>
      </c>
      <c r="U180" s="167">
        <v>0.481619375483401</v>
      </c>
      <c r="V180" s="167">
        <v>2.1157509213060601</v>
      </c>
      <c r="W180" s="167">
        <v>1.05917590500311</v>
      </c>
      <c r="X180" s="167">
        <v>0.36184117408768601</v>
      </c>
      <c r="Y180" s="189">
        <v>12.2505722554919</v>
      </c>
      <c r="Z180" s="207">
        <v>2320</v>
      </c>
      <c r="AA180" s="207">
        <v>1571</v>
      </c>
      <c r="AB180" s="167">
        <v>15418.8</v>
      </c>
      <c r="AC180" s="221"/>
      <c r="AD180" s="195">
        <v>1.13230937425265E-2</v>
      </c>
      <c r="AE180" s="219">
        <v>7.6674914954780798E-3</v>
      </c>
      <c r="AF180" s="167">
        <v>6.64603448275862</v>
      </c>
      <c r="AG180" s="222">
        <v>7.5253671464339603E-2</v>
      </c>
      <c r="AH180" s="223">
        <v>0.44464584920030498</v>
      </c>
      <c r="AI180" s="223">
        <v>0.311073876618431</v>
      </c>
      <c r="AJ180" s="167">
        <v>0.48883552718274598</v>
      </c>
      <c r="AK180" s="224">
        <v>0.262778745772142</v>
      </c>
      <c r="AL180" s="224">
        <v>2.5066986836903501E-2</v>
      </c>
      <c r="AM180" s="82">
        <v>0.31657320233685199</v>
      </c>
    </row>
    <row r="181" spans="1:40" ht="15.75" hidden="1" customHeight="1" outlineLevel="1">
      <c r="A181" s="186">
        <v>43522</v>
      </c>
      <c r="B181" s="185" t="s">
        <v>51</v>
      </c>
      <c r="C181" s="188">
        <v>55490</v>
      </c>
      <c r="D181" s="188">
        <v>192341</v>
      </c>
      <c r="E181" s="189">
        <v>3.4662281492160698</v>
      </c>
      <c r="F181" s="167">
        <v>0.591525663119148</v>
      </c>
      <c r="G181" s="218">
        <v>10.99</v>
      </c>
      <c r="H181" s="190">
        <v>22.87</v>
      </c>
      <c r="I181" s="219">
        <v>0.27800000000000002</v>
      </c>
      <c r="J181" s="219">
        <v>0.13500000000000001</v>
      </c>
      <c r="K181" s="219">
        <v>7.2999999999999995E-2</v>
      </c>
      <c r="L181" s="167">
        <v>10.3525977300732</v>
      </c>
      <c r="M181" s="220">
        <v>11.5191768785646</v>
      </c>
      <c r="N181" s="167">
        <v>17.668059520581799</v>
      </c>
      <c r="O181" s="193">
        <v>0.65197747750089696</v>
      </c>
      <c r="P181" s="167">
        <v>2.2927943732954801</v>
      </c>
      <c r="Q181" s="167">
        <v>3.29735570405576</v>
      </c>
      <c r="R181" s="167">
        <v>1.0560038914849801</v>
      </c>
      <c r="S181" s="167">
        <v>6.0889698728887902</v>
      </c>
      <c r="T181" s="167">
        <v>1.3706160986268201</v>
      </c>
      <c r="U181" s="167">
        <v>0.49742428350425</v>
      </c>
      <c r="V181" s="167">
        <v>2.03735187636561</v>
      </c>
      <c r="W181" s="167">
        <v>1.0275434203601199</v>
      </c>
      <c r="X181" s="167">
        <v>0.28975621422369602</v>
      </c>
      <c r="Y181" s="189">
        <v>11.808933092788299</v>
      </c>
      <c r="Z181" s="207">
        <v>2244</v>
      </c>
      <c r="AA181" s="207">
        <v>1519</v>
      </c>
      <c r="AB181" s="167">
        <v>15417.56</v>
      </c>
      <c r="AC181" s="221"/>
      <c r="AD181" s="195">
        <v>1.16667793138228E-2</v>
      </c>
      <c r="AE181" s="219">
        <v>7.8974321647490697E-3</v>
      </c>
      <c r="AF181" s="167">
        <v>6.8705704099821698</v>
      </c>
      <c r="AG181" s="222">
        <v>8.0157428733343403E-2</v>
      </c>
      <c r="AH181" s="223">
        <v>0.44438637592358998</v>
      </c>
      <c r="AI181" s="223">
        <v>0.31436294827896899</v>
      </c>
      <c r="AJ181" s="167">
        <v>0.526284047602955</v>
      </c>
      <c r="AK181" s="224">
        <v>0.28590888058188302</v>
      </c>
      <c r="AL181" s="224">
        <v>2.9645265440025801E-2</v>
      </c>
      <c r="AM181" s="82">
        <v>0.277756692540852</v>
      </c>
    </row>
    <row r="182" spans="1:40" s="166" customFormat="1" ht="16.05" hidden="1" customHeight="1" outlineLevel="1">
      <c r="A182" s="196">
        <v>43523</v>
      </c>
      <c r="B182" s="197" t="s">
        <v>51</v>
      </c>
      <c r="C182" s="198">
        <v>50132</v>
      </c>
      <c r="D182" s="198">
        <v>182656</v>
      </c>
      <c r="E182" s="200">
        <v>3.6435011569456601</v>
      </c>
      <c r="F182" s="166">
        <v>0.51573320175630699</v>
      </c>
      <c r="G182" s="201">
        <v>11</v>
      </c>
      <c r="H182" s="217">
        <v>22.3</v>
      </c>
      <c r="I182" s="203">
        <v>0.28199999999999997</v>
      </c>
      <c r="J182" s="203">
        <v>0.13500000000000001</v>
      </c>
      <c r="K182" s="203">
        <v>7.0999999999999994E-2</v>
      </c>
      <c r="L182" s="166">
        <v>9.9344122284513006</v>
      </c>
      <c r="M182" s="204">
        <v>10.4815609670638</v>
      </c>
      <c r="N182" s="166">
        <v>16.0420297627028</v>
      </c>
      <c r="O182" s="205">
        <v>0.65338121934127502</v>
      </c>
      <c r="P182" s="166">
        <v>2.15769540152835</v>
      </c>
      <c r="Q182" s="166">
        <v>2.8377547258345599</v>
      </c>
      <c r="R182" s="166">
        <v>0.95064686955355904</v>
      </c>
      <c r="S182" s="166">
        <v>5.5043320150154198</v>
      </c>
      <c r="T182" s="166">
        <v>1.2742157125620099</v>
      </c>
      <c r="U182" s="166">
        <v>0.52889965142780504</v>
      </c>
      <c r="V182" s="166">
        <v>1.8357102158466301</v>
      </c>
      <c r="W182" s="166">
        <v>0.95277517093444197</v>
      </c>
      <c r="X182" s="166">
        <v>0.21130430974071501</v>
      </c>
      <c r="Y182" s="200">
        <v>10.6928652768045</v>
      </c>
      <c r="Z182" s="206">
        <v>1833</v>
      </c>
      <c r="AA182" s="206">
        <v>1294</v>
      </c>
      <c r="AB182" s="166">
        <v>10694.67</v>
      </c>
      <c r="AC182" s="209"/>
      <c r="AD182" s="210">
        <v>1.0035257533286599E-2</v>
      </c>
      <c r="AE182" s="203">
        <v>7.0843552908198999E-3</v>
      </c>
      <c r="AF182" s="166">
        <v>5.8345171849427198</v>
      </c>
      <c r="AG182" s="211">
        <v>5.8550882533286601E-2</v>
      </c>
      <c r="AH182" s="212">
        <v>0.45104923003271402</v>
      </c>
      <c r="AI182" s="212">
        <v>0.33062714433894502</v>
      </c>
      <c r="AJ182" s="166">
        <v>0.60151870182200395</v>
      </c>
      <c r="AK182" s="213">
        <v>0.31438879642606898</v>
      </c>
      <c r="AL182" s="213">
        <v>3.30512000700771E-2</v>
      </c>
      <c r="AM182" s="214">
        <v>0</v>
      </c>
      <c r="AN182" s="210"/>
    </row>
    <row r="183" spans="1:40" s="167" customFormat="1" ht="16.05" hidden="1" customHeight="1" outlineLevel="1">
      <c r="A183" s="186">
        <v>43524</v>
      </c>
      <c r="B183" s="187" t="s">
        <v>51</v>
      </c>
      <c r="C183" s="188">
        <v>48938</v>
      </c>
      <c r="D183" s="188">
        <v>177637</v>
      </c>
      <c r="E183" s="189">
        <v>3.62983775389268</v>
      </c>
      <c r="F183" s="167">
        <v>0.52615141184550496</v>
      </c>
      <c r="G183" s="218">
        <v>11.46</v>
      </c>
      <c r="H183" s="190">
        <v>22.85</v>
      </c>
      <c r="I183" s="219">
        <v>0.28699999999999998</v>
      </c>
      <c r="J183" s="219">
        <v>0.13700000000000001</v>
      </c>
      <c r="K183" s="219">
        <v>7.3999999999999996E-2</v>
      </c>
      <c r="L183" s="167">
        <v>10.0257378811847</v>
      </c>
      <c r="M183" s="220">
        <v>10.2067530976092</v>
      </c>
      <c r="N183" s="167">
        <v>15.6191054599335</v>
      </c>
      <c r="O183" s="193">
        <v>0.65347872346414304</v>
      </c>
      <c r="P183" s="167">
        <v>2.1360848365810399</v>
      </c>
      <c r="Q183" s="167">
        <v>2.7603504419289799</v>
      </c>
      <c r="R183" s="167">
        <v>0.90825450974311295</v>
      </c>
      <c r="S183" s="167">
        <v>5.3146138074809199</v>
      </c>
      <c r="T183" s="167">
        <v>1.2636153753381201</v>
      </c>
      <c r="U183" s="167">
        <v>0.51780637824985798</v>
      </c>
      <c r="V183" s="167">
        <v>1.7853672403990299</v>
      </c>
      <c r="W183" s="167">
        <v>0.93301287021243595</v>
      </c>
      <c r="X183" s="167">
        <v>0.19179562816305201</v>
      </c>
      <c r="Y183" s="189">
        <v>10.3985487257722</v>
      </c>
      <c r="Z183" s="207">
        <v>1840</v>
      </c>
      <c r="AA183" s="207">
        <v>1294</v>
      </c>
      <c r="AB183" s="167">
        <v>10777.6</v>
      </c>
      <c r="AC183" s="221"/>
      <c r="AD183" s="195">
        <v>1.0358202401526699E-2</v>
      </c>
      <c r="AE183" s="219">
        <v>7.2845184280302001E-3</v>
      </c>
      <c r="AF183" s="167">
        <v>5.8573913043478196</v>
      </c>
      <c r="AG183" s="222">
        <v>6.0672044675377297E-2</v>
      </c>
      <c r="AH183" s="223">
        <v>0.44895582165188602</v>
      </c>
      <c r="AI183" s="223">
        <v>0.31973108831582803</v>
      </c>
      <c r="AJ183" s="167">
        <v>0.58457978912051001</v>
      </c>
      <c r="AK183" s="224">
        <v>0.31958432083406002</v>
      </c>
      <c r="AL183" s="224">
        <v>3.3298243046212199E-2</v>
      </c>
      <c r="AM183" s="82">
        <v>0</v>
      </c>
      <c r="AN183" s="195"/>
    </row>
    <row r="184" spans="1:40" ht="13.8" collapsed="1">
      <c r="A184" s="186">
        <v>43525</v>
      </c>
      <c r="B184" s="187" t="s">
        <v>51</v>
      </c>
      <c r="C184" s="188">
        <v>43782</v>
      </c>
      <c r="D184" s="188">
        <v>170765</v>
      </c>
      <c r="E184" s="189">
        <v>3.9003471746379801</v>
      </c>
      <c r="F184" s="167">
        <v>0.53185885784557696</v>
      </c>
      <c r="G184" s="218">
        <v>10.5</v>
      </c>
      <c r="H184" s="190">
        <v>21.51</v>
      </c>
      <c r="I184" s="219">
        <v>0.28100000000000003</v>
      </c>
      <c r="J184" s="219">
        <v>0.14499999999999999</v>
      </c>
      <c r="K184" s="219">
        <v>7.5999999999999998E-2</v>
      </c>
      <c r="L184" s="167">
        <v>10.0225631716101</v>
      </c>
      <c r="M184" s="220">
        <v>10.228793956606999</v>
      </c>
      <c r="N184" s="167">
        <v>15.501047176174101</v>
      </c>
      <c r="O184" s="193">
        <v>0.65987760958041797</v>
      </c>
      <c r="P184" s="167">
        <v>2.11802030456853</v>
      </c>
      <c r="Q184" s="167">
        <v>2.75166838237904</v>
      </c>
      <c r="R184" s="167">
        <v>0.90048276596499999</v>
      </c>
      <c r="S184" s="167">
        <v>5.2386141777004704</v>
      </c>
      <c r="T184" s="167">
        <v>1.2550938908806899</v>
      </c>
      <c r="U184" s="167">
        <v>0.517677753718363</v>
      </c>
      <c r="V184" s="167">
        <v>1.78217848141706</v>
      </c>
      <c r="W184" s="167">
        <v>0.93731141954492203</v>
      </c>
      <c r="X184" s="167">
        <v>0.18595730975317001</v>
      </c>
      <c r="Y184" s="189">
        <v>10.4147512663602</v>
      </c>
      <c r="Z184" s="207">
        <v>1885</v>
      </c>
      <c r="AA184" s="207">
        <v>1328</v>
      </c>
      <c r="AB184" s="167">
        <v>12218.15</v>
      </c>
      <c r="AC184" s="221"/>
      <c r="AD184" s="195">
        <v>1.1038561766169901E-2</v>
      </c>
      <c r="AE184" s="219">
        <v>7.7767692442830801E-3</v>
      </c>
      <c r="AF184" s="167">
        <v>6.4817771883289099</v>
      </c>
      <c r="AG184" s="222">
        <v>7.1549497847919696E-2</v>
      </c>
      <c r="AH184" s="223">
        <v>0.45902425654378498</v>
      </c>
      <c r="AI184" s="223">
        <v>0.33833538897263699</v>
      </c>
      <c r="AJ184" s="167">
        <v>0.58384914941586397</v>
      </c>
      <c r="AK184" s="224">
        <v>0.328796884607502</v>
      </c>
      <c r="AL184" s="224">
        <v>3.3631013380962103E-2</v>
      </c>
      <c r="AM184" s="82">
        <v>0</v>
      </c>
    </row>
    <row r="185" spans="1:40" ht="13.8" hidden="1" outlineLevel="1">
      <c r="A185" s="186">
        <v>43526</v>
      </c>
      <c r="B185" s="185" t="s">
        <v>51</v>
      </c>
      <c r="C185" s="188">
        <v>47214</v>
      </c>
      <c r="D185" s="188">
        <v>169050</v>
      </c>
      <c r="E185" s="189">
        <v>3.5805057821832502</v>
      </c>
      <c r="F185" s="167">
        <v>0.70563287982253797</v>
      </c>
      <c r="G185" s="218">
        <v>10.54</v>
      </c>
      <c r="H185" s="190">
        <v>21.46</v>
      </c>
      <c r="I185" s="219">
        <v>0.28199999999999997</v>
      </c>
      <c r="J185" s="219">
        <v>0.14000000000000001</v>
      </c>
      <c r="K185" s="219">
        <v>7.8E-2</v>
      </c>
      <c r="L185" s="167">
        <v>11.6911801242236</v>
      </c>
      <c r="M185" s="220">
        <v>12.811813073055299</v>
      </c>
      <c r="N185" s="167">
        <v>19.350615585297401</v>
      </c>
      <c r="O185" s="193">
        <v>0.66208813960366797</v>
      </c>
      <c r="P185" s="167">
        <v>2.5056376534495999</v>
      </c>
      <c r="Q185" s="167">
        <v>3.35641405928917</v>
      </c>
      <c r="R185" s="167">
        <v>1.0141700766577899</v>
      </c>
      <c r="S185" s="167">
        <v>7.1723728177545896</v>
      </c>
      <c r="T185" s="167">
        <v>1.49772170898629</v>
      </c>
      <c r="U185" s="167">
        <v>0.46953344173829098</v>
      </c>
      <c r="V185" s="167">
        <v>2.2662830798920699</v>
      </c>
      <c r="W185" s="167">
        <v>1.0684827475296199</v>
      </c>
      <c r="X185" s="167">
        <v>0.30785566400473202</v>
      </c>
      <c r="Y185" s="189">
        <v>13.11966873706</v>
      </c>
      <c r="Z185" s="207">
        <v>2582</v>
      </c>
      <c r="AA185" s="207">
        <v>1649</v>
      </c>
      <c r="AB185" s="167">
        <v>19028.18</v>
      </c>
      <c r="AC185" s="221"/>
      <c r="AD185" s="195">
        <v>1.52735876959479E-2</v>
      </c>
      <c r="AE185" s="219">
        <v>9.7545104998521207E-3</v>
      </c>
      <c r="AF185" s="167">
        <v>7.3695507358636698</v>
      </c>
      <c r="AG185" s="222">
        <v>0.112559479443952</v>
      </c>
      <c r="AH185" s="223">
        <v>0.452196382428941</v>
      </c>
      <c r="AI185" s="223">
        <v>0.307895963061804</v>
      </c>
      <c r="AJ185" s="167">
        <v>0.47169476486246698</v>
      </c>
      <c r="AK185" s="224">
        <v>0.28657793552203498</v>
      </c>
      <c r="AL185" s="224">
        <v>3.0292812777284801E-2</v>
      </c>
      <c r="AM185" s="82">
        <v>0.33093759242827597</v>
      </c>
    </row>
    <row r="186" spans="1:40" ht="13.8" hidden="1" outlineLevel="2">
      <c r="A186" s="186">
        <v>43527</v>
      </c>
      <c r="B186" s="185" t="s">
        <v>51</v>
      </c>
      <c r="C186" s="188">
        <v>56865</v>
      </c>
      <c r="D186" s="188">
        <v>179897</v>
      </c>
      <c r="E186" s="189">
        <v>3.1635804097423699</v>
      </c>
      <c r="F186" s="167">
        <v>0.66998761526873696</v>
      </c>
      <c r="G186" s="218">
        <v>10.210000000000001</v>
      </c>
      <c r="H186" s="190">
        <v>21</v>
      </c>
      <c r="I186" s="219">
        <v>0.3</v>
      </c>
      <c r="J186" s="219">
        <v>0.14599999999999999</v>
      </c>
      <c r="K186" s="219">
        <v>8.5999999999999993E-2</v>
      </c>
      <c r="L186" s="167">
        <v>11.6055520659044</v>
      </c>
      <c r="M186" s="220">
        <v>12.753342190253299</v>
      </c>
      <c r="N186" s="167">
        <v>19.434389638552201</v>
      </c>
      <c r="O186" s="193">
        <v>0.65622550681779002</v>
      </c>
      <c r="P186" s="167">
        <v>2.4771500936020301</v>
      </c>
      <c r="Q186" s="167">
        <v>3.5144638425114101</v>
      </c>
      <c r="R186" s="167">
        <v>1.0654875352595901</v>
      </c>
      <c r="S186" s="167">
        <v>7.0773889693612198</v>
      </c>
      <c r="T186" s="167">
        <v>1.49271937180758</v>
      </c>
      <c r="U186" s="167">
        <v>0.48008945134812298</v>
      </c>
      <c r="V186" s="167">
        <v>2.2329631606142999</v>
      </c>
      <c r="W186" s="167">
        <v>1.0941272140479299</v>
      </c>
      <c r="X186" s="167">
        <v>0.338382518885807</v>
      </c>
      <c r="Y186" s="189">
        <v>13.0917247091391</v>
      </c>
      <c r="Z186" s="207">
        <v>2502</v>
      </c>
      <c r="AA186" s="207">
        <v>1594</v>
      </c>
      <c r="AB186" s="167">
        <v>17565.98</v>
      </c>
      <c r="AC186" s="221"/>
      <c r="AD186" s="195">
        <v>1.39079584428868E-2</v>
      </c>
      <c r="AE186" s="219">
        <v>8.8606258025425693E-3</v>
      </c>
      <c r="AF186" s="167">
        <v>7.0207753796962402</v>
      </c>
      <c r="AG186" s="222">
        <v>9.7644652217657904E-2</v>
      </c>
      <c r="AH186" s="223">
        <v>0.463659544535303</v>
      </c>
      <c r="AI186" s="223">
        <v>0.30245317858084902</v>
      </c>
      <c r="AJ186" s="167">
        <v>0.47377666108940097</v>
      </c>
      <c r="AK186" s="224">
        <v>0.26760312845683898</v>
      </c>
      <c r="AL186" s="224">
        <v>2.9294540764993299E-2</v>
      </c>
      <c r="AM186" s="82">
        <v>0.32986653473932298</v>
      </c>
    </row>
    <row r="187" spans="1:40" ht="13.8" hidden="1" outlineLevel="1">
      <c r="A187" s="186">
        <v>43528</v>
      </c>
      <c r="B187" s="185" t="s">
        <v>51</v>
      </c>
      <c r="C187" s="188">
        <v>61476</v>
      </c>
      <c r="D187" s="188">
        <v>191629</v>
      </c>
      <c r="E187" s="189">
        <v>3.1171351421693001</v>
      </c>
      <c r="F187" s="167">
        <v>0.62813068392049198</v>
      </c>
      <c r="G187" s="218">
        <v>10.32</v>
      </c>
      <c r="H187" s="190">
        <v>20.51</v>
      </c>
      <c r="I187" s="219">
        <v>0.29599999999999999</v>
      </c>
      <c r="J187" s="219">
        <v>0.15</v>
      </c>
      <c r="K187" s="219">
        <v>8.4000000000000005E-2</v>
      </c>
      <c r="L187" s="167">
        <v>11.500247874799699</v>
      </c>
      <c r="M187" s="220">
        <v>12.391532596840801</v>
      </c>
      <c r="N187" s="167">
        <v>18.999351906674601</v>
      </c>
      <c r="O187" s="193">
        <v>0.65220817308445</v>
      </c>
      <c r="P187" s="167">
        <v>2.4217087260565502</v>
      </c>
      <c r="Q187" s="167">
        <v>3.53808548430974</v>
      </c>
      <c r="R187" s="167">
        <v>1.03827751196172</v>
      </c>
      <c r="S187" s="167">
        <v>6.7731353314877403</v>
      </c>
      <c r="T187" s="167">
        <v>1.4718039397673299</v>
      </c>
      <c r="U187" s="167">
        <v>0.48385367492919001</v>
      </c>
      <c r="V187" s="167">
        <v>2.1889312060936801</v>
      </c>
      <c r="W187" s="167">
        <v>1.0835560320686199</v>
      </c>
      <c r="X187" s="167">
        <v>0.310047017935699</v>
      </c>
      <c r="Y187" s="189">
        <v>12.701579614776501</v>
      </c>
      <c r="Z187" s="207">
        <v>2380</v>
      </c>
      <c r="AA187" s="207">
        <v>1589</v>
      </c>
      <c r="AB187" s="167">
        <v>15844.2</v>
      </c>
      <c r="AC187" s="221"/>
      <c r="AD187" s="195">
        <v>1.24198320713462E-2</v>
      </c>
      <c r="AE187" s="219">
        <v>8.2920643535164297E-3</v>
      </c>
      <c r="AF187" s="167">
        <v>6.6572268907563004</v>
      </c>
      <c r="AG187" s="222">
        <v>8.2681640044043395E-2</v>
      </c>
      <c r="AH187" s="223">
        <v>0.46110677337497602</v>
      </c>
      <c r="AI187" s="223">
        <v>0.30945409590734602</v>
      </c>
      <c r="AJ187" s="167">
        <v>0.48243741813608598</v>
      </c>
      <c r="AK187" s="224">
        <v>0.26488683863089602</v>
      </c>
      <c r="AL187" s="224">
        <v>2.8899592441645101E-2</v>
      </c>
      <c r="AM187" s="82">
        <v>0.31890267130757899</v>
      </c>
    </row>
    <row r="188" spans="1:40" ht="13.8" hidden="1" outlineLevel="1">
      <c r="A188" s="186">
        <v>43529</v>
      </c>
      <c r="B188" s="185" t="s">
        <v>51</v>
      </c>
      <c r="C188" s="188">
        <v>71312</v>
      </c>
      <c r="D188" s="188">
        <v>202567</v>
      </c>
      <c r="E188" s="189">
        <v>2.84057381646848</v>
      </c>
      <c r="F188" s="167">
        <v>0.60008152187177599</v>
      </c>
      <c r="G188" s="218">
        <v>11.4</v>
      </c>
      <c r="H188" s="190">
        <v>23.14</v>
      </c>
      <c r="I188" s="219">
        <v>0.29399999999999998</v>
      </c>
      <c r="J188" s="219">
        <v>0.14699999999999999</v>
      </c>
      <c r="K188" s="219">
        <v>7.9000000000000001E-2</v>
      </c>
      <c r="L188" s="167">
        <v>10.621937433046799</v>
      </c>
      <c r="M188" s="220">
        <v>10.9803817996021</v>
      </c>
      <c r="N188" s="167">
        <v>17.314964307677901</v>
      </c>
      <c r="O188" s="193">
        <v>0.63415561271085596</v>
      </c>
      <c r="P188" s="167">
        <v>2.2961645349878199</v>
      </c>
      <c r="Q188" s="167">
        <v>3.1937038276804302</v>
      </c>
      <c r="R188" s="167">
        <v>0.96019741707470896</v>
      </c>
      <c r="S188" s="167">
        <v>5.9878794012097201</v>
      </c>
      <c r="T188" s="167">
        <v>1.3588927206346</v>
      </c>
      <c r="U188" s="167">
        <v>0.50954000887442696</v>
      </c>
      <c r="V188" s="167">
        <v>2.0043827213352099</v>
      </c>
      <c r="W188" s="167">
        <v>1.00420367588102</v>
      </c>
      <c r="X188" s="167">
        <v>0.24674305291582499</v>
      </c>
      <c r="Y188" s="189">
        <v>11.2271248525179</v>
      </c>
      <c r="Z188" s="207">
        <v>2199</v>
      </c>
      <c r="AA188" s="207">
        <v>1489</v>
      </c>
      <c r="AB188" s="167">
        <v>15159.01</v>
      </c>
      <c r="AC188" s="221"/>
      <c r="AD188" s="195">
        <v>1.08556675075407E-2</v>
      </c>
      <c r="AE188" s="219">
        <v>7.3506543513997798E-3</v>
      </c>
      <c r="AF188" s="167">
        <v>6.8935925420645701</v>
      </c>
      <c r="AG188" s="222">
        <v>7.4834548569115394E-2</v>
      </c>
      <c r="AH188" s="223">
        <v>0.42508974646623299</v>
      </c>
      <c r="AI188" s="223">
        <v>0.276994054296612</v>
      </c>
      <c r="AJ188" s="167">
        <v>0.47817759062433701</v>
      </c>
      <c r="AK188" s="224">
        <v>0.26148385472461</v>
      </c>
      <c r="AL188" s="224">
        <v>3.0207289440037099E-2</v>
      </c>
      <c r="AM188" s="82">
        <v>0.25711986651330199</v>
      </c>
    </row>
    <row r="189" spans="1:40" s="166" customFormat="1" ht="13.8" hidden="1" outlineLevel="1">
      <c r="A189" s="196">
        <v>43530</v>
      </c>
      <c r="B189" s="197" t="s">
        <v>51</v>
      </c>
      <c r="C189" s="198">
        <v>78182</v>
      </c>
      <c r="D189" s="198">
        <v>211717</v>
      </c>
      <c r="E189" s="200">
        <v>2.7080018418561802</v>
      </c>
      <c r="F189" s="166">
        <v>0.53533788964513895</v>
      </c>
      <c r="G189" s="201">
        <v>11.77</v>
      </c>
      <c r="H189" s="217">
        <v>23.91</v>
      </c>
      <c r="I189" s="203">
        <v>0.28100000000000003</v>
      </c>
      <c r="J189" s="203">
        <v>0.14099999999999999</v>
      </c>
      <c r="K189" s="203">
        <v>7.5999999999999998E-2</v>
      </c>
      <c r="L189" s="166">
        <v>9.9138330885096604</v>
      </c>
      <c r="M189" s="204">
        <v>9.8293901765092109</v>
      </c>
      <c r="N189" s="166">
        <v>15.8195729348</v>
      </c>
      <c r="O189" s="205">
        <v>0.621343586013405</v>
      </c>
      <c r="P189" s="166">
        <v>2.1514188629332001</v>
      </c>
      <c r="Q189" s="166">
        <v>2.7821192103322701</v>
      </c>
      <c r="R189" s="166">
        <v>0.891553717626132</v>
      </c>
      <c r="S189" s="166">
        <v>5.4715733300899299</v>
      </c>
      <c r="T189" s="166">
        <v>1.24664573656964</v>
      </c>
      <c r="U189" s="166">
        <v>0.53834692776075799</v>
      </c>
      <c r="V189" s="166">
        <v>1.8101239842188099</v>
      </c>
      <c r="W189" s="166">
        <v>0.92779116526921501</v>
      </c>
      <c r="X189" s="166">
        <v>0.174251477207782</v>
      </c>
      <c r="Y189" s="200">
        <v>10.003641653717001</v>
      </c>
      <c r="Z189" s="206">
        <v>1868</v>
      </c>
      <c r="AA189" s="206">
        <v>1300</v>
      </c>
      <c r="AB189" s="166">
        <v>12022.32</v>
      </c>
      <c r="AC189" s="209"/>
      <c r="AD189" s="210">
        <v>8.8230987591926997E-3</v>
      </c>
      <c r="AE189" s="203">
        <v>6.1402721557550898E-3</v>
      </c>
      <c r="AF189" s="166">
        <v>6.4359314775160597</v>
      </c>
      <c r="AG189" s="211">
        <v>5.67848590335212E-2</v>
      </c>
      <c r="AH189" s="212">
        <v>0.429766442403622</v>
      </c>
      <c r="AI189" s="212">
        <v>0.28346678263538899</v>
      </c>
      <c r="AJ189" s="166">
        <v>0.53985272793398698</v>
      </c>
      <c r="AK189" s="213">
        <v>0.273199601354638</v>
      </c>
      <c r="AL189" s="213">
        <v>3.02573718690516E-2</v>
      </c>
      <c r="AM189" s="214">
        <v>0</v>
      </c>
      <c r="AN189" s="210"/>
    </row>
    <row r="190" spans="1:40" s="167" customFormat="1" ht="13.8" hidden="1" outlineLevel="1">
      <c r="A190" s="186">
        <v>43531</v>
      </c>
      <c r="B190" s="187" t="s">
        <v>51</v>
      </c>
      <c r="C190" s="188">
        <v>75394</v>
      </c>
      <c r="D190" s="188">
        <v>213864</v>
      </c>
      <c r="E190" s="189">
        <v>2.8366182985383501</v>
      </c>
      <c r="F190" s="167">
        <v>0.52791319893951305</v>
      </c>
      <c r="G190" s="218">
        <v>12.07</v>
      </c>
      <c r="H190" s="190">
        <v>24.15</v>
      </c>
      <c r="I190" s="219">
        <v>0.28399999999999997</v>
      </c>
      <c r="J190" s="219">
        <v>0.13900000000000001</v>
      </c>
      <c r="K190" s="219">
        <v>7.8E-2</v>
      </c>
      <c r="L190" s="167">
        <v>9.5962574346313492</v>
      </c>
      <c r="M190" s="220">
        <v>9.6667648599109697</v>
      </c>
      <c r="N190" s="167">
        <v>15.4933676069427</v>
      </c>
      <c r="O190" s="193">
        <v>0.62392922605019996</v>
      </c>
      <c r="P190" s="167">
        <v>2.1433795977097598</v>
      </c>
      <c r="Q190" s="167">
        <v>2.7547213645493001</v>
      </c>
      <c r="R190" s="167">
        <v>0.85903354417098798</v>
      </c>
      <c r="S190" s="167">
        <v>5.2888650738931</v>
      </c>
      <c r="T190" s="167">
        <v>1.23295062801643</v>
      </c>
      <c r="U190" s="167">
        <v>0.53299709223897596</v>
      </c>
      <c r="V190" s="167">
        <v>1.76691447585359</v>
      </c>
      <c r="W190" s="167">
        <v>0.91450583051050705</v>
      </c>
      <c r="X190" s="167">
        <v>0.17323158642875799</v>
      </c>
      <c r="Y190" s="189">
        <v>9.8399964463397307</v>
      </c>
      <c r="Z190" s="207">
        <v>1994</v>
      </c>
      <c r="AA190" s="207">
        <v>1427</v>
      </c>
      <c r="AB190" s="167">
        <v>12194.06</v>
      </c>
      <c r="AC190" s="221"/>
      <c r="AD190" s="195">
        <v>9.3236823401788103E-3</v>
      </c>
      <c r="AE190" s="219">
        <v>6.6724647439494302E-3</v>
      </c>
      <c r="AF190" s="167">
        <v>6.1153761283851598</v>
      </c>
      <c r="AG190" s="222">
        <v>5.7017824411775699E-2</v>
      </c>
      <c r="AH190" s="223">
        <v>0.42671830649653802</v>
      </c>
      <c r="AI190" s="223">
        <v>0.285685863596573</v>
      </c>
      <c r="AJ190" s="167">
        <v>0.530528747241237</v>
      </c>
      <c r="AK190" s="224">
        <v>0.27947667676654298</v>
      </c>
      <c r="AL190" s="224">
        <v>3.0042456888489898E-2</v>
      </c>
      <c r="AM190" s="82">
        <v>0</v>
      </c>
      <c r="AN190" s="195"/>
    </row>
    <row r="191" spans="1:40" ht="13.8" hidden="1" outlineLevel="1">
      <c r="A191" s="186">
        <v>43532</v>
      </c>
      <c r="B191" s="187" t="s">
        <v>51</v>
      </c>
      <c r="C191" s="188">
        <v>74900</v>
      </c>
      <c r="D191" s="188">
        <v>215476</v>
      </c>
      <c r="E191" s="189">
        <v>2.87684913217623</v>
      </c>
      <c r="F191" s="167">
        <v>0.52753034559765399</v>
      </c>
      <c r="G191" s="218">
        <v>11.49</v>
      </c>
      <c r="H191" s="190">
        <v>23.79</v>
      </c>
      <c r="I191" s="219">
        <v>0.28299999999999997</v>
      </c>
      <c r="J191" s="219">
        <v>0.14199999999999999</v>
      </c>
      <c r="K191" s="219">
        <v>7.3999999999999996E-2</v>
      </c>
      <c r="L191" s="167">
        <v>9.5949200839072599</v>
      </c>
      <c r="M191" s="220">
        <v>9.6175165679704495</v>
      </c>
      <c r="N191" s="167">
        <v>15.3417185498856</v>
      </c>
      <c r="O191" s="193">
        <v>0.62688652100465903</v>
      </c>
      <c r="P191" s="167">
        <v>2.1258448759614699</v>
      </c>
      <c r="Q191" s="167">
        <v>2.7552395264993099</v>
      </c>
      <c r="R191" s="167">
        <v>0.846608281079961</v>
      </c>
      <c r="S191" s="167">
        <v>5.1981285025799702</v>
      </c>
      <c r="T191" s="167">
        <v>1.2208781527846699</v>
      </c>
      <c r="U191" s="167">
        <v>0.53531637042027302</v>
      </c>
      <c r="V191" s="167">
        <v>1.74864338646274</v>
      </c>
      <c r="W191" s="167">
        <v>0.91105945409723199</v>
      </c>
      <c r="X191" s="167">
        <v>0.17523529302567301</v>
      </c>
      <c r="Y191" s="189">
        <v>9.7927518609961197</v>
      </c>
      <c r="Z191" s="207">
        <v>1969</v>
      </c>
      <c r="AA191" s="207">
        <v>1416</v>
      </c>
      <c r="AB191" s="167">
        <v>12231.31</v>
      </c>
      <c r="AC191" s="221"/>
      <c r="AD191" s="195">
        <v>9.1379086301954706E-3</v>
      </c>
      <c r="AE191" s="219">
        <v>6.5714975217657703E-3</v>
      </c>
      <c r="AF191" s="167">
        <v>6.21194007110208</v>
      </c>
      <c r="AG191" s="222">
        <v>5.6764140785980799E-2</v>
      </c>
      <c r="AH191" s="223">
        <v>0.43579439252336399</v>
      </c>
      <c r="AI191" s="223">
        <v>0.29200267022696902</v>
      </c>
      <c r="AJ191" s="167">
        <v>0.51804377285637404</v>
      </c>
      <c r="AK191" s="224">
        <v>0.28129350832575301</v>
      </c>
      <c r="AL191" s="224">
        <v>2.9242235794241601E-2</v>
      </c>
      <c r="AM191" s="82">
        <v>0</v>
      </c>
    </row>
    <row r="192" spans="1:40" ht="13.8" hidden="1" outlineLevel="1">
      <c r="A192" s="186">
        <v>43533</v>
      </c>
      <c r="B192" s="185" t="s">
        <v>51</v>
      </c>
      <c r="C192" s="188">
        <v>88368</v>
      </c>
      <c r="D192" s="188">
        <v>230463</v>
      </c>
      <c r="E192" s="189">
        <v>2.6079915806626799</v>
      </c>
      <c r="F192" s="167">
        <v>0.60326744895275997</v>
      </c>
      <c r="G192" s="218">
        <v>10.31</v>
      </c>
      <c r="H192" s="190">
        <v>21.64</v>
      </c>
      <c r="I192" s="219">
        <v>0.27500000000000002</v>
      </c>
      <c r="J192" s="219">
        <v>0.13100000000000001</v>
      </c>
      <c r="K192" s="219">
        <v>7.1999999999999995E-2</v>
      </c>
      <c r="L192" s="167">
        <v>10.6466677948304</v>
      </c>
      <c r="M192" s="220">
        <v>11.7850934857222</v>
      </c>
      <c r="N192" s="167">
        <v>18.9868295956602</v>
      </c>
      <c r="O192" s="193">
        <v>0.620698333355029</v>
      </c>
      <c r="P192" s="167">
        <v>2.0074170907667401</v>
      </c>
      <c r="Q192" s="167">
        <v>2.6017490632514999</v>
      </c>
      <c r="R192" s="167">
        <v>0.79944494155807799</v>
      </c>
      <c r="S192" s="167">
        <v>4.9085481796320103</v>
      </c>
      <c r="T192" s="167">
        <v>1.15286477266372</v>
      </c>
      <c r="U192" s="167">
        <v>0.50549465913539504</v>
      </c>
      <c r="V192" s="167">
        <v>1.6512289581119599</v>
      </c>
      <c r="W192" s="167">
        <v>0.86030563167608098</v>
      </c>
      <c r="X192" s="167">
        <v>0.27931164655497798</v>
      </c>
      <c r="Y192" s="189">
        <v>12.0644051322772</v>
      </c>
      <c r="Z192" s="207">
        <v>2652</v>
      </c>
      <c r="AA192" s="207">
        <v>1721</v>
      </c>
      <c r="AB192" s="167">
        <v>18980.48</v>
      </c>
      <c r="AC192" s="221"/>
      <c r="AD192" s="195">
        <v>1.1507270147485701E-2</v>
      </c>
      <c r="AE192" s="219">
        <v>7.4675761402047203E-3</v>
      </c>
      <c r="AF192" s="167">
        <v>7.1570437405731502</v>
      </c>
      <c r="AG192" s="222">
        <v>8.2358035780146902E-2</v>
      </c>
      <c r="AH192" s="223">
        <v>0.44574959261271002</v>
      </c>
      <c r="AI192" s="223">
        <v>0.28913181242078601</v>
      </c>
      <c r="AJ192" s="167">
        <v>0.42934874578565801</v>
      </c>
      <c r="AK192" s="224">
        <v>0.23973479473928599</v>
      </c>
      <c r="AL192" s="224">
        <v>2.4633021352668299E-2</v>
      </c>
      <c r="AM192" s="82">
        <v>0.308505052871828</v>
      </c>
    </row>
    <row r="193" spans="1:40" ht="13.8" hidden="1" outlineLevel="1">
      <c r="A193" s="186">
        <v>43534</v>
      </c>
      <c r="B193" s="185" t="s">
        <v>51</v>
      </c>
      <c r="C193" s="188">
        <v>85404</v>
      </c>
      <c r="D193" s="188">
        <v>235642</v>
      </c>
      <c r="E193" s="189">
        <v>2.75914477073673</v>
      </c>
      <c r="F193" s="167">
        <v>0.601484150499486</v>
      </c>
      <c r="G193" s="218">
        <v>9.4600000000000009</v>
      </c>
      <c r="H193" s="190">
        <v>20.22</v>
      </c>
      <c r="I193" s="219">
        <v>0.27500000000000002</v>
      </c>
      <c r="J193" s="219">
        <v>0.13400000000000001</v>
      </c>
      <c r="K193" s="219">
        <v>7.6999999999999999E-2</v>
      </c>
      <c r="L193" s="167">
        <v>10.897535244141499</v>
      </c>
      <c r="M193" s="220">
        <v>12.636575822646201</v>
      </c>
      <c r="N193" s="167">
        <v>19.7916159863878</v>
      </c>
      <c r="O193" s="193">
        <v>0.63848125546379697</v>
      </c>
      <c r="P193" s="167">
        <v>2.5659308887160801</v>
      </c>
      <c r="Q193" s="167">
        <v>3.6511202834107701</v>
      </c>
      <c r="R193" s="167">
        <v>1.05411656796475</v>
      </c>
      <c r="S193" s="167">
        <v>7.0924541218852397</v>
      </c>
      <c r="T193" s="167">
        <v>1.5067961423168701</v>
      </c>
      <c r="U193" s="167">
        <v>0.52335945444756804</v>
      </c>
      <c r="V193" s="167">
        <v>2.2754813795670401</v>
      </c>
      <c r="W193" s="167">
        <v>1.1223571480794701</v>
      </c>
      <c r="X193" s="167">
        <v>0.30110930988533502</v>
      </c>
      <c r="Y193" s="189">
        <v>12.9376851325316</v>
      </c>
      <c r="Z193" s="207">
        <v>2719</v>
      </c>
      <c r="AA193" s="207">
        <v>1783</v>
      </c>
      <c r="AB193" s="167">
        <v>18690.810000000001</v>
      </c>
      <c r="AC193" s="221"/>
      <c r="AD193" s="195">
        <v>1.1538690046765899E-2</v>
      </c>
      <c r="AE193" s="219">
        <v>7.5665628368457201E-3</v>
      </c>
      <c r="AF193" s="167">
        <v>6.8741485840382497</v>
      </c>
      <c r="AG193" s="222">
        <v>7.9318669846631704E-2</v>
      </c>
      <c r="AH193" s="223">
        <v>0.47682778324200298</v>
      </c>
      <c r="AI193" s="223">
        <v>0.330827595897148</v>
      </c>
      <c r="AJ193" s="167">
        <v>0.47595080673224599</v>
      </c>
      <c r="AK193" s="224">
        <v>0.24563108444165299</v>
      </c>
      <c r="AL193" s="224">
        <v>2.5046468795885301E-2</v>
      </c>
      <c r="AM193" s="82">
        <v>0.33000908157289399</v>
      </c>
    </row>
    <row r="194" spans="1:40" ht="13.8" hidden="1" outlineLevel="1">
      <c r="A194" s="186">
        <v>43535</v>
      </c>
      <c r="B194" s="185" t="s">
        <v>51</v>
      </c>
      <c r="C194" s="188">
        <v>84025</v>
      </c>
      <c r="D194" s="188">
        <v>240660</v>
      </c>
      <c r="E194" s="189">
        <v>2.86414757512645</v>
      </c>
      <c r="F194" s="167">
        <v>0.575515500311643</v>
      </c>
      <c r="G194" s="218">
        <v>9.9499999999999993</v>
      </c>
      <c r="H194" s="190">
        <v>21.15</v>
      </c>
      <c r="I194" s="219">
        <v>0.28699999999999998</v>
      </c>
      <c r="J194" s="219">
        <v>0.14399999999999999</v>
      </c>
      <c r="K194" s="219">
        <v>0.08</v>
      </c>
      <c r="L194" s="167">
        <v>10.667198537355601</v>
      </c>
      <c r="M194" s="220">
        <v>12.370161223302601</v>
      </c>
      <c r="N194" s="167">
        <v>19.293353294189298</v>
      </c>
      <c r="O194" s="193">
        <v>0.64116180503615094</v>
      </c>
      <c r="P194" s="167">
        <v>2.5154761441847802</v>
      </c>
      <c r="Q194" s="167">
        <v>3.6378854454252099</v>
      </c>
      <c r="R194" s="167">
        <v>1.0235576985392301</v>
      </c>
      <c r="S194" s="167">
        <v>6.80999598190561</v>
      </c>
      <c r="T194" s="167">
        <v>1.4847182797371401</v>
      </c>
      <c r="U194" s="167">
        <v>0.51361615533175198</v>
      </c>
      <c r="V194" s="167">
        <v>2.2096797189926201</v>
      </c>
      <c r="W194" s="167">
        <v>1.09842387007297</v>
      </c>
      <c r="X194" s="167">
        <v>0.32596609324358</v>
      </c>
      <c r="Y194" s="189">
        <v>12.6961273165462</v>
      </c>
      <c r="Z194" s="207">
        <v>2572</v>
      </c>
      <c r="AA194" s="207">
        <v>1761</v>
      </c>
      <c r="AB194" s="167">
        <v>17642.28</v>
      </c>
      <c r="AC194" s="221"/>
      <c r="AD194" s="195">
        <v>1.0687276655863E-2</v>
      </c>
      <c r="AE194" s="219">
        <v>7.3173772126651701E-3</v>
      </c>
      <c r="AF194" s="167">
        <v>6.8593623639191303</v>
      </c>
      <c r="AG194" s="222">
        <v>7.3307903266018395E-2</v>
      </c>
      <c r="AH194" s="223">
        <v>0.46286224337994603</v>
      </c>
      <c r="AI194" s="223">
        <v>0.32130913418625401</v>
      </c>
      <c r="AJ194" s="167">
        <v>0.48535693509515498</v>
      </c>
      <c r="AK194" s="224">
        <v>0.25077702983462102</v>
      </c>
      <c r="AL194" s="224">
        <v>2.54716197124574E-2</v>
      </c>
      <c r="AM194" s="82">
        <v>0.32429153162137497</v>
      </c>
    </row>
    <row r="195" spans="1:40" ht="13.8" hidden="1" outlineLevel="1">
      <c r="A195" s="186">
        <v>43536</v>
      </c>
      <c r="B195" s="185" t="s">
        <v>51</v>
      </c>
      <c r="C195" s="188">
        <v>77815</v>
      </c>
      <c r="D195" s="188">
        <v>234660</v>
      </c>
      <c r="E195" s="189">
        <v>3.0156139561781101</v>
      </c>
      <c r="F195" s="167">
        <v>0.59381396752748605</v>
      </c>
      <c r="G195" s="218">
        <v>11.04</v>
      </c>
      <c r="H195" s="190">
        <v>22.9</v>
      </c>
      <c r="I195" s="219">
        <v>0.28699999999999998</v>
      </c>
      <c r="J195" s="219">
        <v>0.14099999999999999</v>
      </c>
      <c r="K195" s="219">
        <v>7.5999999999999998E-2</v>
      </c>
      <c r="L195" s="167">
        <v>10.343096394783901</v>
      </c>
      <c r="M195" s="220">
        <v>11.837914429387199</v>
      </c>
      <c r="N195" s="167">
        <v>18.283738777874301</v>
      </c>
      <c r="O195" s="193">
        <v>0.64745589363334199</v>
      </c>
      <c r="P195" s="167">
        <v>2.43321354290077</v>
      </c>
      <c r="Q195" s="167">
        <v>3.3990995971882199</v>
      </c>
      <c r="R195" s="167">
        <v>0.99647210594213198</v>
      </c>
      <c r="S195" s="167">
        <v>6.3175170471000204</v>
      </c>
      <c r="T195" s="167">
        <v>1.4294026274912499</v>
      </c>
      <c r="U195" s="167">
        <v>0.53898454571782095</v>
      </c>
      <c r="V195" s="167">
        <v>2.1101874522812798</v>
      </c>
      <c r="W195" s="167">
        <v>1.0588618592528201</v>
      </c>
      <c r="X195" s="167">
        <v>0.30943918861331299</v>
      </c>
      <c r="Y195" s="189">
        <v>12.1473536180005</v>
      </c>
      <c r="Z195" s="207">
        <v>2497</v>
      </c>
      <c r="AA195" s="207">
        <v>1675</v>
      </c>
      <c r="AB195" s="167">
        <v>16511.03</v>
      </c>
      <c r="AC195" s="221"/>
      <c r="AD195" s="195">
        <v>1.0640927299071E-2</v>
      </c>
      <c r="AE195" s="219">
        <v>7.1379868746271197E-3</v>
      </c>
      <c r="AF195" s="167">
        <v>6.6123468161794197</v>
      </c>
      <c r="AG195" s="222">
        <v>7.0361501747208705E-2</v>
      </c>
      <c r="AH195" s="223">
        <v>0.46890702306753201</v>
      </c>
      <c r="AI195" s="223">
        <v>0.33371457945126298</v>
      </c>
      <c r="AJ195" s="167">
        <v>0.522462285860394</v>
      </c>
      <c r="AK195" s="224">
        <v>0.26662405181965398</v>
      </c>
      <c r="AL195" s="224">
        <v>2.83687036563539E-2</v>
      </c>
      <c r="AM195" s="82">
        <v>0.277827495099293</v>
      </c>
    </row>
    <row r="196" spans="1:40" s="166" customFormat="1" ht="13.8" hidden="1" outlineLevel="1">
      <c r="A196" s="196">
        <v>43537</v>
      </c>
      <c r="B196" s="197" t="s">
        <v>51</v>
      </c>
      <c r="C196" s="198">
        <v>83265</v>
      </c>
      <c r="D196" s="198">
        <v>238149</v>
      </c>
      <c r="E196" s="200">
        <v>2.8601333093136398</v>
      </c>
      <c r="F196" s="166">
        <v>0.51536765753372904</v>
      </c>
      <c r="G196" s="201">
        <v>10.94</v>
      </c>
      <c r="H196" s="217">
        <v>22.28</v>
      </c>
      <c r="I196" s="203">
        <v>0.29199999999999998</v>
      </c>
      <c r="J196" s="203">
        <v>0.13900000000000001</v>
      </c>
      <c r="K196" s="203">
        <v>7.3999999999999996E-2</v>
      </c>
      <c r="L196" s="166">
        <v>9.6599145912852897</v>
      </c>
      <c r="M196" s="204">
        <v>10.661128117271099</v>
      </c>
      <c r="N196" s="166">
        <v>16.822842262890799</v>
      </c>
      <c r="O196" s="205">
        <v>0.63372930392317395</v>
      </c>
      <c r="P196" s="166">
        <v>2.30295119333165</v>
      </c>
      <c r="Q196" s="166">
        <v>2.9584156054120698</v>
      </c>
      <c r="R196" s="166">
        <v>0.94431560673725501</v>
      </c>
      <c r="S196" s="166">
        <v>5.8132611547686901</v>
      </c>
      <c r="T196" s="166">
        <v>1.32380965001789</v>
      </c>
      <c r="U196" s="166">
        <v>0.570228329865758</v>
      </c>
      <c r="V196" s="166">
        <v>1.9254449318190801</v>
      </c>
      <c r="W196" s="166">
        <v>0.98441579093836595</v>
      </c>
      <c r="X196" s="166">
        <v>0.23077149179715201</v>
      </c>
      <c r="Y196" s="200">
        <v>10.8918996090683</v>
      </c>
      <c r="Z196" s="206">
        <v>2223</v>
      </c>
      <c r="AA196" s="206">
        <v>1549</v>
      </c>
      <c r="AB196" s="166">
        <v>13451.77</v>
      </c>
      <c r="AC196" s="209"/>
      <c r="AD196" s="210">
        <v>9.3344922716450604E-3</v>
      </c>
      <c r="AE196" s="203">
        <v>6.5043313219875004E-3</v>
      </c>
      <c r="AF196" s="166">
        <v>6.0511785874943804</v>
      </c>
      <c r="AG196" s="211">
        <v>5.6484679759310298E-2</v>
      </c>
      <c r="AH196" s="212">
        <v>0.44926439680538</v>
      </c>
      <c r="AI196" s="212">
        <v>0.30807662283072101</v>
      </c>
      <c r="AJ196" s="166">
        <v>0.57613090964060298</v>
      </c>
      <c r="AK196" s="213">
        <v>0.28379711861061802</v>
      </c>
      <c r="AL196" s="213">
        <v>2.9036443571041699E-2</v>
      </c>
      <c r="AM196" s="214">
        <v>0</v>
      </c>
      <c r="AN196" s="210"/>
    </row>
    <row r="197" spans="1:40" s="167" customFormat="1" ht="13.8" hidden="1" outlineLevel="1">
      <c r="A197" s="186">
        <v>43538</v>
      </c>
      <c r="B197" s="187" t="s">
        <v>51</v>
      </c>
      <c r="C197" s="188">
        <v>80181</v>
      </c>
      <c r="D197" s="188">
        <v>241473</v>
      </c>
      <c r="E197" s="189">
        <v>3.0115987578104502</v>
      </c>
      <c r="F197" s="167">
        <v>0.52944639606912602</v>
      </c>
      <c r="G197" s="218">
        <v>11.06</v>
      </c>
      <c r="H197" s="190">
        <v>22.31</v>
      </c>
      <c r="I197" s="219">
        <v>0.28000000000000003</v>
      </c>
      <c r="J197" s="219">
        <v>0.13500000000000001</v>
      </c>
      <c r="K197" s="219">
        <v>7.0000000000000007E-2</v>
      </c>
      <c r="L197" s="167">
        <v>9.77841000857239</v>
      </c>
      <c r="M197" s="220">
        <v>10.9086771605935</v>
      </c>
      <c r="N197" s="167">
        <v>17.049300332681799</v>
      </c>
      <c r="O197" s="193">
        <v>0.63983136831032905</v>
      </c>
      <c r="P197" s="167">
        <v>2.3227595759278201</v>
      </c>
      <c r="Q197" s="167">
        <v>3.0317342170327901</v>
      </c>
      <c r="R197" s="167">
        <v>0.94008491799458904</v>
      </c>
      <c r="S197" s="167">
        <v>5.9009527384758798</v>
      </c>
      <c r="T197" s="167">
        <v>1.3422933036465501</v>
      </c>
      <c r="U197" s="167">
        <v>0.57799899030433299</v>
      </c>
      <c r="V197" s="167">
        <v>1.9408486621532399</v>
      </c>
      <c r="W197" s="167">
        <v>0.992627927146574</v>
      </c>
      <c r="X197" s="167">
        <v>0.26197131770425702</v>
      </c>
      <c r="Y197" s="189">
        <v>11.170648478297799</v>
      </c>
      <c r="Z197" s="207">
        <v>2256</v>
      </c>
      <c r="AA197" s="207">
        <v>1585</v>
      </c>
      <c r="AB197" s="167">
        <v>13725.44</v>
      </c>
      <c r="AC197" s="221"/>
      <c r="AD197" s="195">
        <v>9.3426594277621101E-3</v>
      </c>
      <c r="AE197" s="219">
        <v>6.5638808479622996E-3</v>
      </c>
      <c r="AF197" s="167">
        <v>6.08397163120567</v>
      </c>
      <c r="AG197" s="222">
        <v>5.68404749185209E-2</v>
      </c>
      <c r="AH197" s="223">
        <v>0.46040832616205801</v>
      </c>
      <c r="AI197" s="223">
        <v>0.32752148264551501</v>
      </c>
      <c r="AJ197" s="167">
        <v>0.57229586744687799</v>
      </c>
      <c r="AK197" s="224">
        <v>0.29531251941210801</v>
      </c>
      <c r="AL197" s="224">
        <v>2.86243182467605E-2</v>
      </c>
      <c r="AM197" s="82">
        <v>0</v>
      </c>
      <c r="AN197" s="195"/>
    </row>
    <row r="198" spans="1:40" ht="13.8" hidden="1" outlineLevel="1">
      <c r="A198" s="186">
        <v>43539</v>
      </c>
      <c r="B198" s="187" t="s">
        <v>51</v>
      </c>
      <c r="C198" s="188">
        <v>78729</v>
      </c>
      <c r="D198" s="188">
        <v>235653</v>
      </c>
      <c r="E198" s="189">
        <v>2.99321723888275</v>
      </c>
      <c r="F198" s="167">
        <v>0.529212980815012</v>
      </c>
      <c r="G198" s="218">
        <v>10.98</v>
      </c>
      <c r="H198" s="190">
        <v>21.91</v>
      </c>
      <c r="I198" s="219">
        <v>0.27900000000000003</v>
      </c>
      <c r="J198" s="219">
        <v>0.13300000000000001</v>
      </c>
      <c r="K198" s="219">
        <v>6.7000000000000004E-2</v>
      </c>
      <c r="L198" s="167">
        <v>9.8063720809834791</v>
      </c>
      <c r="M198" s="220">
        <v>10.7552290868353</v>
      </c>
      <c r="N198" s="167">
        <v>16.766127751905199</v>
      </c>
      <c r="O198" s="193">
        <v>0.64148557412806095</v>
      </c>
      <c r="P198" s="167">
        <v>2.3374854466553798</v>
      </c>
      <c r="Q198" s="167">
        <v>2.9692527519051701</v>
      </c>
      <c r="R198" s="167">
        <v>0.92678344623200704</v>
      </c>
      <c r="S198" s="167">
        <v>5.7287785774767102</v>
      </c>
      <c r="T198" s="167">
        <v>1.33726714648603</v>
      </c>
      <c r="U198" s="167">
        <v>0.56678662150719705</v>
      </c>
      <c r="V198" s="167">
        <v>1.90614415749365</v>
      </c>
      <c r="W198" s="167">
        <v>0.99362960414902601</v>
      </c>
      <c r="X198" s="167">
        <v>0.26127823537150002</v>
      </c>
      <c r="Y198" s="189">
        <v>11.016507322206801</v>
      </c>
      <c r="Z198" s="207">
        <v>2319</v>
      </c>
      <c r="AA198" s="207">
        <v>1623</v>
      </c>
      <c r="AB198" s="167">
        <v>14231.81</v>
      </c>
      <c r="AC198" s="221"/>
      <c r="AD198" s="195">
        <v>9.8407404106886E-3</v>
      </c>
      <c r="AE198" s="219">
        <v>6.88724522921414E-3</v>
      </c>
      <c r="AF198" s="167">
        <v>6.1370461405778398</v>
      </c>
      <c r="AG198" s="222">
        <v>6.03930779578448E-2</v>
      </c>
      <c r="AH198" s="223">
        <v>0.45875090500323901</v>
      </c>
      <c r="AI198" s="223">
        <v>0.319145422906426</v>
      </c>
      <c r="AJ198" s="167">
        <v>0.56362533046470897</v>
      </c>
      <c r="AK198" s="224">
        <v>0.29725486202170098</v>
      </c>
      <c r="AL198" s="224">
        <v>2.8652298082349901E-2</v>
      </c>
      <c r="AM198" s="82">
        <v>0</v>
      </c>
    </row>
    <row r="199" spans="1:40" ht="13.8" hidden="1" outlineLevel="1">
      <c r="A199" s="186">
        <v>43540</v>
      </c>
      <c r="B199" s="185" t="s">
        <v>51</v>
      </c>
      <c r="C199" s="188">
        <v>97082</v>
      </c>
      <c r="D199" s="188">
        <v>252449</v>
      </c>
      <c r="E199" s="189">
        <v>2.6003687604293302</v>
      </c>
      <c r="F199" s="167">
        <v>0.64894446548807905</v>
      </c>
      <c r="G199" s="218">
        <v>10.51</v>
      </c>
      <c r="H199" s="190">
        <v>21.24</v>
      </c>
      <c r="I199" s="219">
        <v>0.27800000000000002</v>
      </c>
      <c r="J199" s="219">
        <v>0.129</v>
      </c>
      <c r="K199" s="219">
        <v>6.8000000000000005E-2</v>
      </c>
      <c r="L199" s="167">
        <v>10.9780312063031</v>
      </c>
      <c r="M199" s="220">
        <v>12.9847850456924</v>
      </c>
      <c r="N199" s="167">
        <v>20.5272465401716</v>
      </c>
      <c r="O199" s="193">
        <v>0.63256340884693596</v>
      </c>
      <c r="P199" s="167">
        <v>2.7699229757655499</v>
      </c>
      <c r="Q199" s="167">
        <v>3.61398334272653</v>
      </c>
      <c r="R199" s="167">
        <v>0.981520445863861</v>
      </c>
      <c r="S199" s="167">
        <v>7.5268958607301597</v>
      </c>
      <c r="T199" s="167">
        <v>1.58394389128937</v>
      </c>
      <c r="U199" s="167">
        <v>0.52218673680255501</v>
      </c>
      <c r="V199" s="167">
        <v>2.3937817020477201</v>
      </c>
      <c r="W199" s="167">
        <v>1.13501158494583</v>
      </c>
      <c r="X199" s="167">
        <v>0.33421800046742101</v>
      </c>
      <c r="Y199" s="189">
        <v>13.3190030461598</v>
      </c>
      <c r="Z199" s="207">
        <v>2969</v>
      </c>
      <c r="AA199" s="207">
        <v>1935</v>
      </c>
      <c r="AB199" s="167">
        <v>21703.31</v>
      </c>
      <c r="AC199" s="221"/>
      <c r="AD199" s="195">
        <v>1.1760791288537501E-2</v>
      </c>
      <c r="AE199" s="219">
        <v>7.6649144975816904E-3</v>
      </c>
      <c r="AF199" s="167">
        <v>7.3099730549006399</v>
      </c>
      <c r="AG199" s="222">
        <v>8.5971067423519204E-2</v>
      </c>
      <c r="AH199" s="223">
        <v>0.456778805545827</v>
      </c>
      <c r="AI199" s="223">
        <v>0.28906491419624603</v>
      </c>
      <c r="AJ199" s="167">
        <v>0.448906511810306</v>
      </c>
      <c r="AK199" s="224">
        <v>0.24653296309353601</v>
      </c>
      <c r="AL199" s="224">
        <v>2.4024654484668201E-2</v>
      </c>
      <c r="AM199" s="82">
        <v>0.31421792124349901</v>
      </c>
    </row>
    <row r="200" spans="1:40" ht="13.8" hidden="1" outlineLevel="1">
      <c r="A200" s="186">
        <v>43541</v>
      </c>
      <c r="B200" s="185" t="s">
        <v>51</v>
      </c>
      <c r="C200" s="188">
        <v>147871</v>
      </c>
      <c r="D200" s="188">
        <v>311813</v>
      </c>
      <c r="E200" s="189">
        <v>2.1086825679139301</v>
      </c>
      <c r="F200" s="167">
        <v>0.58464690277185405</v>
      </c>
      <c r="G200" s="218">
        <v>10.130000000000001</v>
      </c>
      <c r="H200" s="190">
        <v>20.98</v>
      </c>
      <c r="I200" s="219">
        <v>0.26800000000000002</v>
      </c>
      <c r="J200" s="219">
        <v>0.124</v>
      </c>
      <c r="K200" s="219">
        <v>6.8000000000000005E-2</v>
      </c>
      <c r="L200" s="167">
        <v>10.082228771731801</v>
      </c>
      <c r="M200" s="220">
        <v>11.848389900356899</v>
      </c>
      <c r="N200" s="167">
        <v>19.830395482652001</v>
      </c>
      <c r="O200" s="193">
        <v>0.59748631391250495</v>
      </c>
      <c r="P200" s="167">
        <v>2.7052934987976598</v>
      </c>
      <c r="Q200" s="167">
        <v>3.5694724750944702</v>
      </c>
      <c r="R200" s="167">
        <v>0.99039204740638898</v>
      </c>
      <c r="S200" s="167">
        <v>7.0956393850910304</v>
      </c>
      <c r="T200" s="167">
        <v>1.5403426657506001</v>
      </c>
      <c r="U200" s="167">
        <v>0.548952250085881</v>
      </c>
      <c r="V200" s="167">
        <v>2.2543101597389201</v>
      </c>
      <c r="W200" s="167">
        <v>1.12599300068705</v>
      </c>
      <c r="X200" s="167">
        <v>0.30388726576505798</v>
      </c>
      <c r="Y200" s="189">
        <v>12.152277166121999</v>
      </c>
      <c r="Z200" s="207">
        <v>3040</v>
      </c>
      <c r="AA200" s="207">
        <v>2059</v>
      </c>
      <c r="AB200" s="167">
        <v>20914.599999999999</v>
      </c>
      <c r="AC200" s="221"/>
      <c r="AD200" s="195">
        <v>9.7494331538454104E-3</v>
      </c>
      <c r="AE200" s="219">
        <v>6.6033167315025397E-3</v>
      </c>
      <c r="AF200" s="167">
        <v>6.8798026315789498</v>
      </c>
      <c r="AG200" s="222">
        <v>6.7074175868228697E-2</v>
      </c>
      <c r="AH200" s="223">
        <v>0.44400186649173901</v>
      </c>
      <c r="AI200" s="223">
        <v>0.26468340648267702</v>
      </c>
      <c r="AJ200" s="167">
        <v>0.42409392809151603</v>
      </c>
      <c r="AK200" s="224">
        <v>0.20776555178905301</v>
      </c>
      <c r="AL200" s="224">
        <v>2.0178760988156401E-2</v>
      </c>
      <c r="AM200" s="82">
        <v>0.28607851500739201</v>
      </c>
    </row>
    <row r="201" spans="1:40" ht="13.8" hidden="1" outlineLevel="1">
      <c r="A201" s="186">
        <v>43542</v>
      </c>
      <c r="B201" s="185" t="s">
        <v>51</v>
      </c>
      <c r="C201" s="188">
        <v>161036</v>
      </c>
      <c r="D201" s="188">
        <v>344851</v>
      </c>
      <c r="E201" s="189">
        <v>2.1414528428425901</v>
      </c>
      <c r="F201" s="167">
        <v>0.50221741524310504</v>
      </c>
      <c r="G201" s="218">
        <v>10.16</v>
      </c>
      <c r="H201" s="190">
        <v>21.55</v>
      </c>
      <c r="I201" s="219">
        <v>0.27500000000000002</v>
      </c>
      <c r="J201" s="219">
        <v>0.127</v>
      </c>
      <c r="K201" s="219">
        <v>6.9000000000000006E-2</v>
      </c>
      <c r="L201" s="167">
        <v>9.99085982061818</v>
      </c>
      <c r="M201" s="220">
        <v>11.472673705455399</v>
      </c>
      <c r="N201" s="167">
        <v>19.1306090673475</v>
      </c>
      <c r="O201" s="193">
        <v>0.599702480201594</v>
      </c>
      <c r="P201" s="167">
        <v>2.6330025917759499</v>
      </c>
      <c r="Q201" s="167">
        <v>3.5600508684383598</v>
      </c>
      <c r="R201" s="167">
        <v>0.93272020424741797</v>
      </c>
      <c r="S201" s="167">
        <v>6.6879230977525097</v>
      </c>
      <c r="T201" s="167">
        <v>1.48891725658582</v>
      </c>
      <c r="U201" s="167">
        <v>0.54814127113071098</v>
      </c>
      <c r="V201" s="167">
        <v>2.1798383041274998</v>
      </c>
      <c r="W201" s="167">
        <v>1.10001547328923</v>
      </c>
      <c r="X201" s="167">
        <v>0.30174481152729699</v>
      </c>
      <c r="Y201" s="189">
        <v>11.774418516982699</v>
      </c>
      <c r="Z201" s="207">
        <v>2768</v>
      </c>
      <c r="AA201" s="207">
        <v>1933</v>
      </c>
      <c r="AB201" s="167">
        <v>17550.32</v>
      </c>
      <c r="AC201" s="221"/>
      <c r="AD201" s="195">
        <v>8.0266549901261697E-3</v>
      </c>
      <c r="AE201" s="219">
        <v>5.6053193988128197E-3</v>
      </c>
      <c r="AF201" s="167">
        <v>6.3404335260115596</v>
      </c>
      <c r="AG201" s="222">
        <v>5.0892472401124003E-2</v>
      </c>
      <c r="AH201" s="223">
        <v>0.44268983332919298</v>
      </c>
      <c r="AI201" s="223">
        <v>0.28325964380635399</v>
      </c>
      <c r="AJ201" s="167">
        <v>0.42797614042006499</v>
      </c>
      <c r="AK201" s="224">
        <v>0.203467584551009</v>
      </c>
      <c r="AL201" s="224">
        <v>1.88168223377633E-2</v>
      </c>
      <c r="AM201" s="82">
        <v>0.27666151468315298</v>
      </c>
    </row>
    <row r="202" spans="1:40" ht="13.8" hidden="1" outlineLevel="1">
      <c r="A202" s="186">
        <v>43543</v>
      </c>
      <c r="B202" s="185" t="s">
        <v>51</v>
      </c>
      <c r="C202" s="188">
        <v>182504</v>
      </c>
      <c r="D202" s="188">
        <v>380038</v>
      </c>
      <c r="E202" s="189">
        <v>2.0823543593565099</v>
      </c>
      <c r="F202" s="167">
        <v>0.46950468998363298</v>
      </c>
      <c r="G202" s="218">
        <v>10.23</v>
      </c>
      <c r="H202" s="190">
        <v>22.3</v>
      </c>
      <c r="I202" s="219">
        <v>0.27300000000000002</v>
      </c>
      <c r="J202" s="219">
        <v>0.125</v>
      </c>
      <c r="K202" s="219">
        <v>6.3E-2</v>
      </c>
      <c r="L202" s="167">
        <v>1</v>
      </c>
      <c r="M202" s="220">
        <v>10.6395255211321</v>
      </c>
      <c r="N202" s="167">
        <v>17.966860550368999</v>
      </c>
      <c r="O202" s="193">
        <v>0.59217499302701304</v>
      </c>
      <c r="P202" s="167">
        <v>2.5464098929566501</v>
      </c>
      <c r="Q202" s="167">
        <v>3.2761887411186001</v>
      </c>
      <c r="R202" s="167">
        <v>0.88664246452994699</v>
      </c>
      <c r="S202" s="167">
        <v>6.1600318152935598</v>
      </c>
      <c r="T202" s="167">
        <v>1.4166159369737299</v>
      </c>
      <c r="U202" s="167">
        <v>0.57929162093588504</v>
      </c>
      <c r="V202" s="167">
        <v>2.0529706863838499</v>
      </c>
      <c r="W202" s="167">
        <v>1.04870939217681</v>
      </c>
      <c r="X202" s="167">
        <v>0.269951952173204</v>
      </c>
      <c r="Y202" s="189">
        <v>10.9094774733053</v>
      </c>
      <c r="Z202" s="207">
        <v>2815</v>
      </c>
      <c r="AA202" s="207">
        <v>1933</v>
      </c>
      <c r="AB202" s="167">
        <v>18554.849999999999</v>
      </c>
      <c r="AC202" s="221"/>
      <c r="AD202" s="195">
        <v>7.40715402143996E-3</v>
      </c>
      <c r="AE202" s="219">
        <v>5.08633347191597E-3</v>
      </c>
      <c r="AF202" s="167">
        <v>6.5914209591474204</v>
      </c>
      <c r="AG202" s="222">
        <v>4.8823670264552498E-2</v>
      </c>
      <c r="AH202" s="223">
        <v>0.444499846578705</v>
      </c>
      <c r="AI202" s="223">
        <v>0.28157191075264099</v>
      </c>
      <c r="AJ202" s="167">
        <v>0.44203211257821601</v>
      </c>
      <c r="AK202" s="224">
        <v>0.204116430462217</v>
      </c>
      <c r="AL202" s="224">
        <v>1.8892847557349501E-2</v>
      </c>
      <c r="AM202" s="82">
        <v>0.223119793283829</v>
      </c>
    </row>
    <row r="203" spans="1:40" s="166" customFormat="1" ht="13.8" hidden="1" outlineLevel="1">
      <c r="A203" s="196">
        <v>43544</v>
      </c>
      <c r="B203" s="197" t="s">
        <v>51</v>
      </c>
      <c r="C203" s="198">
        <v>158956</v>
      </c>
      <c r="D203" s="198">
        <v>369394</v>
      </c>
      <c r="E203" s="200">
        <v>2.3238757895266602</v>
      </c>
      <c r="F203" s="166">
        <v>0.46367703935635102</v>
      </c>
      <c r="G203" s="201">
        <v>10.45</v>
      </c>
      <c r="H203" s="217">
        <v>22.54</v>
      </c>
      <c r="I203" s="203">
        <v>0.27100000000000002</v>
      </c>
      <c r="J203" s="203">
        <v>0.123</v>
      </c>
      <c r="K203" s="203">
        <v>6.2E-2</v>
      </c>
      <c r="L203" s="166">
        <v>9.2012539456515299</v>
      </c>
      <c r="M203" s="204">
        <v>10.1026356681484</v>
      </c>
      <c r="N203" s="166">
        <v>16.544981778522601</v>
      </c>
      <c r="O203" s="205">
        <v>0.61061630670774303</v>
      </c>
      <c r="P203" s="166">
        <v>2.3522951968008199</v>
      </c>
      <c r="Q203" s="166">
        <v>2.8779870365936899</v>
      </c>
      <c r="R203" s="166">
        <v>0.84920951595598504</v>
      </c>
      <c r="S203" s="166">
        <v>5.7227010347671099</v>
      </c>
      <c r="T203" s="166">
        <v>1.3063070252440601</v>
      </c>
      <c r="U203" s="166">
        <v>0.58940050896000096</v>
      </c>
      <c r="V203" s="166">
        <v>1.8707649473749499</v>
      </c>
      <c r="W203" s="166">
        <v>0.97631651282596899</v>
      </c>
      <c r="X203" s="166">
        <v>0.26980405745626601</v>
      </c>
      <c r="Y203" s="200">
        <v>10.3724397256046</v>
      </c>
      <c r="Z203" s="206">
        <v>2492</v>
      </c>
      <c r="AA203" s="206">
        <v>1763</v>
      </c>
      <c r="AB203" s="166">
        <v>14224.08</v>
      </c>
      <c r="AC203" s="209"/>
      <c r="AD203" s="210">
        <v>6.7461842910280104E-3</v>
      </c>
      <c r="AE203" s="203">
        <v>4.7726817436125101E-3</v>
      </c>
      <c r="AF203" s="166">
        <v>5.7078972712680596</v>
      </c>
      <c r="AG203" s="211">
        <v>3.8506526906230201E-2</v>
      </c>
      <c r="AH203" s="212">
        <v>0.460769017841415</v>
      </c>
      <c r="AI203" s="212">
        <v>0.31129369133596702</v>
      </c>
      <c r="AJ203" s="166">
        <v>0.51536299994044299</v>
      </c>
      <c r="AK203" s="213">
        <v>0.24069421809774899</v>
      </c>
      <c r="AL203" s="213">
        <v>2.0284574194491499E-2</v>
      </c>
      <c r="AM203" s="214">
        <v>0</v>
      </c>
      <c r="AN203" s="210"/>
    </row>
    <row r="204" spans="1:40" s="167" customFormat="1" ht="13.8" hidden="1" outlineLevel="1">
      <c r="A204" s="186">
        <v>43545</v>
      </c>
      <c r="B204" s="187" t="s">
        <v>51</v>
      </c>
      <c r="C204" s="188">
        <v>154547</v>
      </c>
      <c r="D204" s="188">
        <v>369535</v>
      </c>
      <c r="E204" s="189">
        <v>2.39108491268028</v>
      </c>
      <c r="F204" s="167">
        <v>0.411306874991543</v>
      </c>
      <c r="G204" s="218">
        <v>9.85</v>
      </c>
      <c r="H204" s="190">
        <v>21.72</v>
      </c>
      <c r="I204" s="219">
        <v>0.27200000000000002</v>
      </c>
      <c r="J204" s="219">
        <v>0.123</v>
      </c>
      <c r="K204" s="219">
        <v>0.06</v>
      </c>
      <c r="L204" s="167">
        <v>9.5675511115320599</v>
      </c>
      <c r="M204" s="220">
        <v>9.7663550137334791</v>
      </c>
      <c r="N204" s="167">
        <v>15.9846310567809</v>
      </c>
      <c r="O204" s="193">
        <v>0.61098407458021597</v>
      </c>
      <c r="P204" s="167">
        <v>2.2976038621667101</v>
      </c>
      <c r="Q204" s="167">
        <v>2.8795508902471401</v>
      </c>
      <c r="R204" s="167">
        <v>0.82574187261936405</v>
      </c>
      <c r="S204" s="167">
        <v>5.3677340774204998</v>
      </c>
      <c r="T204" s="167">
        <v>1.2656789795376</v>
      </c>
      <c r="U204" s="167">
        <v>0.58382496235273296</v>
      </c>
      <c r="V204" s="167">
        <v>1.8059128355035901</v>
      </c>
      <c r="W204" s="167">
        <v>0.95858357693329799</v>
      </c>
      <c r="X204" s="167">
        <v>0.19422517488194599</v>
      </c>
      <c r="Y204" s="189">
        <v>9.9605801886154204</v>
      </c>
      <c r="Z204" s="207">
        <v>2540</v>
      </c>
      <c r="AA204" s="207">
        <v>1775</v>
      </c>
      <c r="AB204" s="167">
        <v>15013.6</v>
      </c>
      <c r="AC204" s="221"/>
      <c r="AD204" s="195">
        <v>6.8735031864370104E-3</v>
      </c>
      <c r="AE204" s="219">
        <v>4.8033339196557803E-3</v>
      </c>
      <c r="AF204" s="167">
        <v>5.9108661417322796</v>
      </c>
      <c r="AG204" s="222">
        <v>4.0628357259799498E-2</v>
      </c>
      <c r="AH204" s="223">
        <v>0.45041961345092402</v>
      </c>
      <c r="AI204" s="223">
        <v>0.30143580917132001</v>
      </c>
      <c r="AJ204" s="167">
        <v>0.497392669165302</v>
      </c>
      <c r="AK204" s="224">
        <v>0.25066637801561398</v>
      </c>
      <c r="AL204" s="224">
        <v>2.0095525457669801E-2</v>
      </c>
      <c r="AM204" s="82">
        <v>0</v>
      </c>
      <c r="AN204" s="195"/>
    </row>
    <row r="205" spans="1:40" ht="13.8" hidden="1" outlineLevel="1">
      <c r="A205" s="186">
        <v>43546</v>
      </c>
      <c r="B205" s="187" t="s">
        <v>51</v>
      </c>
      <c r="C205" s="188">
        <v>140748</v>
      </c>
      <c r="D205" s="188">
        <v>360189</v>
      </c>
      <c r="E205" s="189">
        <v>2.5591056356040598</v>
      </c>
      <c r="F205" s="167">
        <v>0.39791341354955301</v>
      </c>
      <c r="G205" s="218">
        <v>9.57</v>
      </c>
      <c r="H205" s="190">
        <v>21.41</v>
      </c>
      <c r="I205" s="219">
        <v>0.25900000000000001</v>
      </c>
      <c r="J205" s="219">
        <v>0.122</v>
      </c>
      <c r="K205" s="219">
        <v>5.8999999999999997E-2</v>
      </c>
      <c r="L205" s="167">
        <v>9.6588346673551904</v>
      </c>
      <c r="M205" s="220">
        <v>9.6309798466916003</v>
      </c>
      <c r="N205" s="167">
        <v>15.518285236265401</v>
      </c>
      <c r="O205" s="193">
        <v>0.62062139598932797</v>
      </c>
      <c r="P205" s="167">
        <v>2.2791031622834299</v>
      </c>
      <c r="Q205" s="167">
        <v>2.8543578135554601</v>
      </c>
      <c r="R205" s="167">
        <v>0.79335781802890704</v>
      </c>
      <c r="S205" s="167">
        <v>5.0781109505638797</v>
      </c>
      <c r="T205" s="167">
        <v>1.2495068018842199</v>
      </c>
      <c r="U205" s="167">
        <v>0.57138064158252799</v>
      </c>
      <c r="V205" s="167">
        <v>1.7559105488478599</v>
      </c>
      <c r="W205" s="167">
        <v>0.93655749951910405</v>
      </c>
      <c r="X205" s="167">
        <v>0.15664831519008099</v>
      </c>
      <c r="Y205" s="189">
        <v>9.7876281618816794</v>
      </c>
      <c r="Z205" s="207">
        <v>2478</v>
      </c>
      <c r="AA205" s="207">
        <v>1797</v>
      </c>
      <c r="AB205" s="167">
        <v>14619.22</v>
      </c>
      <c r="AC205" s="221"/>
      <c r="AD205" s="195">
        <v>6.8797214795565699E-3</v>
      </c>
      <c r="AE205" s="219">
        <v>4.9890474167728601E-3</v>
      </c>
      <c r="AF205" s="167">
        <v>5.8996045197740097</v>
      </c>
      <c r="AG205" s="222">
        <v>4.0587635935578299E-2</v>
      </c>
      <c r="AH205" s="223">
        <v>0.45669565464518103</v>
      </c>
      <c r="AI205" s="223">
        <v>0.314448517918549</v>
      </c>
      <c r="AJ205" s="167">
        <v>0.495523183661911</v>
      </c>
      <c r="AK205" s="224">
        <v>0.26252606270596801</v>
      </c>
      <c r="AL205" s="224">
        <v>2.0653046039718001E-2</v>
      </c>
      <c r="AM205" s="82">
        <v>0</v>
      </c>
    </row>
    <row r="206" spans="1:40" ht="13.8" hidden="1" outlineLevel="1">
      <c r="A206" s="186">
        <v>43547</v>
      </c>
      <c r="B206" s="185" t="s">
        <v>51</v>
      </c>
      <c r="C206" s="188">
        <v>119039</v>
      </c>
      <c r="D206" s="188">
        <v>334817</v>
      </c>
      <c r="E206" s="189">
        <v>2.8126664370500398</v>
      </c>
      <c r="F206" s="167">
        <v>0.50540852586338203</v>
      </c>
      <c r="G206" s="218">
        <v>8.92</v>
      </c>
      <c r="H206" s="190">
        <v>19.84</v>
      </c>
      <c r="I206" s="219">
        <v>0.25600000000000001</v>
      </c>
      <c r="J206" s="219">
        <v>0.11700000000000001</v>
      </c>
      <c r="K206" s="219">
        <v>0.06</v>
      </c>
      <c r="L206" s="167">
        <v>10.8017036171998</v>
      </c>
      <c r="M206" s="220">
        <v>11.9520932330198</v>
      </c>
      <c r="N206" s="167">
        <v>18.727573087236699</v>
      </c>
      <c r="O206" s="193">
        <v>0.63820833470224003</v>
      </c>
      <c r="P206" s="167">
        <v>2.66130202215431</v>
      </c>
      <c r="Q206" s="167">
        <v>3.58606440381313</v>
      </c>
      <c r="R206" s="167">
        <v>0.94113710496389502</v>
      </c>
      <c r="S206" s="167">
        <v>6.3087891877219997</v>
      </c>
      <c r="T206" s="167">
        <v>1.48186800073005</v>
      </c>
      <c r="U206" s="167">
        <v>0.51548321579161704</v>
      </c>
      <c r="V206" s="167">
        <v>2.1677157284388602</v>
      </c>
      <c r="W206" s="167">
        <v>1.0652134236228401</v>
      </c>
      <c r="X206" s="167">
        <v>0.220807187209729</v>
      </c>
      <c r="Y206" s="189">
        <v>12.172900420229601</v>
      </c>
      <c r="Z206" s="207">
        <v>3177</v>
      </c>
      <c r="AA206" s="207">
        <v>2082</v>
      </c>
      <c r="AB206" s="167">
        <v>22261.23</v>
      </c>
      <c r="AC206" s="221"/>
      <c r="AD206" s="195">
        <v>9.4887655047384105E-3</v>
      </c>
      <c r="AE206" s="219">
        <v>6.2183222476755997E-3</v>
      </c>
      <c r="AF206" s="167">
        <v>7.0069971671388096</v>
      </c>
      <c r="AG206" s="222">
        <v>6.6487753011346504E-2</v>
      </c>
      <c r="AH206" s="223">
        <v>0.47077008375406398</v>
      </c>
      <c r="AI206" s="223">
        <v>0.33457102294206098</v>
      </c>
      <c r="AJ206" s="167">
        <v>0.434682229396954</v>
      </c>
      <c r="AK206" s="224">
        <v>0.245402712526544</v>
      </c>
      <c r="AL206" s="224">
        <v>1.9168680204410201E-2</v>
      </c>
      <c r="AM206" s="82">
        <v>0.30799511374870497</v>
      </c>
    </row>
    <row r="207" spans="1:40" ht="13.8" hidden="1" outlineLevel="1">
      <c r="A207" s="186">
        <v>43548</v>
      </c>
      <c r="B207" s="185" t="s">
        <v>51</v>
      </c>
      <c r="C207" s="188">
        <v>116390</v>
      </c>
      <c r="D207" s="188">
        <v>330223</v>
      </c>
      <c r="E207" s="189">
        <v>2.8372111006100198</v>
      </c>
      <c r="F207" s="167">
        <v>0.49471497990448898</v>
      </c>
      <c r="G207" s="218">
        <v>8.7899999999999991</v>
      </c>
      <c r="H207" s="190">
        <v>19.59</v>
      </c>
      <c r="I207" s="219">
        <v>0.26</v>
      </c>
      <c r="J207" s="219">
        <v>0.11799999999999999</v>
      </c>
      <c r="K207" s="219">
        <v>6.4000000000000001E-2</v>
      </c>
      <c r="L207" s="167">
        <v>10.767472283880901</v>
      </c>
      <c r="M207" s="220">
        <v>12.097543175369401</v>
      </c>
      <c r="N207" s="167">
        <v>18.8861222077769</v>
      </c>
      <c r="O207" s="193">
        <v>0.64055199062451695</v>
      </c>
      <c r="P207" s="167">
        <v>2.6180829689162</v>
      </c>
      <c r="Q207" s="167">
        <v>3.6295142418153898</v>
      </c>
      <c r="R207" s="167">
        <v>1.0027514478194099</v>
      </c>
      <c r="S207" s="167">
        <v>6.4082590710317904</v>
      </c>
      <c r="T207" s="167">
        <v>1.4713816333766701</v>
      </c>
      <c r="U207" s="167">
        <v>0.51890793050466799</v>
      </c>
      <c r="V207" s="167">
        <v>2.1444510105188499</v>
      </c>
      <c r="W207" s="167">
        <v>1.09277390379388</v>
      </c>
      <c r="X207" s="167">
        <v>0.23424776590364699</v>
      </c>
      <c r="Y207" s="189">
        <v>12.331790941273001</v>
      </c>
      <c r="Z207" s="207">
        <v>2804</v>
      </c>
      <c r="AA207" s="207">
        <v>1877</v>
      </c>
      <c r="AB207" s="167">
        <v>20556.96</v>
      </c>
      <c r="AC207" s="221"/>
      <c r="AD207" s="195">
        <v>8.4912316828325094E-3</v>
      </c>
      <c r="AE207" s="219">
        <v>5.68403775630407E-3</v>
      </c>
      <c r="AF207" s="167">
        <v>7.3312981455064197</v>
      </c>
      <c r="AG207" s="222">
        <v>6.2251751089415303E-2</v>
      </c>
      <c r="AH207" s="223">
        <v>0.47322794054472</v>
      </c>
      <c r="AI207" s="223">
        <v>0.33118824641292199</v>
      </c>
      <c r="AJ207" s="167">
        <v>0.44784584962283103</v>
      </c>
      <c r="AK207" s="224">
        <v>0.24347789221223201</v>
      </c>
      <c r="AL207" s="224">
        <v>1.96654987690137E-2</v>
      </c>
      <c r="AM207" s="82">
        <v>0.32022300082065802</v>
      </c>
    </row>
    <row r="208" spans="1:40" ht="13.8" hidden="1" outlineLevel="1">
      <c r="A208" s="186">
        <v>43549</v>
      </c>
      <c r="B208" s="185" t="s">
        <v>51</v>
      </c>
      <c r="C208" s="188">
        <v>95608</v>
      </c>
      <c r="D208" s="188">
        <v>311755</v>
      </c>
      <c r="E208" s="189">
        <v>3.2607626976822002</v>
      </c>
      <c r="F208" s="167">
        <v>0.51900875218039799</v>
      </c>
      <c r="G208" s="218">
        <v>9.18</v>
      </c>
      <c r="H208" s="190">
        <v>20.25</v>
      </c>
      <c r="I208" s="219">
        <v>0.26400000000000001</v>
      </c>
      <c r="J208" s="219">
        <v>0.125</v>
      </c>
      <c r="K208" s="219">
        <v>6.7000000000000004E-2</v>
      </c>
      <c r="L208" s="167">
        <v>10.934791743516501</v>
      </c>
      <c r="M208" s="220">
        <v>12.3608089685811</v>
      </c>
      <c r="N208" s="167">
        <v>18.731985222632701</v>
      </c>
      <c r="O208" s="193">
        <v>0.65987714711873102</v>
      </c>
      <c r="P208" s="167">
        <v>2.5652488819755002</v>
      </c>
      <c r="Q208" s="167">
        <v>3.6232403266575899</v>
      </c>
      <c r="R208" s="167">
        <v>1.0038644759867801</v>
      </c>
      <c r="S208" s="167">
        <v>6.3555901224965998</v>
      </c>
      <c r="T208" s="167">
        <v>1.4787089247520899</v>
      </c>
      <c r="U208" s="167">
        <v>0.51239062803810997</v>
      </c>
      <c r="V208" s="167">
        <v>2.11184133774062</v>
      </c>
      <c r="W208" s="167">
        <v>1.08110052498542</v>
      </c>
      <c r="X208" s="167">
        <v>0.24395117961219501</v>
      </c>
      <c r="Y208" s="189">
        <v>12.6047601481933</v>
      </c>
      <c r="Z208" s="207">
        <v>2764</v>
      </c>
      <c r="AA208" s="207">
        <v>1856</v>
      </c>
      <c r="AB208" s="167">
        <v>19508.36</v>
      </c>
      <c r="AC208" s="221"/>
      <c r="AD208" s="195">
        <v>8.8659363923593807E-3</v>
      </c>
      <c r="AE208" s="219">
        <v>5.9533928886465297E-3</v>
      </c>
      <c r="AF208" s="167">
        <v>7.0580173661360304</v>
      </c>
      <c r="AG208" s="222">
        <v>6.2575933024329997E-2</v>
      </c>
      <c r="AH208" s="223">
        <v>0.48875617103171298</v>
      </c>
      <c r="AI208" s="223">
        <v>0.363212283490921</v>
      </c>
      <c r="AJ208" s="167">
        <v>0.47202450642331301</v>
      </c>
      <c r="AK208" s="224">
        <v>0.26097095475613902</v>
      </c>
      <c r="AL208" s="224">
        <v>2.17574698080223E-2</v>
      </c>
      <c r="AM208" s="82">
        <v>0.32564353418549802</v>
      </c>
    </row>
    <row r="209" spans="1:40" ht="13.8" hidden="1" outlineLevel="1">
      <c r="A209" s="186">
        <v>43550</v>
      </c>
      <c r="B209" s="185" t="s">
        <v>51</v>
      </c>
      <c r="C209" s="188">
        <v>112344</v>
      </c>
      <c r="D209" s="188">
        <v>319906</v>
      </c>
      <c r="E209" s="189">
        <v>2.8475575019582702</v>
      </c>
      <c r="F209" s="167">
        <v>0.50939355676980103</v>
      </c>
      <c r="G209" s="218">
        <v>9.6999999999999993</v>
      </c>
      <c r="H209" s="190">
        <v>21.31</v>
      </c>
      <c r="I209" s="219">
        <v>0.27100000000000002</v>
      </c>
      <c r="J209" s="219">
        <v>0.124</v>
      </c>
      <c r="K209" s="219">
        <v>6.2E-2</v>
      </c>
      <c r="L209" s="167">
        <v>10.223365613648999</v>
      </c>
      <c r="M209" s="220">
        <v>11.2596325170519</v>
      </c>
      <c r="N209" s="167">
        <v>17.708630564637101</v>
      </c>
      <c r="O209" s="193">
        <v>0.63582739929854404</v>
      </c>
      <c r="P209" s="167">
        <v>2.4729234777906099</v>
      </c>
      <c r="Q209" s="167">
        <v>3.3040289078439602</v>
      </c>
      <c r="R209" s="167">
        <v>0.97163786534254304</v>
      </c>
      <c r="S209" s="167">
        <v>5.9793564563309696</v>
      </c>
      <c r="T209" s="167">
        <v>1.4066025908901001</v>
      </c>
      <c r="U209" s="167">
        <v>0.53627983579558003</v>
      </c>
      <c r="V209" s="167">
        <v>2.0038150487942801</v>
      </c>
      <c r="W209" s="167">
        <v>1.03398638184902</v>
      </c>
      <c r="X209" s="167">
        <v>0.19103736722662301</v>
      </c>
      <c r="Y209" s="189">
        <v>11.450669884278501</v>
      </c>
      <c r="Z209" s="207">
        <v>2563</v>
      </c>
      <c r="AA209" s="207">
        <v>1763</v>
      </c>
      <c r="AB209" s="167">
        <v>16977.37</v>
      </c>
      <c r="AC209" s="221"/>
      <c r="AD209" s="195">
        <v>8.0117284452307907E-3</v>
      </c>
      <c r="AE209" s="219">
        <v>5.5109938544447403E-3</v>
      </c>
      <c r="AF209" s="167">
        <v>6.6240226297307796</v>
      </c>
      <c r="AG209" s="222">
        <v>5.30698705244666E-2</v>
      </c>
      <c r="AH209" s="223">
        <v>0.44773196610410898</v>
      </c>
      <c r="AI209" s="223">
        <v>0.30192088585060201</v>
      </c>
      <c r="AJ209" s="167">
        <v>0.48573956099604298</v>
      </c>
      <c r="AK209" s="224">
        <v>0.25953248766825299</v>
      </c>
      <c r="AL209" s="224">
        <v>2.3300594549649001E-2</v>
      </c>
      <c r="AM209" s="82">
        <v>0.25796015079429602</v>
      </c>
    </row>
    <row r="210" spans="1:40" s="166" customFormat="1" ht="13.8" hidden="1" outlineLevel="1">
      <c r="A210" s="196">
        <v>43551</v>
      </c>
      <c r="B210" s="197" t="s">
        <v>51</v>
      </c>
      <c r="C210" s="198">
        <v>115209</v>
      </c>
      <c r="D210" s="198">
        <v>320445</v>
      </c>
      <c r="E210" s="200">
        <v>2.78142332630263</v>
      </c>
      <c r="F210" s="166">
        <v>0.41536718637831799</v>
      </c>
      <c r="G210" s="201">
        <v>9.77</v>
      </c>
      <c r="H210" s="217">
        <v>22.38</v>
      </c>
      <c r="I210" s="203">
        <v>0.26800000000000002</v>
      </c>
      <c r="J210" s="203">
        <v>0.11899999999999999</v>
      </c>
      <c r="K210" s="203">
        <v>0.06</v>
      </c>
      <c r="L210" s="166">
        <v>9.5279283496387794</v>
      </c>
      <c r="M210" s="204">
        <v>10.058446847352901</v>
      </c>
      <c r="N210" s="166">
        <v>16.1384888844382</v>
      </c>
      <c r="O210" s="205">
        <v>0.62325828145235496</v>
      </c>
      <c r="P210" s="166">
        <v>2.2729971960744999</v>
      </c>
      <c r="Q210" s="166">
        <v>2.7748197476467098</v>
      </c>
      <c r="R210" s="166">
        <v>0.89445724013619099</v>
      </c>
      <c r="S210" s="166">
        <v>5.5388443821349904</v>
      </c>
      <c r="T210" s="166">
        <v>1.3013468856399</v>
      </c>
      <c r="U210" s="166">
        <v>0.56408471860604803</v>
      </c>
      <c r="V210" s="166">
        <v>1.8311235730022</v>
      </c>
      <c r="W210" s="166">
        <v>0.96081514119767697</v>
      </c>
      <c r="X210" s="166">
        <v>0.233590787810701</v>
      </c>
      <c r="Y210" s="200">
        <v>10.2920376351636</v>
      </c>
      <c r="Z210" s="206">
        <v>2131</v>
      </c>
      <c r="AA210" s="206">
        <v>1513</v>
      </c>
      <c r="AB210" s="166">
        <v>12633.69</v>
      </c>
      <c r="AC210" s="209"/>
      <c r="AD210" s="210">
        <v>6.6501271669085196E-3</v>
      </c>
      <c r="AE210" s="203">
        <v>4.7215590819017304E-3</v>
      </c>
      <c r="AF210" s="166">
        <v>5.9285265133739999</v>
      </c>
      <c r="AG210" s="211">
        <v>3.9425455226325901E-2</v>
      </c>
      <c r="AH210" s="212">
        <v>0.44606758152574899</v>
      </c>
      <c r="AI210" s="212">
        <v>0.30449010059977999</v>
      </c>
      <c r="AJ210" s="166">
        <v>0.53619809951785802</v>
      </c>
      <c r="AK210" s="213">
        <v>0.276540435956248</v>
      </c>
      <c r="AL210" s="213">
        <v>2.4356753889122899E-2</v>
      </c>
      <c r="AM210" s="214">
        <v>0</v>
      </c>
      <c r="AN210" s="210"/>
    </row>
    <row r="211" spans="1:40" s="167" customFormat="1" ht="13.8" hidden="1" outlineLevel="1">
      <c r="A211" s="186">
        <v>43552</v>
      </c>
      <c r="B211" s="187" t="s">
        <v>51</v>
      </c>
      <c r="C211" s="188">
        <v>115184</v>
      </c>
      <c r="D211" s="188">
        <v>320302</v>
      </c>
      <c r="E211" s="189">
        <v>2.7807855257674698</v>
      </c>
      <c r="F211" s="167">
        <v>0.38901666417318698</v>
      </c>
      <c r="G211" s="218">
        <v>9.3800000000000008</v>
      </c>
      <c r="H211" s="190">
        <v>21.41</v>
      </c>
      <c r="I211" s="219">
        <v>0.26</v>
      </c>
      <c r="J211" s="219">
        <v>0.11899999999999999</v>
      </c>
      <c r="K211" s="219">
        <v>0.06</v>
      </c>
      <c r="L211" s="167">
        <v>9.43161453877903</v>
      </c>
      <c r="M211" s="220">
        <v>9.8636349445211096</v>
      </c>
      <c r="N211" s="167">
        <v>15.812997387308901</v>
      </c>
      <c r="O211" s="193">
        <v>0.62376756935641997</v>
      </c>
      <c r="P211" s="167">
        <v>2.2708089332012</v>
      </c>
      <c r="Q211" s="167">
        <v>2.6611660009810101</v>
      </c>
      <c r="R211" s="167">
        <v>0.85002052113677096</v>
      </c>
      <c r="S211" s="167">
        <v>5.4364795739611802</v>
      </c>
      <c r="T211" s="167">
        <v>1.2876062344214501</v>
      </c>
      <c r="U211" s="167">
        <v>0.55943121415057495</v>
      </c>
      <c r="V211" s="167">
        <v>1.7967706737940099</v>
      </c>
      <c r="W211" s="167">
        <v>0.95071423566273305</v>
      </c>
      <c r="X211" s="167">
        <v>0.27931764397350001</v>
      </c>
      <c r="Y211" s="189">
        <v>10.1429525884946</v>
      </c>
      <c r="Z211" s="207">
        <v>2157</v>
      </c>
      <c r="AA211" s="207">
        <v>1549</v>
      </c>
      <c r="AB211" s="167">
        <v>11605.43</v>
      </c>
      <c r="AC211" s="221"/>
      <c r="AD211" s="195">
        <v>6.7342695331281104E-3</v>
      </c>
      <c r="AE211" s="219">
        <v>4.83606096746196E-3</v>
      </c>
      <c r="AF211" s="167">
        <v>5.3803569772832596</v>
      </c>
      <c r="AG211" s="222">
        <v>3.6232774069471903E-2</v>
      </c>
      <c r="AH211" s="223">
        <v>0.45267571884983998</v>
      </c>
      <c r="AI211" s="223">
        <v>0.30924433949159602</v>
      </c>
      <c r="AJ211" s="167">
        <v>0.52414908430169005</v>
      </c>
      <c r="AK211" s="224">
        <v>0.279923322364519</v>
      </c>
      <c r="AL211" s="224">
        <v>2.3655799838902002E-2</v>
      </c>
      <c r="AM211" s="82">
        <v>0</v>
      </c>
      <c r="AN211" s="195"/>
    </row>
    <row r="212" spans="1:40" ht="13.8" hidden="1" outlineLevel="1">
      <c r="A212" s="186">
        <v>43553</v>
      </c>
      <c r="B212" s="187" t="s">
        <v>51</v>
      </c>
      <c r="C212" s="188">
        <v>100289</v>
      </c>
      <c r="D212" s="188">
        <v>303619</v>
      </c>
      <c r="E212" s="189">
        <v>3.0274406963874401</v>
      </c>
      <c r="F212" s="167">
        <v>0.39144929316347099</v>
      </c>
      <c r="G212" s="218">
        <v>9.17</v>
      </c>
      <c r="H212" s="190">
        <v>20.96</v>
      </c>
      <c r="I212" s="219">
        <v>0.26200000000000001</v>
      </c>
      <c r="J212" s="219">
        <v>0.122</v>
      </c>
      <c r="K212" s="219">
        <v>6.3E-2</v>
      </c>
      <c r="L212" s="167">
        <v>9.8651961833745592</v>
      </c>
      <c r="M212" s="220">
        <v>9.7150738260780791</v>
      </c>
      <c r="N212" s="167">
        <v>15.2924333151878</v>
      </c>
      <c r="O212" s="193">
        <v>0.63528632924816997</v>
      </c>
      <c r="P212" s="167">
        <v>2.2095963916323198</v>
      </c>
      <c r="Q212" s="167">
        <v>2.71838660341654</v>
      </c>
      <c r="R212" s="167">
        <v>0.82195090338802901</v>
      </c>
      <c r="S212" s="167">
        <v>5.0692744381367101</v>
      </c>
      <c r="T212" s="167">
        <v>1.25487725847007</v>
      </c>
      <c r="U212" s="167">
        <v>0.55132332737123202</v>
      </c>
      <c r="V212" s="167">
        <v>1.73849184747388</v>
      </c>
      <c r="W212" s="167">
        <v>0.92853254529901197</v>
      </c>
      <c r="X212" s="167">
        <v>0.19055790316152799</v>
      </c>
      <c r="Y212" s="189">
        <v>9.9056317292396106</v>
      </c>
      <c r="Z212" s="207">
        <v>2198</v>
      </c>
      <c r="AA212" s="207">
        <v>1515</v>
      </c>
      <c r="AB212" s="167">
        <v>12810.02</v>
      </c>
      <c r="AC212" s="221"/>
      <c r="AD212" s="195">
        <v>7.2393361416775602E-3</v>
      </c>
      <c r="AE212" s="219">
        <v>4.9898063032945902E-3</v>
      </c>
      <c r="AF212" s="167">
        <v>5.8280345768880801</v>
      </c>
      <c r="AG212" s="222">
        <v>4.2191101347412399E-2</v>
      </c>
      <c r="AH212" s="223">
        <v>0.46231391279203099</v>
      </c>
      <c r="AI212" s="223">
        <v>0.321241611742065</v>
      </c>
      <c r="AJ212" s="167">
        <v>0.519799485539443</v>
      </c>
      <c r="AK212" s="224">
        <v>0.29139480730784301</v>
      </c>
      <c r="AL212" s="224">
        <v>2.4537331326432099E-2</v>
      </c>
      <c r="AM212" s="82">
        <v>0</v>
      </c>
    </row>
    <row r="213" spans="1:40" ht="13.8" hidden="1" outlineLevel="1">
      <c r="A213" s="186">
        <v>43554</v>
      </c>
      <c r="B213" s="185" t="s">
        <v>51</v>
      </c>
      <c r="C213" s="188">
        <v>100655</v>
      </c>
      <c r="D213" s="188">
        <v>297671</v>
      </c>
      <c r="E213" s="189">
        <v>2.9573394267547601</v>
      </c>
      <c r="F213" s="167">
        <v>0.50035895273640996</v>
      </c>
      <c r="G213" s="218">
        <v>8.1999999999999993</v>
      </c>
      <c r="H213" s="190">
        <v>18.899999999999999</v>
      </c>
      <c r="I213" s="219">
        <v>0.25</v>
      </c>
      <c r="J213" s="219">
        <v>0.113</v>
      </c>
      <c r="K213" s="219">
        <v>0.06</v>
      </c>
      <c r="L213" s="167">
        <v>11.3653530239761</v>
      </c>
      <c r="M213" s="220">
        <v>11.8811271504446</v>
      </c>
      <c r="N213" s="167">
        <v>18.712325795494198</v>
      </c>
      <c r="O213" s="193">
        <v>0.63493588559181102</v>
      </c>
      <c r="P213" s="167">
        <v>2.5512534258896702</v>
      </c>
      <c r="Q213" s="167">
        <v>3.2653834350959201</v>
      </c>
      <c r="R213" s="167">
        <v>0.90346662998275096</v>
      </c>
      <c r="S213" s="167">
        <v>6.83452556057608</v>
      </c>
      <c r="T213" s="167">
        <v>1.4700796816964901</v>
      </c>
      <c r="U213" s="167">
        <v>0.49028052613199902</v>
      </c>
      <c r="V213" s="167">
        <v>2.1560565496661401</v>
      </c>
      <c r="W213" s="167">
        <v>1.0412799864551701</v>
      </c>
      <c r="X213" s="167">
        <v>0.221277853737852</v>
      </c>
      <c r="Y213" s="189">
        <v>12.102405004182501</v>
      </c>
      <c r="Z213" s="207">
        <v>3032</v>
      </c>
      <c r="AA213" s="207">
        <v>1918</v>
      </c>
      <c r="AB213" s="167">
        <v>23047.68</v>
      </c>
      <c r="AC213" s="221"/>
      <c r="AD213" s="195">
        <v>1.01857419768805E-2</v>
      </c>
      <c r="AE213" s="219">
        <v>6.4433552479079299E-3</v>
      </c>
      <c r="AF213" s="167">
        <v>7.6014775725593697</v>
      </c>
      <c r="AG213" s="222">
        <v>7.7426689197133705E-2</v>
      </c>
      <c r="AH213" s="223">
        <v>0.45558591227460099</v>
      </c>
      <c r="AI213" s="223">
        <v>0.30525060851423202</v>
      </c>
      <c r="AJ213" s="167">
        <v>0.42059858031182101</v>
      </c>
      <c r="AK213" s="224">
        <v>0.25462339294052799</v>
      </c>
      <c r="AL213" s="224">
        <v>2.2061268984886001E-2</v>
      </c>
      <c r="AM213" s="82">
        <v>0.30793392705369299</v>
      </c>
    </row>
    <row r="214" spans="1:40" ht="13.8" hidden="1" outlineLevel="1">
      <c r="A214" s="186">
        <v>43555</v>
      </c>
      <c r="B214" s="185" t="s">
        <v>51</v>
      </c>
      <c r="C214" s="188">
        <v>108212</v>
      </c>
      <c r="D214" s="188">
        <v>305256</v>
      </c>
      <c r="E214" s="189">
        <v>2.8209071082689499</v>
      </c>
      <c r="F214" s="167">
        <v>0.43956318609953599</v>
      </c>
      <c r="G214" s="218">
        <v>7.99</v>
      </c>
      <c r="H214" s="190">
        <v>18.62</v>
      </c>
      <c r="I214" s="219">
        <v>0.247</v>
      </c>
      <c r="J214" s="219">
        <v>0.113</v>
      </c>
      <c r="K214" s="219">
        <v>6.0999999999999999E-2</v>
      </c>
      <c r="L214" s="167">
        <v>11.0606146971722</v>
      </c>
      <c r="M214" s="220">
        <v>11.4923474067668</v>
      </c>
      <c r="N214" s="167">
        <v>18.2684462404508</v>
      </c>
      <c r="O214" s="193">
        <v>0.62908181984956901</v>
      </c>
      <c r="P214" s="167">
        <v>2.4874525467242301</v>
      </c>
      <c r="Q214" s="167">
        <v>3.3002171524389299</v>
      </c>
      <c r="R214" s="167">
        <v>0.94746160776124699</v>
      </c>
      <c r="S214" s="167">
        <v>6.4579312715134503</v>
      </c>
      <c r="T214" s="167">
        <v>1.4556972572136799</v>
      </c>
      <c r="U214" s="167">
        <v>0.49808103899891198</v>
      </c>
      <c r="V214" s="167">
        <v>2.0724153912649501</v>
      </c>
      <c r="W214" s="167">
        <v>1.0491899745353599</v>
      </c>
      <c r="X214" s="167">
        <v>0.24424417538066401</v>
      </c>
      <c r="Y214" s="189">
        <v>11.736591582147399</v>
      </c>
      <c r="Z214" s="207">
        <v>2527</v>
      </c>
      <c r="AA214" s="207">
        <v>1684</v>
      </c>
      <c r="AB214" s="167">
        <v>18043.73</v>
      </c>
      <c r="AC214" s="221"/>
      <c r="AD214" s="195">
        <v>8.2782975600807201E-3</v>
      </c>
      <c r="AE214" s="219">
        <v>5.5166810807977598E-3</v>
      </c>
      <c r="AF214" s="167">
        <v>7.14037593984962</v>
      </c>
      <c r="AG214" s="222">
        <v>5.9110156720916199E-2</v>
      </c>
      <c r="AH214" s="223">
        <v>0.45607696004140003</v>
      </c>
      <c r="AI214" s="223">
        <v>0.30317340036225199</v>
      </c>
      <c r="AJ214" s="167">
        <v>0.42212765678643499</v>
      </c>
      <c r="AK214" s="224">
        <v>0.24464711586340601</v>
      </c>
      <c r="AL214" s="224">
        <v>2.15392981628535E-2</v>
      </c>
      <c r="AM214" s="82">
        <v>0.30988743873994301</v>
      </c>
    </row>
    <row r="215" spans="1:40" ht="16.05" customHeight="1" collapsed="1">
      <c r="A215" s="186">
        <v>43556</v>
      </c>
      <c r="B215" s="185" t="s">
        <v>51</v>
      </c>
      <c r="C215" s="188">
        <v>106731</v>
      </c>
      <c r="D215" s="188">
        <v>307882</v>
      </c>
      <c r="E215" s="189">
        <v>2.8846539430905702</v>
      </c>
      <c r="F215" s="167">
        <v>0.41463533736951202</v>
      </c>
      <c r="G215" s="218">
        <v>7.93</v>
      </c>
      <c r="H215" s="190">
        <v>17.8</v>
      </c>
      <c r="I215" s="219">
        <v>0.25700000000000001</v>
      </c>
      <c r="J215" s="219">
        <v>0.11799999999999999</v>
      </c>
      <c r="K215" s="219">
        <v>6.2E-2</v>
      </c>
      <c r="L215" s="167">
        <v>10.758222305948401</v>
      </c>
      <c r="M215" s="220">
        <v>11.212607427520901</v>
      </c>
      <c r="N215" s="167">
        <v>17.7898707562921</v>
      </c>
      <c r="O215" s="193">
        <v>0.63028043211360196</v>
      </c>
      <c r="P215" s="167">
        <v>2.4685857399047699</v>
      </c>
      <c r="Q215" s="167">
        <v>3.2845989734710299</v>
      </c>
      <c r="R215" s="167">
        <v>0.92629295240451004</v>
      </c>
      <c r="S215" s="167">
        <v>6.1297590336610801</v>
      </c>
      <c r="T215" s="167">
        <v>1.44294828190382</v>
      </c>
      <c r="U215" s="167">
        <v>0.49198668398161299</v>
      </c>
      <c r="V215" s="167">
        <v>2.0161966895471299</v>
      </c>
      <c r="W215" s="167">
        <v>1.0295024014181799</v>
      </c>
      <c r="X215" s="167">
        <v>0.25340877349114299</v>
      </c>
      <c r="Y215" s="189">
        <v>11.466016201012099</v>
      </c>
      <c r="Z215" s="207">
        <v>2451</v>
      </c>
      <c r="AA215" s="207">
        <v>1678</v>
      </c>
      <c r="AB215" s="167">
        <v>16155.49</v>
      </c>
      <c r="AC215" s="221"/>
      <c r="AD215" s="195">
        <v>7.9608421408201794E-3</v>
      </c>
      <c r="AE215" s="219">
        <v>5.4501399886969703E-3</v>
      </c>
      <c r="AF215" s="167">
        <v>6.5913871889024902</v>
      </c>
      <c r="AG215" s="222">
        <v>5.2472992899877197E-2</v>
      </c>
      <c r="AH215" s="223">
        <v>0.44267363746240601</v>
      </c>
      <c r="AI215" s="223">
        <v>0.29857304813034602</v>
      </c>
      <c r="AJ215" s="167">
        <v>0.431025522765215</v>
      </c>
      <c r="AK215" s="224">
        <v>0.24756237779408999</v>
      </c>
      <c r="AL215" s="224">
        <v>2.2800943218505801E-2</v>
      </c>
      <c r="AM215" s="82">
        <v>0.30109587439343599</v>
      </c>
    </row>
    <row r="216" spans="1:40" ht="16.05" hidden="1" customHeight="1" outlineLevel="1">
      <c r="A216" s="186">
        <v>43557</v>
      </c>
      <c r="B216" s="185" t="s">
        <v>51</v>
      </c>
      <c r="C216" s="188">
        <v>87937</v>
      </c>
      <c r="D216" s="188">
        <v>288225</v>
      </c>
      <c r="E216" s="189">
        <v>3.2776305764354001</v>
      </c>
      <c r="F216" s="167">
        <v>0.388333854467864</v>
      </c>
      <c r="G216" s="218">
        <v>7.79</v>
      </c>
      <c r="H216" s="190">
        <v>17.760000000000002</v>
      </c>
      <c r="I216" s="219">
        <v>0.25</v>
      </c>
      <c r="J216" s="219">
        <v>0.11700000000000001</v>
      </c>
      <c r="K216" s="219">
        <v>5.8999999999999997E-2</v>
      </c>
      <c r="L216" s="167">
        <v>10.776601613322899</v>
      </c>
      <c r="M216" s="220">
        <v>10.987846300633199</v>
      </c>
      <c r="N216" s="167">
        <v>17.0620477870862</v>
      </c>
      <c r="O216" s="193">
        <v>0.64399340792783399</v>
      </c>
      <c r="P216" s="167">
        <v>2.35876949599978</v>
      </c>
      <c r="Q216" s="167">
        <v>3.0883872531853598</v>
      </c>
      <c r="R216" s="167">
        <v>0.92344907469762705</v>
      </c>
      <c r="S216" s="167">
        <v>5.8362093580799002</v>
      </c>
      <c r="T216" s="167">
        <v>1.38931120868464</v>
      </c>
      <c r="U216" s="167">
        <v>0.51859494114160998</v>
      </c>
      <c r="V216" s="167">
        <v>1.9453977318643401</v>
      </c>
      <c r="W216" s="167">
        <v>1.00192872343291</v>
      </c>
      <c r="X216" s="167">
        <v>0.26773180674820002</v>
      </c>
      <c r="Y216" s="189">
        <v>11.2555781073814</v>
      </c>
      <c r="Z216" s="207">
        <v>2140</v>
      </c>
      <c r="AA216" s="207">
        <v>1517</v>
      </c>
      <c r="AB216" s="167">
        <v>13209.6</v>
      </c>
      <c r="AC216" s="221"/>
      <c r="AD216" s="195">
        <v>7.4247549657385703E-3</v>
      </c>
      <c r="AE216" s="219">
        <v>5.2632491976754301E-3</v>
      </c>
      <c r="AF216" s="167">
        <v>6.1727102803738303</v>
      </c>
      <c r="AG216" s="222">
        <v>4.5830861306271099E-2</v>
      </c>
      <c r="AH216" s="223">
        <v>0.460989117208911</v>
      </c>
      <c r="AI216" s="223">
        <v>0.335410578027451</v>
      </c>
      <c r="AJ216" s="167">
        <v>0.48363257871454601</v>
      </c>
      <c r="AK216" s="224">
        <v>0.27135744643941401</v>
      </c>
      <c r="AL216" s="224">
        <v>2.73605689999133E-2</v>
      </c>
      <c r="AM216" s="82">
        <v>0.263842484170353</v>
      </c>
    </row>
    <row r="217" spans="1:40" s="166" customFormat="1" ht="16.05" hidden="1" customHeight="1" outlineLevel="1">
      <c r="A217" s="196">
        <v>43558</v>
      </c>
      <c r="B217" s="197" t="s">
        <v>51</v>
      </c>
      <c r="C217" s="198">
        <v>121611</v>
      </c>
      <c r="D217" s="198">
        <v>314647</v>
      </c>
      <c r="E217" s="200">
        <v>2.5873235151425402</v>
      </c>
      <c r="F217" s="166">
        <v>0.29554264317791001</v>
      </c>
      <c r="G217" s="217">
        <v>7.64</v>
      </c>
      <c r="H217" s="217">
        <v>18.22</v>
      </c>
      <c r="I217" s="203">
        <v>0.215</v>
      </c>
      <c r="J217" s="203">
        <v>0.09</v>
      </c>
      <c r="K217" s="203">
        <v>4.2999999999999997E-2</v>
      </c>
      <c r="L217" s="166">
        <v>9.0788820487721207</v>
      </c>
      <c r="M217" s="204">
        <v>8.7282065298572693</v>
      </c>
      <c r="N217" s="166">
        <v>15.0083558761647</v>
      </c>
      <c r="O217" s="205">
        <v>0.58155647439829405</v>
      </c>
      <c r="P217" s="166">
        <v>2.1923381697953399</v>
      </c>
      <c r="Q217" s="166">
        <v>2.5772331065387899</v>
      </c>
      <c r="R217" s="166">
        <v>0.83719430554416996</v>
      </c>
      <c r="S217" s="166">
        <v>5.04608574473317</v>
      </c>
      <c r="T217" s="166">
        <v>1.2457359892887401</v>
      </c>
      <c r="U217" s="166">
        <v>0.524999316883897</v>
      </c>
      <c r="V217" s="166">
        <v>1.68385933273219</v>
      </c>
      <c r="W217" s="166">
        <v>0.90090991064841397</v>
      </c>
      <c r="X217" s="166">
        <v>0.18377419775176601</v>
      </c>
      <c r="Y217" s="200">
        <v>8.9119807276090395</v>
      </c>
      <c r="Z217" s="206">
        <v>1784</v>
      </c>
      <c r="AA217" s="206">
        <v>1292</v>
      </c>
      <c r="AB217" s="166">
        <v>10282.16</v>
      </c>
      <c r="AC217" s="209"/>
      <c r="AD217" s="210">
        <v>5.6698458907919001E-3</v>
      </c>
      <c r="AE217" s="203">
        <v>4.1061888401923404E-3</v>
      </c>
      <c r="AF217" s="166">
        <v>5.7635426008968604</v>
      </c>
      <c r="AG217" s="211">
        <v>3.2678398332099103E-2</v>
      </c>
      <c r="AH217" s="212">
        <v>0.343209084704509</v>
      </c>
      <c r="AI217" s="212">
        <v>0.21627977732277501</v>
      </c>
      <c r="AJ217" s="166">
        <v>0.47571723232702001</v>
      </c>
      <c r="AK217" s="213">
        <v>0.259713265977429</v>
      </c>
      <c r="AL217" s="213">
        <v>2.6416905293869E-2</v>
      </c>
      <c r="AM217" s="214">
        <v>0</v>
      </c>
      <c r="AN217" s="210"/>
    </row>
    <row r="218" spans="1:40" s="167" customFormat="1" ht="16.05" hidden="1" customHeight="1" outlineLevel="1">
      <c r="A218" s="186">
        <v>43559</v>
      </c>
      <c r="B218" s="187" t="s">
        <v>51</v>
      </c>
      <c r="C218" s="188">
        <v>103385</v>
      </c>
      <c r="D218" s="188">
        <v>295540</v>
      </c>
      <c r="E218" s="189">
        <v>2.85863519852977</v>
      </c>
      <c r="F218" s="167">
        <v>0.317746210516343</v>
      </c>
      <c r="G218" s="190">
        <v>8.1199999999999992</v>
      </c>
      <c r="H218" s="190">
        <v>19.010000000000002</v>
      </c>
      <c r="I218" s="219">
        <v>0.20599999999999999</v>
      </c>
      <c r="J218" s="219">
        <v>9.2999999999999999E-2</v>
      </c>
      <c r="K218" s="219">
        <v>4.5999999999999999E-2</v>
      </c>
      <c r="L218" s="167">
        <v>9.4349529674494104</v>
      </c>
      <c r="M218" s="220">
        <v>9.0152297489341606</v>
      </c>
      <c r="N218" s="167">
        <v>15.0786143589627</v>
      </c>
      <c r="O218" s="193">
        <v>0.59788184340529205</v>
      </c>
      <c r="P218" s="167">
        <v>2.2185310529830602</v>
      </c>
      <c r="Q218" s="167">
        <v>2.6102502575014999</v>
      </c>
      <c r="R218" s="167">
        <v>0.82145242164597199</v>
      </c>
      <c r="S218" s="167">
        <v>5.0177760925420802</v>
      </c>
      <c r="T218" s="167">
        <v>1.2677053503718201</v>
      </c>
      <c r="U218" s="167">
        <v>0.53168117352771405</v>
      </c>
      <c r="V218" s="167">
        <v>1.69681603640109</v>
      </c>
      <c r="W218" s="167">
        <v>0.91440197398951895</v>
      </c>
      <c r="X218" s="167">
        <v>0.22221695878730499</v>
      </c>
      <c r="Y218" s="189">
        <v>9.2374467077214604</v>
      </c>
      <c r="Z218" s="207">
        <v>1733</v>
      </c>
      <c r="AA218" s="207">
        <v>1240</v>
      </c>
      <c r="AB218" s="167">
        <v>9745.67</v>
      </c>
      <c r="AC218" s="221"/>
      <c r="AD218" s="195">
        <v>5.86384245787372E-3</v>
      </c>
      <c r="AE218" s="219">
        <v>4.1957095486228604E-3</v>
      </c>
      <c r="AF218" s="167">
        <v>5.6235833814195004</v>
      </c>
      <c r="AG218" s="222">
        <v>3.2975806997360801E-2</v>
      </c>
      <c r="AH218" s="223">
        <v>0.38244426174009799</v>
      </c>
      <c r="AI218" s="223">
        <v>0.25829665812255198</v>
      </c>
      <c r="AJ218" s="167">
        <v>0.48866820058198601</v>
      </c>
      <c r="AK218" s="224">
        <v>0.27602355011166002</v>
      </c>
      <c r="AL218" s="224">
        <v>2.79928266901265E-2</v>
      </c>
      <c r="AM218" s="82">
        <v>0</v>
      </c>
      <c r="AN218" s="195"/>
    </row>
    <row r="219" spans="1:40" ht="16.05" hidden="1" customHeight="1" outlineLevel="1">
      <c r="A219" s="186">
        <v>43560</v>
      </c>
      <c r="B219" s="187" t="s">
        <v>51</v>
      </c>
      <c r="C219" s="188">
        <v>45245</v>
      </c>
      <c r="D219" s="188">
        <v>232223</v>
      </c>
      <c r="E219" s="189">
        <v>5.1325671344900003</v>
      </c>
      <c r="F219" s="167">
        <v>0.36987327461104202</v>
      </c>
      <c r="G219" s="190">
        <v>8.15</v>
      </c>
      <c r="H219" s="190">
        <v>18.5</v>
      </c>
      <c r="I219" s="219">
        <v>0.251</v>
      </c>
      <c r="J219" s="219">
        <v>0.11799999999999999</v>
      </c>
      <c r="K219" s="219">
        <v>6.0999999999999999E-2</v>
      </c>
      <c r="L219" s="167">
        <v>10.2669503020803</v>
      </c>
      <c r="M219" s="220">
        <v>10.2411475176877</v>
      </c>
      <c r="N219" s="167">
        <v>15.2087969713248</v>
      </c>
      <c r="O219" s="193">
        <v>0.67336999349762905</v>
      </c>
      <c r="P219" s="167">
        <v>2.506906607321</v>
      </c>
      <c r="Q219" s="167">
        <v>2.9495433965159998</v>
      </c>
      <c r="R219" s="167">
        <v>0.92822883892256902</v>
      </c>
      <c r="S219" s="167">
        <v>5.6700112552119304</v>
      </c>
      <c r="T219" s="167">
        <v>1.43248791343719</v>
      </c>
      <c r="U219" s="167">
        <v>0.60079170183920405</v>
      </c>
      <c r="V219" s="167">
        <v>1.9173765124191</v>
      </c>
      <c r="W219" s="167">
        <v>1.03326043025606</v>
      </c>
      <c r="X219" s="167">
        <v>0.25857473204635201</v>
      </c>
      <c r="Y219" s="189">
        <v>10.4997222497341</v>
      </c>
      <c r="Z219" s="207">
        <v>1724</v>
      </c>
      <c r="AA219" s="207">
        <v>1232</v>
      </c>
      <c r="AB219" s="167">
        <v>9493.76</v>
      </c>
      <c r="AC219" s="221"/>
      <c r="AD219" s="195">
        <v>7.42389858024399E-3</v>
      </c>
      <c r="AE219" s="219">
        <v>5.3052453891302802E-3</v>
      </c>
      <c r="AF219" s="167">
        <v>5.5068213457076602</v>
      </c>
      <c r="AG219" s="222">
        <v>4.0882083170056399E-2</v>
      </c>
      <c r="AH219" s="223">
        <v>0.51234390540391195</v>
      </c>
      <c r="AI219" s="223">
        <v>0.42499723726378602</v>
      </c>
      <c r="AJ219" s="167">
        <v>0.56045266834034502</v>
      </c>
      <c r="AK219" s="224">
        <v>0.339974937882983</v>
      </c>
      <c r="AL219" s="224">
        <v>3.5719976057496501E-2</v>
      </c>
      <c r="AM219" s="82">
        <v>0</v>
      </c>
    </row>
    <row r="220" spans="1:40" ht="16.05" hidden="1" customHeight="1" outlineLevel="1">
      <c r="A220" s="186">
        <v>43561</v>
      </c>
      <c r="B220" s="185" t="s">
        <v>51</v>
      </c>
      <c r="C220" s="188">
        <v>58719</v>
      </c>
      <c r="D220" s="188">
        <v>229717</v>
      </c>
      <c r="E220" s="189">
        <v>3.9121408743336898</v>
      </c>
      <c r="F220" s="167">
        <v>0.49465379499558099</v>
      </c>
      <c r="G220" s="190">
        <v>7.25</v>
      </c>
      <c r="H220" s="190">
        <v>17.14</v>
      </c>
      <c r="I220" s="219">
        <v>0.245</v>
      </c>
      <c r="J220" s="219">
        <v>0.112</v>
      </c>
      <c r="K220" s="219">
        <v>6.2E-2</v>
      </c>
      <c r="L220" s="167">
        <v>12.183382161529201</v>
      </c>
      <c r="M220" s="220">
        <v>12.938567890055999</v>
      </c>
      <c r="N220" s="167">
        <v>19.614786608504001</v>
      </c>
      <c r="O220" s="193">
        <v>0.65963337497877805</v>
      </c>
      <c r="P220" s="167">
        <v>2.6086227718786499</v>
      </c>
      <c r="Q220" s="167">
        <v>3.2922476885612699</v>
      </c>
      <c r="R220" s="167">
        <v>1.0408568656824799</v>
      </c>
      <c r="S220" s="167">
        <v>7.3591193764889899</v>
      </c>
      <c r="T220" s="167">
        <v>1.5658322829293401</v>
      </c>
      <c r="U220" s="167">
        <v>0.46044651518851198</v>
      </c>
      <c r="V220" s="167">
        <v>2.2298173946901301</v>
      </c>
      <c r="W220" s="167">
        <v>1.0578437130846201</v>
      </c>
      <c r="X220" s="167">
        <v>0.30897147359577198</v>
      </c>
      <c r="Y220" s="189">
        <v>13.2475393636518</v>
      </c>
      <c r="Z220" s="207">
        <v>2495</v>
      </c>
      <c r="AA220" s="207">
        <v>1543</v>
      </c>
      <c r="AB220" s="167">
        <v>18407.05</v>
      </c>
      <c r="AC220" s="221"/>
      <c r="AD220" s="195">
        <v>1.08611900730029E-2</v>
      </c>
      <c r="AE220" s="219">
        <v>6.7169604339252197E-3</v>
      </c>
      <c r="AF220" s="167">
        <v>7.3775751503005997</v>
      </c>
      <c r="AG220" s="222">
        <v>8.0129245985277597E-2</v>
      </c>
      <c r="AH220" s="223">
        <v>0.45264735434867798</v>
      </c>
      <c r="AI220" s="223">
        <v>0.31218174696435602</v>
      </c>
      <c r="AJ220" s="167">
        <v>0.45028448046944702</v>
      </c>
      <c r="AK220" s="224">
        <v>0.29380933931750802</v>
      </c>
      <c r="AL220" s="224">
        <v>3.1247143224053898E-2</v>
      </c>
      <c r="AM220" s="82">
        <v>0.33963093719663801</v>
      </c>
    </row>
    <row r="221" spans="1:40" ht="16.05" hidden="1" customHeight="1" outlineLevel="1">
      <c r="A221" s="186">
        <v>43562</v>
      </c>
      <c r="B221" s="185" t="s">
        <v>51</v>
      </c>
      <c r="C221" s="188">
        <v>58181</v>
      </c>
      <c r="D221" s="188">
        <v>227092</v>
      </c>
      <c r="E221" s="189">
        <v>3.9031986387308599</v>
      </c>
      <c r="F221" s="167">
        <v>0.47196362409067699</v>
      </c>
      <c r="G221" s="190">
        <v>7.21</v>
      </c>
      <c r="H221" s="190">
        <v>16.7</v>
      </c>
      <c r="I221" s="219">
        <v>0.246</v>
      </c>
      <c r="J221" s="219">
        <v>0.11700000000000001</v>
      </c>
      <c r="K221" s="219">
        <v>6.7000000000000004E-2</v>
      </c>
      <c r="L221" s="167">
        <v>12.1167324256249</v>
      </c>
      <c r="M221" s="220">
        <v>12.8901678614835</v>
      </c>
      <c r="N221" s="167">
        <v>19.415232372273199</v>
      </c>
      <c r="O221" s="193">
        <v>0.66392034946189205</v>
      </c>
      <c r="P221" s="167">
        <v>2.54724714965079</v>
      </c>
      <c r="Q221" s="167">
        <v>3.40895795610562</v>
      </c>
      <c r="R221" s="167">
        <v>1.07840367179365</v>
      </c>
      <c r="S221" s="167">
        <v>7.1306683646059303</v>
      </c>
      <c r="T221" s="167">
        <v>1.5498935471675599</v>
      </c>
      <c r="U221" s="167">
        <v>0.46414761459431803</v>
      </c>
      <c r="V221" s="167">
        <v>2.1626639075153702</v>
      </c>
      <c r="W221" s="167">
        <v>1.0732501608399501</v>
      </c>
      <c r="X221" s="167">
        <v>0.31879590650485301</v>
      </c>
      <c r="Y221" s="189">
        <v>13.208963767988299</v>
      </c>
      <c r="Z221" s="207">
        <v>2081</v>
      </c>
      <c r="AA221" s="207">
        <v>1401</v>
      </c>
      <c r="AB221" s="167">
        <v>16247.19</v>
      </c>
      <c r="AC221" s="221"/>
      <c r="AD221" s="195">
        <v>9.1636869638736709E-3</v>
      </c>
      <c r="AE221" s="219">
        <v>6.1693058319976001E-3</v>
      </c>
      <c r="AF221" s="167">
        <v>7.8073954829408896</v>
      </c>
      <c r="AG221" s="222">
        <v>7.1544528208831698E-2</v>
      </c>
      <c r="AH221" s="223">
        <v>0.47006754782489102</v>
      </c>
      <c r="AI221" s="223">
        <v>0.32713428782592302</v>
      </c>
      <c r="AJ221" s="167">
        <v>0.46022316946435798</v>
      </c>
      <c r="AK221" s="224">
        <v>0.28932326986419599</v>
      </c>
      <c r="AL221" s="224">
        <v>3.16964049812411E-2</v>
      </c>
      <c r="AM221" s="82">
        <v>0.35270727282334902</v>
      </c>
    </row>
    <row r="222" spans="1:40" ht="16.05" hidden="1" customHeight="1" outlineLevel="1">
      <c r="A222" s="186">
        <v>43563</v>
      </c>
      <c r="B222" s="185" t="s">
        <v>51</v>
      </c>
      <c r="C222" s="188">
        <v>56058</v>
      </c>
      <c r="D222" s="188">
        <v>224609</v>
      </c>
      <c r="E222" s="189">
        <v>4.0067251774947401</v>
      </c>
      <c r="F222" s="167">
        <v>0.42041875410157198</v>
      </c>
      <c r="G222" s="190">
        <v>7.48</v>
      </c>
      <c r="H222" s="190">
        <v>16.98</v>
      </c>
      <c r="I222" s="219">
        <v>0.25800000000000001</v>
      </c>
      <c r="J222" s="219">
        <v>0.126</v>
      </c>
      <c r="K222" s="219">
        <v>6.8000000000000005E-2</v>
      </c>
      <c r="L222" s="167">
        <v>11.769937981113801</v>
      </c>
      <c r="M222" s="220">
        <v>12.3383746866777</v>
      </c>
      <c r="N222" s="167">
        <v>18.579818580422</v>
      </c>
      <c r="O222" s="193">
        <v>0.66407401306269997</v>
      </c>
      <c r="P222" s="167">
        <v>2.5070160971325501</v>
      </c>
      <c r="Q222" s="167">
        <v>3.3521457256447902</v>
      </c>
      <c r="R222" s="167">
        <v>1.02691124117541</v>
      </c>
      <c r="S222" s="167">
        <v>6.5527933653800998</v>
      </c>
      <c r="T222" s="167">
        <v>1.5487104192226999</v>
      </c>
      <c r="U222" s="167">
        <v>0.46025999450243699</v>
      </c>
      <c r="V222" s="167">
        <v>2.08918790267973</v>
      </c>
      <c r="W222" s="167">
        <v>1.04279383468426</v>
      </c>
      <c r="X222" s="167">
        <v>0.32373146222992</v>
      </c>
      <c r="Y222" s="189">
        <v>12.6621061489077</v>
      </c>
      <c r="Z222" s="207">
        <v>1771</v>
      </c>
      <c r="AA222" s="207">
        <v>1273</v>
      </c>
      <c r="AB222" s="167">
        <v>11265.29</v>
      </c>
      <c r="AC222" s="221"/>
      <c r="AD222" s="195">
        <v>7.8848131642097995E-3</v>
      </c>
      <c r="AE222" s="219">
        <v>5.6676268537770103E-3</v>
      </c>
      <c r="AF222" s="167">
        <v>6.3609768492377201</v>
      </c>
      <c r="AG222" s="222">
        <v>5.01551139981034E-2</v>
      </c>
      <c r="AH222" s="223">
        <v>0.45485033358307497</v>
      </c>
      <c r="AI222" s="223">
        <v>0.32102465303792499</v>
      </c>
      <c r="AJ222" s="167">
        <v>0.46810234674478801</v>
      </c>
      <c r="AK222" s="224">
        <v>0.29451179605447703</v>
      </c>
      <c r="AL222" s="224">
        <v>3.3444786273034502E-2</v>
      </c>
      <c r="AM222" s="82">
        <v>0.34575195116847501</v>
      </c>
    </row>
    <row r="223" spans="1:40" ht="16.05" hidden="1" customHeight="1" outlineLevel="1">
      <c r="A223" s="186">
        <v>43564</v>
      </c>
      <c r="B223" s="185" t="s">
        <v>51</v>
      </c>
      <c r="C223" s="188">
        <v>55673</v>
      </c>
      <c r="D223" s="188">
        <v>219231</v>
      </c>
      <c r="E223" s="189">
        <v>3.9378334201498002</v>
      </c>
      <c r="F223" s="167">
        <v>0.42775610963777899</v>
      </c>
      <c r="G223" s="190">
        <v>8.0399999999999991</v>
      </c>
      <c r="H223" s="190">
        <v>17.32</v>
      </c>
      <c r="I223" s="219">
        <v>0.247</v>
      </c>
      <c r="J223" s="219">
        <v>0.121</v>
      </c>
      <c r="K223" s="219">
        <v>6.2E-2</v>
      </c>
      <c r="L223" s="167">
        <v>11.1445233566421</v>
      </c>
      <c r="M223" s="220">
        <v>11.6478554583978</v>
      </c>
      <c r="N223" s="167">
        <v>17.787234783577802</v>
      </c>
      <c r="O223" s="193">
        <v>0.65484352121734601</v>
      </c>
      <c r="P223" s="167">
        <v>2.4330184867861999</v>
      </c>
      <c r="Q223" s="167">
        <v>3.14966355999498</v>
      </c>
      <c r="R223" s="167">
        <v>1.02820384224238</v>
      </c>
      <c r="S223" s="167">
        <v>6.1572143046210002</v>
      </c>
      <c r="T223" s="167">
        <v>1.4843133976957701</v>
      </c>
      <c r="U223" s="167">
        <v>0.49142530753263403</v>
      </c>
      <c r="V223" s="167">
        <v>2.0262047059806898</v>
      </c>
      <c r="W223" s="167">
        <v>1.0171911787241701</v>
      </c>
      <c r="X223" s="167">
        <v>0.30112073566238401</v>
      </c>
      <c r="Y223" s="189">
        <v>11.9489761940601</v>
      </c>
      <c r="Z223" s="207">
        <v>1831</v>
      </c>
      <c r="AA223" s="207">
        <v>1280</v>
      </c>
      <c r="AB223" s="167">
        <v>11266.69</v>
      </c>
      <c r="AC223" s="221"/>
      <c r="AD223" s="195">
        <v>8.3519210330655798E-3</v>
      </c>
      <c r="AE223" s="219">
        <v>5.8385903453434997E-3</v>
      </c>
      <c r="AF223" s="167">
        <v>6.1532987438558102</v>
      </c>
      <c r="AG223" s="222">
        <v>5.13918652015454E-2</v>
      </c>
      <c r="AH223" s="223">
        <v>0.450685251378586</v>
      </c>
      <c r="AI223" s="223">
        <v>0.317730318107521</v>
      </c>
      <c r="AJ223" s="167">
        <v>0.51534682595071002</v>
      </c>
      <c r="AK223" s="224">
        <v>0.30709160657023898</v>
      </c>
      <c r="AL223" s="224">
        <v>3.8904169574558299E-2</v>
      </c>
      <c r="AM223" s="82">
        <v>0.29368565576948502</v>
      </c>
    </row>
    <row r="224" spans="1:40" s="166" customFormat="1" ht="16.05" hidden="1" customHeight="1" outlineLevel="1">
      <c r="A224" s="196">
        <v>43565</v>
      </c>
      <c r="B224" s="197" t="s">
        <v>51</v>
      </c>
      <c r="C224" s="198">
        <v>45628</v>
      </c>
      <c r="D224" s="198">
        <v>202267</v>
      </c>
      <c r="E224" s="200">
        <v>4.4329578329096204</v>
      </c>
      <c r="F224" s="166">
        <v>0.40009707675992601</v>
      </c>
      <c r="G224" s="217">
        <v>9.33</v>
      </c>
      <c r="H224" s="217">
        <v>21.31</v>
      </c>
      <c r="I224" s="203">
        <v>0.24399999999999999</v>
      </c>
      <c r="J224" s="203">
        <v>0.115</v>
      </c>
      <c r="K224" s="203">
        <v>0.06</v>
      </c>
      <c r="L224" s="166">
        <v>10.3903652103408</v>
      </c>
      <c r="M224" s="204">
        <v>10.4595658214143</v>
      </c>
      <c r="N224" s="166">
        <v>15.914253905926801</v>
      </c>
      <c r="O224" s="205">
        <v>0.65724512649122202</v>
      </c>
      <c r="P224" s="166">
        <v>2.2411181068008599</v>
      </c>
      <c r="Q224" s="166">
        <v>2.6644927372704799</v>
      </c>
      <c r="R224" s="166">
        <v>0.93520336394887904</v>
      </c>
      <c r="S224" s="166">
        <v>5.4826800261774196</v>
      </c>
      <c r="T224" s="166">
        <v>1.34391713492655</v>
      </c>
      <c r="U224" s="166">
        <v>0.51382212894635904</v>
      </c>
      <c r="V224" s="166">
        <v>1.79642542820391</v>
      </c>
      <c r="W224" s="166">
        <v>0.93659497965232197</v>
      </c>
      <c r="X224" s="166">
        <v>0.242768222201348</v>
      </c>
      <c r="Y224" s="200">
        <v>10.7023340436156</v>
      </c>
      <c r="Z224" s="206">
        <v>1317</v>
      </c>
      <c r="AA224" s="206">
        <v>987</v>
      </c>
      <c r="AB224" s="166">
        <v>6834.83</v>
      </c>
      <c r="AC224" s="209"/>
      <c r="AD224" s="210">
        <v>6.5111955978978302E-3</v>
      </c>
      <c r="AE224" s="203">
        <v>4.8796887282651098E-3</v>
      </c>
      <c r="AF224" s="166">
        <v>5.1896962794229298</v>
      </c>
      <c r="AG224" s="211">
        <v>3.3791127569005298E-2</v>
      </c>
      <c r="AH224" s="212">
        <v>0.43736302270535599</v>
      </c>
      <c r="AI224" s="212">
        <v>0.32589637941614802</v>
      </c>
      <c r="AJ224" s="166">
        <v>0.58668492635971303</v>
      </c>
      <c r="AK224" s="213">
        <v>0.33950669165014602</v>
      </c>
      <c r="AL224" s="213">
        <v>4.4589577143083203E-2</v>
      </c>
      <c r="AM224" s="214">
        <v>0</v>
      </c>
      <c r="AN224" s="210"/>
    </row>
    <row r="225" spans="1:40" s="167" customFormat="1" ht="16.05" hidden="1" customHeight="1" outlineLevel="1">
      <c r="A225" s="186">
        <v>43566</v>
      </c>
      <c r="B225" s="187" t="s">
        <v>51</v>
      </c>
      <c r="C225" s="188">
        <v>39027</v>
      </c>
      <c r="D225" s="188">
        <v>189091</v>
      </c>
      <c r="E225" s="189">
        <v>4.8451328567402099</v>
      </c>
      <c r="F225" s="167">
        <v>0.41279353911079902</v>
      </c>
      <c r="G225" s="190">
        <v>8.9600000000000009</v>
      </c>
      <c r="H225" s="190">
        <v>18.87</v>
      </c>
      <c r="I225" s="219">
        <v>0.23899999999999999</v>
      </c>
      <c r="J225" s="219">
        <v>0.114</v>
      </c>
      <c r="K225" s="219">
        <v>5.8999999999999997E-2</v>
      </c>
      <c r="L225" s="167">
        <v>10.308978216837399</v>
      </c>
      <c r="M225" s="220">
        <v>10.542426662294901</v>
      </c>
      <c r="N225" s="167">
        <v>15.9145943270451</v>
      </c>
      <c r="O225" s="193">
        <v>0.66243766228958501</v>
      </c>
      <c r="P225" s="167">
        <v>2.2841506933522799</v>
      </c>
      <c r="Q225" s="167">
        <v>2.6850496164009501</v>
      </c>
      <c r="R225" s="167">
        <v>0.93001812216092805</v>
      </c>
      <c r="S225" s="167">
        <v>5.3948874749523004</v>
      </c>
      <c r="T225" s="167">
        <v>1.3765657307541901</v>
      </c>
      <c r="U225" s="167">
        <v>0.51569123669777495</v>
      </c>
      <c r="V225" s="167">
        <v>1.79272878230255</v>
      </c>
      <c r="W225" s="167">
        <v>0.93550267042415403</v>
      </c>
      <c r="X225" s="167">
        <v>0.25371382032989398</v>
      </c>
      <c r="Y225" s="189">
        <v>10.7961404826248</v>
      </c>
      <c r="Z225" s="207">
        <v>1424</v>
      </c>
      <c r="AA225" s="207">
        <v>1031</v>
      </c>
      <c r="AB225" s="167">
        <v>8273.76</v>
      </c>
      <c r="AC225" s="221"/>
      <c r="AD225" s="195">
        <v>7.5307656102088401E-3</v>
      </c>
      <c r="AE225" s="219">
        <v>5.4524012248071E-3</v>
      </c>
      <c r="AF225" s="167">
        <v>5.8102247191011198</v>
      </c>
      <c r="AG225" s="222">
        <v>4.37554405021921E-2</v>
      </c>
      <c r="AH225" s="223">
        <v>0.33358956619776098</v>
      </c>
      <c r="AI225" s="223">
        <v>0.25915391908166102</v>
      </c>
      <c r="AJ225" s="167">
        <v>0.41437720462634398</v>
      </c>
      <c r="AK225" s="224">
        <v>0.35175656165549901</v>
      </c>
      <c r="AL225" s="224">
        <v>4.60519009365861E-2</v>
      </c>
      <c r="AM225" s="82">
        <v>0</v>
      </c>
      <c r="AN225" s="195"/>
    </row>
    <row r="226" spans="1:40" ht="16.05" hidden="1" customHeight="1" outlineLevel="1">
      <c r="A226" s="186">
        <v>43567</v>
      </c>
      <c r="B226" s="187" t="s">
        <v>51</v>
      </c>
      <c r="C226" s="188">
        <v>39511</v>
      </c>
      <c r="D226" s="188">
        <v>183918</v>
      </c>
      <c r="E226" s="189">
        <v>4.6548556098301699</v>
      </c>
      <c r="F226" s="167">
        <v>0.39800704784197299</v>
      </c>
      <c r="G226" s="190">
        <v>8.35</v>
      </c>
      <c r="H226" s="190">
        <v>18.36</v>
      </c>
      <c r="I226" s="219">
        <v>0.23499999999999999</v>
      </c>
      <c r="J226" s="219">
        <v>0.114</v>
      </c>
      <c r="K226" s="219">
        <v>5.7000000000000002E-2</v>
      </c>
      <c r="L226" s="167">
        <v>10.2760632455768</v>
      </c>
      <c r="M226" s="220">
        <v>10.353391185202099</v>
      </c>
      <c r="N226" s="167">
        <v>15.7356830014048</v>
      </c>
      <c r="O226" s="193">
        <v>0.65795626311725897</v>
      </c>
      <c r="P226" s="167">
        <v>2.2835550780927201</v>
      </c>
      <c r="Q226" s="167">
        <v>2.6604743409635598</v>
      </c>
      <c r="R226" s="167">
        <v>0.903404677299397</v>
      </c>
      <c r="S226" s="167">
        <v>5.2878274522766704</v>
      </c>
      <c r="T226" s="167">
        <v>1.3769936368895099</v>
      </c>
      <c r="U226" s="167">
        <v>0.51413932732832002</v>
      </c>
      <c r="V226" s="167">
        <v>1.77305181389968</v>
      </c>
      <c r="W226" s="167">
        <v>0.93623667465498694</v>
      </c>
      <c r="X226" s="167">
        <v>0.23820941941517401</v>
      </c>
      <c r="Y226" s="189">
        <v>10.5916006046173</v>
      </c>
      <c r="Z226" s="207">
        <v>1449</v>
      </c>
      <c r="AA226" s="207">
        <v>1039</v>
      </c>
      <c r="AB226" s="167">
        <v>8974.51</v>
      </c>
      <c r="AC226" s="221"/>
      <c r="AD226" s="195">
        <v>7.8785110755880301E-3</v>
      </c>
      <c r="AE226" s="219">
        <v>5.6492567339792698E-3</v>
      </c>
      <c r="AF226" s="167">
        <v>6.1935886818495502</v>
      </c>
      <c r="AG226" s="222">
        <v>4.8796257027588399E-2</v>
      </c>
      <c r="AH226" s="223">
        <v>0.42621042241401103</v>
      </c>
      <c r="AI226" s="223">
        <v>0.30895193743514499</v>
      </c>
      <c r="AJ226" s="167">
        <v>0.57153187833708496</v>
      </c>
      <c r="AK226" s="224">
        <v>0.35167846540306003</v>
      </c>
      <c r="AL226" s="224">
        <v>4.6324992659772302E-2</v>
      </c>
      <c r="AM226" s="82">
        <v>0</v>
      </c>
    </row>
    <row r="227" spans="1:40" ht="16.05" hidden="1" customHeight="1" outlineLevel="1">
      <c r="A227" s="186">
        <v>43568</v>
      </c>
      <c r="B227" s="185" t="s">
        <v>51</v>
      </c>
      <c r="C227" s="188">
        <v>37909</v>
      </c>
      <c r="D227" s="188">
        <v>176259</v>
      </c>
      <c r="E227" s="189">
        <v>4.6495291355614796</v>
      </c>
      <c r="F227" s="167">
        <v>0.58783667564209496</v>
      </c>
      <c r="G227" s="190">
        <v>7.84</v>
      </c>
      <c r="H227" s="190">
        <v>16.920000000000002</v>
      </c>
      <c r="I227" s="219">
        <v>0.23300000000000001</v>
      </c>
      <c r="J227" s="219">
        <v>0.106</v>
      </c>
      <c r="K227" s="219">
        <v>0.06</v>
      </c>
      <c r="L227" s="167">
        <v>13.0624138341872</v>
      </c>
      <c r="M227" s="220">
        <v>14.0321685701156</v>
      </c>
      <c r="N227" s="167">
        <v>21.0462826654867</v>
      </c>
      <c r="O227" s="193">
        <v>0.66672907482738497</v>
      </c>
      <c r="P227" s="167">
        <v>2.7735646757490402</v>
      </c>
      <c r="Q227" s="167">
        <v>3.431886450471</v>
      </c>
      <c r="R227" s="167">
        <v>1.1582834823897801</v>
      </c>
      <c r="S227" s="167">
        <v>8.02163091297429</v>
      </c>
      <c r="T227" s="167">
        <v>1.7167218359896901</v>
      </c>
      <c r="U227" s="167">
        <v>0.450666712050171</v>
      </c>
      <c r="V227" s="167">
        <v>2.3992273458308202</v>
      </c>
      <c r="W227" s="167">
        <v>1.09430125003191</v>
      </c>
      <c r="X227" s="167">
        <v>0.36101986281551601</v>
      </c>
      <c r="Y227" s="189">
        <v>14.393188432931099</v>
      </c>
      <c r="Z227" s="207">
        <v>2245</v>
      </c>
      <c r="AA227" s="207">
        <v>1394</v>
      </c>
      <c r="AB227" s="167">
        <v>17152.55</v>
      </c>
      <c r="AC227" s="221"/>
      <c r="AD227" s="195">
        <v>1.27369382556352E-2</v>
      </c>
      <c r="AE227" s="219">
        <v>7.9088160037217997E-3</v>
      </c>
      <c r="AF227" s="167">
        <v>7.6403340757238301</v>
      </c>
      <c r="AG227" s="222">
        <v>9.7314463374919793E-2</v>
      </c>
      <c r="AH227" s="223">
        <v>0.42892189189902102</v>
      </c>
      <c r="AI227" s="223">
        <v>0.30567939011844197</v>
      </c>
      <c r="AJ227" s="167">
        <v>0.48405471493654201</v>
      </c>
      <c r="AK227" s="224">
        <v>0.32026166039748299</v>
      </c>
      <c r="AL227" s="224">
        <v>4.3748120663342001E-2</v>
      </c>
      <c r="AM227" s="82">
        <v>0.35044451630838702</v>
      </c>
    </row>
    <row r="228" spans="1:40" ht="16.05" hidden="1" customHeight="1" outlineLevel="1">
      <c r="A228" s="186">
        <v>43569</v>
      </c>
      <c r="B228" s="185" t="s">
        <v>51</v>
      </c>
      <c r="C228" s="188">
        <v>46584</v>
      </c>
      <c r="D228" s="188">
        <v>185695</v>
      </c>
      <c r="E228" s="189">
        <v>3.9862399106989499</v>
      </c>
      <c r="F228" s="167">
        <v>0.50962106659845396</v>
      </c>
      <c r="G228" s="190">
        <v>7.94</v>
      </c>
      <c r="H228" s="190">
        <v>17.55</v>
      </c>
      <c r="I228" s="219">
        <v>0.22900000000000001</v>
      </c>
      <c r="J228" s="219">
        <v>0.107</v>
      </c>
      <c r="K228" s="219">
        <v>6.0999999999999999E-2</v>
      </c>
      <c r="L228" s="167">
        <v>12.4394894854466</v>
      </c>
      <c r="M228" s="220">
        <v>13.2641212741323</v>
      </c>
      <c r="N228" s="167">
        <v>20.354022741546299</v>
      </c>
      <c r="O228" s="193">
        <v>0.65167075042408296</v>
      </c>
      <c r="P228" s="167">
        <v>2.67194988926718</v>
      </c>
      <c r="Q228" s="167">
        <v>3.5024295111228598</v>
      </c>
      <c r="R228" s="167">
        <v>1.17257792615608</v>
      </c>
      <c r="S228" s="167">
        <v>7.5134697385383298</v>
      </c>
      <c r="T228" s="167">
        <v>1.6750900737117</v>
      </c>
      <c r="U228" s="167">
        <v>0.45440121640829001</v>
      </c>
      <c r="V228" s="167">
        <v>2.2712623541467001</v>
      </c>
      <c r="W228" s="167">
        <v>1.09284203219515</v>
      </c>
      <c r="X228" s="167">
        <v>0.350305608659361</v>
      </c>
      <c r="Y228" s="189">
        <v>13.614426882791699</v>
      </c>
      <c r="Z228" s="207">
        <v>1924</v>
      </c>
      <c r="AA228" s="207">
        <v>1275</v>
      </c>
      <c r="AB228" s="167">
        <v>13028.76</v>
      </c>
      <c r="AC228" s="221"/>
      <c r="AD228" s="195">
        <v>1.03610759578879E-2</v>
      </c>
      <c r="AE228" s="219">
        <v>6.86609763321576E-3</v>
      </c>
      <c r="AF228" s="167">
        <v>6.7717047817047797</v>
      </c>
      <c r="AG228" s="222">
        <v>7.0162147607636199E-2</v>
      </c>
      <c r="AH228" s="223">
        <v>0.40994762150094499</v>
      </c>
      <c r="AI228" s="223">
        <v>0.27511591962905702</v>
      </c>
      <c r="AJ228" s="167">
        <v>0.46348043835321401</v>
      </c>
      <c r="AK228" s="224">
        <v>0.29932954576052101</v>
      </c>
      <c r="AL228" s="224">
        <v>4.1751258784566099E-2</v>
      </c>
      <c r="AM228" s="82">
        <v>0.34714451116077399</v>
      </c>
    </row>
    <row r="229" spans="1:40" ht="16.05" hidden="1" customHeight="1" outlineLevel="1">
      <c r="A229" s="186">
        <v>43570</v>
      </c>
      <c r="B229" s="185" t="s">
        <v>51</v>
      </c>
      <c r="C229" s="188">
        <v>52388</v>
      </c>
      <c r="D229" s="188">
        <v>191310</v>
      </c>
      <c r="E229" s="189">
        <v>3.6517904863709201</v>
      </c>
      <c r="F229" s="167">
        <v>0.465494495593539</v>
      </c>
      <c r="G229" s="190">
        <v>8.01</v>
      </c>
      <c r="H229" s="190">
        <v>17.52</v>
      </c>
      <c r="I229" s="219">
        <v>0.222</v>
      </c>
      <c r="J229" s="219">
        <v>0.106</v>
      </c>
      <c r="K229" s="219">
        <v>5.7000000000000002E-2</v>
      </c>
      <c r="L229" s="167">
        <v>11.8340703570122</v>
      </c>
      <c r="M229" s="220">
        <v>12.470566096910799</v>
      </c>
      <c r="N229" s="167">
        <v>19.409074268420699</v>
      </c>
      <c r="O229" s="193">
        <v>0.64251215305002396</v>
      </c>
      <c r="P229" s="167">
        <v>2.6406413979938002</v>
      </c>
      <c r="Q229" s="167">
        <v>3.4282088204427299</v>
      </c>
      <c r="R229" s="167">
        <v>1.0951764983444401</v>
      </c>
      <c r="S229" s="167">
        <v>6.9203377834183497</v>
      </c>
      <c r="T229" s="167">
        <v>1.63988480218681</v>
      </c>
      <c r="U229" s="167">
        <v>0.452851064522165</v>
      </c>
      <c r="V229" s="167">
        <v>2.1681025716122</v>
      </c>
      <c r="W229" s="167">
        <v>1.0638713299001801</v>
      </c>
      <c r="X229" s="167">
        <v>0.33139407244786001</v>
      </c>
      <c r="Y229" s="189">
        <v>12.801960169358599</v>
      </c>
      <c r="Z229" s="207">
        <v>1732</v>
      </c>
      <c r="AA229" s="207">
        <v>1177</v>
      </c>
      <c r="AB229" s="167">
        <v>11251.68</v>
      </c>
      <c r="AC229" s="221"/>
      <c r="AD229" s="195">
        <v>9.0533688777376994E-3</v>
      </c>
      <c r="AE229" s="219">
        <v>6.1523182269614804E-3</v>
      </c>
      <c r="AF229" s="167">
        <v>6.4963510392609702</v>
      </c>
      <c r="AG229" s="222">
        <v>5.8813862317704198E-2</v>
      </c>
      <c r="AH229" s="223">
        <v>0.39665572268458399</v>
      </c>
      <c r="AI229" s="223">
        <v>0.26372451706497702</v>
      </c>
      <c r="AJ229" s="167">
        <v>0.45094872196957803</v>
      </c>
      <c r="AK229" s="224">
        <v>0.29190319376927498</v>
      </c>
      <c r="AL229" s="224">
        <v>4.1069468402069903E-2</v>
      </c>
      <c r="AM229" s="82">
        <v>0.33238722492290002</v>
      </c>
    </row>
    <row r="230" spans="1:40" ht="16.05" hidden="1" customHeight="1" outlineLevel="1">
      <c r="A230" s="186">
        <v>43571</v>
      </c>
      <c r="B230" s="185" t="s">
        <v>51</v>
      </c>
      <c r="C230" s="188">
        <v>49561</v>
      </c>
      <c r="D230" s="188">
        <v>185359</v>
      </c>
      <c r="E230" s="189">
        <v>3.7400173523536702</v>
      </c>
      <c r="F230" s="167">
        <v>0.46037474354630697</v>
      </c>
      <c r="G230" s="190">
        <v>8.67</v>
      </c>
      <c r="H230" s="190">
        <v>17.91</v>
      </c>
      <c r="I230" s="219">
        <v>0.22800000000000001</v>
      </c>
      <c r="J230" s="219">
        <v>0.106</v>
      </c>
      <c r="K230" s="219">
        <v>5.5E-2</v>
      </c>
      <c r="L230" s="167">
        <v>11.1509503180315</v>
      </c>
      <c r="M230" s="220">
        <v>11.688663620326</v>
      </c>
      <c r="N230" s="167">
        <v>18.0806058582993</v>
      </c>
      <c r="O230" s="193">
        <v>0.64647521836004695</v>
      </c>
      <c r="P230" s="167">
        <v>2.5168655595426901</v>
      </c>
      <c r="Q230" s="167">
        <v>3.1305683050988899</v>
      </c>
      <c r="R230" s="167">
        <v>1.0497204372861599</v>
      </c>
      <c r="S230" s="167">
        <v>6.2831594759242302</v>
      </c>
      <c r="T230" s="167">
        <v>1.54736710339648</v>
      </c>
      <c r="U230" s="167">
        <v>0.48724860218643101</v>
      </c>
      <c r="V230" s="167">
        <v>2.0461069848952702</v>
      </c>
      <c r="W230" s="167">
        <v>1.0195693899691201</v>
      </c>
      <c r="X230" s="167">
        <v>0.29833458316024603</v>
      </c>
      <c r="Y230" s="189">
        <v>11.9869982034862</v>
      </c>
      <c r="Z230" s="207">
        <v>1549</v>
      </c>
      <c r="AA230" s="207">
        <v>1082</v>
      </c>
      <c r="AB230" s="167">
        <v>10106.51</v>
      </c>
      <c r="AC230" s="221"/>
      <c r="AD230" s="195">
        <v>8.3567563484913104E-3</v>
      </c>
      <c r="AE230" s="219">
        <v>5.8373210904245302E-3</v>
      </c>
      <c r="AF230" s="167">
        <v>6.5245384118786296</v>
      </c>
      <c r="AG230" s="222">
        <v>5.4523977794442097E-2</v>
      </c>
      <c r="AH230" s="223">
        <v>0.408567220193297</v>
      </c>
      <c r="AI230" s="223">
        <v>0.27089848873105898</v>
      </c>
      <c r="AJ230" s="167">
        <v>0.49946320383687898</v>
      </c>
      <c r="AK230" s="224">
        <v>0.30577420033556502</v>
      </c>
      <c r="AL230" s="224">
        <v>4.6682383914457899E-2</v>
      </c>
      <c r="AM230" s="82">
        <v>0.28474473858836102</v>
      </c>
    </row>
    <row r="231" spans="1:40" s="166" customFormat="1" ht="16.05" hidden="1" customHeight="1" outlineLevel="1">
      <c r="A231" s="196">
        <v>43572</v>
      </c>
      <c r="B231" s="197" t="s">
        <v>51</v>
      </c>
      <c r="C231" s="198">
        <v>39436</v>
      </c>
      <c r="D231" s="198">
        <v>171027</v>
      </c>
      <c r="E231" s="200">
        <v>4.3368242215234796</v>
      </c>
      <c r="F231" s="166">
        <v>0.40030743128278001</v>
      </c>
      <c r="G231" s="217">
        <v>9.14</v>
      </c>
      <c r="H231" s="217">
        <v>20.03</v>
      </c>
      <c r="I231" s="203">
        <v>0.224</v>
      </c>
      <c r="J231" s="203">
        <v>0.104</v>
      </c>
      <c r="K231" s="203">
        <v>5.5E-2</v>
      </c>
      <c r="L231" s="166">
        <v>10.3803200664223</v>
      </c>
      <c r="M231" s="204">
        <v>10.4882562402428</v>
      </c>
      <c r="N231" s="166">
        <v>16.0079871491678</v>
      </c>
      <c r="O231" s="205">
        <v>0.65518894677448603</v>
      </c>
      <c r="P231" s="166">
        <v>2.2993797688635</v>
      </c>
      <c r="Q231" s="166">
        <v>2.6623800812101202</v>
      </c>
      <c r="R231" s="166">
        <v>0.92866003301949895</v>
      </c>
      <c r="S231" s="166">
        <v>5.4838159832225202</v>
      </c>
      <c r="T231" s="166">
        <v>1.3892642006157701</v>
      </c>
      <c r="U231" s="166">
        <v>0.51169514970327101</v>
      </c>
      <c r="V231" s="166">
        <v>1.79730489491767</v>
      </c>
      <c r="W231" s="166">
        <v>0.93548703761545704</v>
      </c>
      <c r="X231" s="166">
        <v>0.24393224461634699</v>
      </c>
      <c r="Y231" s="200">
        <v>10.732188484859099</v>
      </c>
      <c r="Z231" s="206">
        <v>1175</v>
      </c>
      <c r="AA231" s="206">
        <v>850</v>
      </c>
      <c r="AB231" s="166">
        <v>6216.25</v>
      </c>
      <c r="AC231" s="209"/>
      <c r="AD231" s="210">
        <v>6.8702602513053502E-3</v>
      </c>
      <c r="AE231" s="203">
        <v>4.9699755009442997E-3</v>
      </c>
      <c r="AF231" s="166">
        <v>5.2904255319148898</v>
      </c>
      <c r="AG231" s="211">
        <v>3.6346600244405801E-2</v>
      </c>
      <c r="AH231" s="212">
        <v>0.4328025154681</v>
      </c>
      <c r="AI231" s="212">
        <v>0.31075666903337101</v>
      </c>
      <c r="AJ231" s="166">
        <v>0.58521753875119098</v>
      </c>
      <c r="AK231" s="213">
        <v>0.33857227221432901</v>
      </c>
      <c r="AL231" s="213">
        <v>5.1997637799879599E-2</v>
      </c>
      <c r="AM231" s="214">
        <v>0</v>
      </c>
      <c r="AN231" s="210"/>
    </row>
    <row r="232" spans="1:40" s="167" customFormat="1" ht="16.05" hidden="1" customHeight="1" outlineLevel="1">
      <c r="A232" s="186">
        <v>43573</v>
      </c>
      <c r="B232" s="187" t="s">
        <v>51</v>
      </c>
      <c r="C232" s="188">
        <v>39441</v>
      </c>
      <c r="D232" s="188">
        <v>165536</v>
      </c>
      <c r="E232" s="189">
        <v>4.1970538272356199</v>
      </c>
      <c r="F232" s="167">
        <v>0.38651413967354498</v>
      </c>
      <c r="G232" s="190">
        <v>8.75</v>
      </c>
      <c r="H232" s="190">
        <v>18.47</v>
      </c>
      <c r="I232" s="219">
        <v>0.23599999999999999</v>
      </c>
      <c r="J232" s="219">
        <v>0.107</v>
      </c>
      <c r="K232" s="219">
        <v>5.3999999999999999E-2</v>
      </c>
      <c r="L232" s="167">
        <v>10.0432413493137</v>
      </c>
      <c r="M232" s="220">
        <v>10.1626413589793</v>
      </c>
      <c r="N232" s="167">
        <v>15.6730547067154</v>
      </c>
      <c r="O232" s="193">
        <v>0.64841484631741697</v>
      </c>
      <c r="P232" s="167">
        <v>2.3198647238577901</v>
      </c>
      <c r="Q232" s="167">
        <v>2.6157673101289398</v>
      </c>
      <c r="R232" s="167">
        <v>0.89279458895431196</v>
      </c>
      <c r="S232" s="167">
        <v>5.2477547141685896</v>
      </c>
      <c r="T232" s="167">
        <v>1.3897853469479</v>
      </c>
      <c r="U232" s="167">
        <v>0.51197175225460201</v>
      </c>
      <c r="V232" s="167">
        <v>1.76338786613997</v>
      </c>
      <c r="W232" s="167">
        <v>0.93172840426324799</v>
      </c>
      <c r="X232" s="167">
        <v>0.231798521167601</v>
      </c>
      <c r="Y232" s="189">
        <v>10.3944398801469</v>
      </c>
      <c r="Z232" s="207">
        <v>1170</v>
      </c>
      <c r="AA232" s="207">
        <v>870</v>
      </c>
      <c r="AB232" s="167">
        <v>6669.3</v>
      </c>
      <c r="AC232" s="221"/>
      <c r="AD232" s="195">
        <v>7.0679489657838801E-3</v>
      </c>
      <c r="AE232" s="219">
        <v>5.2556543591726302E-3</v>
      </c>
      <c r="AF232" s="167">
        <v>5.7002564102564097</v>
      </c>
      <c r="AG232" s="222">
        <v>4.0289121399574697E-2</v>
      </c>
      <c r="AH232" s="223">
        <v>0.42595268882634801</v>
      </c>
      <c r="AI232" s="223">
        <v>0.28518546689992602</v>
      </c>
      <c r="AJ232" s="167">
        <v>0.55361975642760497</v>
      </c>
      <c r="AK232" s="224">
        <v>0.340530156582254</v>
      </c>
      <c r="AL232" s="224">
        <v>5.2067224047941202E-2</v>
      </c>
      <c r="AM232" s="82">
        <v>0</v>
      </c>
      <c r="AN232" s="195"/>
    </row>
    <row r="233" spans="1:40" ht="16.05" hidden="1" customHeight="1" outlineLevel="1">
      <c r="A233" s="186">
        <v>43574</v>
      </c>
      <c r="B233" s="187" t="s">
        <v>51</v>
      </c>
      <c r="C233" s="188">
        <v>58889</v>
      </c>
      <c r="D233" s="188">
        <v>182560</v>
      </c>
      <c r="E233" s="189">
        <v>3.1000696225101501</v>
      </c>
      <c r="F233" s="167">
        <v>0.35358281154688898</v>
      </c>
      <c r="G233" s="190">
        <v>8.56</v>
      </c>
      <c r="H233" s="190">
        <v>18.8</v>
      </c>
      <c r="I233" s="219">
        <v>0.22600000000000001</v>
      </c>
      <c r="J233" s="219">
        <v>0.10100000000000001</v>
      </c>
      <c r="K233" s="219">
        <v>4.7E-2</v>
      </c>
      <c r="L233" s="167">
        <v>9.4631189745837005</v>
      </c>
      <c r="M233" s="220">
        <v>9.4220365907099008</v>
      </c>
      <c r="N233" s="167">
        <v>15.400684042296</v>
      </c>
      <c r="O233" s="193">
        <v>0.61179338299737096</v>
      </c>
      <c r="P233" s="167">
        <v>2.3358074653726</v>
      </c>
      <c r="Q233" s="167">
        <v>2.5404829481864799</v>
      </c>
      <c r="R233" s="167">
        <v>0.860138420077179</v>
      </c>
      <c r="S233" s="167">
        <v>5.1296278057821301</v>
      </c>
      <c r="T233" s="167">
        <v>1.3678070356078</v>
      </c>
      <c r="U233" s="167">
        <v>0.52588885208032998</v>
      </c>
      <c r="V233" s="167">
        <v>1.72957050380969</v>
      </c>
      <c r="W233" s="167">
        <v>0.91136101137981396</v>
      </c>
      <c r="X233" s="167">
        <v>0.214198071866784</v>
      </c>
      <c r="Y233" s="189">
        <v>9.6362346625766904</v>
      </c>
      <c r="Z233" s="207">
        <v>1245</v>
      </c>
      <c r="AA233" s="207">
        <v>868</v>
      </c>
      <c r="AB233" s="167">
        <v>6909.55</v>
      </c>
      <c r="AC233" s="221"/>
      <c r="AD233" s="195">
        <v>6.8196757230499601E-3</v>
      </c>
      <c r="AE233" s="219">
        <v>4.7546012269938697E-3</v>
      </c>
      <c r="AF233" s="167">
        <v>5.54983935742972</v>
      </c>
      <c r="AG233" s="222">
        <v>3.7848104732690603E-2</v>
      </c>
      <c r="AH233" s="223">
        <v>0.39662755353291801</v>
      </c>
      <c r="AI233" s="223">
        <v>0.23644483689653401</v>
      </c>
      <c r="AJ233" s="167">
        <v>0.504601226993865</v>
      </c>
      <c r="AK233" s="224">
        <v>0.30106266432953499</v>
      </c>
      <c r="AL233" s="224">
        <v>4.6160166520595999E-2</v>
      </c>
      <c r="AM233" s="82">
        <v>0</v>
      </c>
    </row>
    <row r="234" spans="1:40" ht="16.05" hidden="1" customHeight="1" outlineLevel="1">
      <c r="A234" s="186">
        <v>43575</v>
      </c>
      <c r="B234" s="185" t="s">
        <v>51</v>
      </c>
      <c r="C234" s="188">
        <v>63165</v>
      </c>
      <c r="D234" s="188">
        <v>187994</v>
      </c>
      <c r="E234" s="189">
        <v>2.9762368400221599</v>
      </c>
      <c r="F234" s="167">
        <v>0.48738934204283102</v>
      </c>
      <c r="G234" s="190">
        <v>7.63</v>
      </c>
      <c r="H234" s="190">
        <v>17.059999999999999</v>
      </c>
      <c r="I234" s="219">
        <v>0.22600000000000001</v>
      </c>
      <c r="J234" s="219">
        <v>0.10100000000000001</v>
      </c>
      <c r="K234" s="219">
        <v>5.0999999999999997E-2</v>
      </c>
      <c r="L234" s="167">
        <v>11.7301456429461</v>
      </c>
      <c r="M234" s="220">
        <v>12.4838665063779</v>
      </c>
      <c r="N234" s="167">
        <v>20.125302279314699</v>
      </c>
      <c r="O234" s="193">
        <v>0.62030703107546004</v>
      </c>
      <c r="P234" s="167">
        <v>2.7591455571372201</v>
      </c>
      <c r="Q234" s="167">
        <v>3.29014526557703</v>
      </c>
      <c r="R234" s="167">
        <v>1.0762772908913201</v>
      </c>
      <c r="S234" s="167">
        <v>7.5032586138885602</v>
      </c>
      <c r="T234" s="167">
        <v>1.6683760097415401</v>
      </c>
      <c r="U234" s="167">
        <v>0.48067127446104202</v>
      </c>
      <c r="V234" s="167">
        <v>2.2874783473682401</v>
      </c>
      <c r="W234" s="167">
        <v>1.05994992024971</v>
      </c>
      <c r="X234" s="167">
        <v>0.31012159962551999</v>
      </c>
      <c r="Y234" s="189">
        <v>12.7939881060034</v>
      </c>
      <c r="Z234" s="207">
        <v>1907</v>
      </c>
      <c r="AA234" s="207">
        <v>1194</v>
      </c>
      <c r="AB234" s="167">
        <v>14083.93</v>
      </c>
      <c r="AC234" s="221"/>
      <c r="AD234" s="195">
        <v>1.0143940764066901E-2</v>
      </c>
      <c r="AE234" s="219">
        <v>6.3512665297828699E-3</v>
      </c>
      <c r="AF234" s="167">
        <v>7.3853854221289996</v>
      </c>
      <c r="AG234" s="222">
        <v>7.4916912241880101E-2</v>
      </c>
      <c r="AH234" s="223">
        <v>0.41228528457215202</v>
      </c>
      <c r="AI234" s="223">
        <v>0.25556874851579198</v>
      </c>
      <c r="AJ234" s="167">
        <v>0.420853857037991</v>
      </c>
      <c r="AK234" s="224">
        <v>0.26447652584657</v>
      </c>
      <c r="AL234" s="224">
        <v>4.0160856197538203E-2</v>
      </c>
      <c r="AM234" s="82">
        <v>0.29495622200708499</v>
      </c>
    </row>
    <row r="235" spans="1:40" ht="16.05" hidden="1" customHeight="1" outlineLevel="1">
      <c r="A235" s="186">
        <v>43576</v>
      </c>
      <c r="B235" s="185" t="s">
        <v>51</v>
      </c>
      <c r="C235" s="188">
        <v>66408</v>
      </c>
      <c r="D235" s="188">
        <v>194520</v>
      </c>
      <c r="E235" s="189">
        <v>2.9291651608240001</v>
      </c>
      <c r="F235" s="167">
        <v>0.45182818701418898</v>
      </c>
      <c r="G235" s="190">
        <v>7.78</v>
      </c>
      <c r="H235" s="190">
        <v>17.25</v>
      </c>
      <c r="I235" s="219">
        <v>0.22700000000000001</v>
      </c>
      <c r="J235" s="219">
        <v>0.10199999999999999</v>
      </c>
      <c r="K235" s="219">
        <v>5.5E-2</v>
      </c>
      <c r="L235" s="167">
        <v>11.487389471519601</v>
      </c>
      <c r="M235" s="220">
        <v>11.9593717869628</v>
      </c>
      <c r="N235" s="167">
        <v>19.329923804934001</v>
      </c>
      <c r="O235" s="193">
        <v>0.61869730618959495</v>
      </c>
      <c r="P235" s="167">
        <v>2.6475084961237698</v>
      </c>
      <c r="Q235" s="167">
        <v>3.3631937116220301</v>
      </c>
      <c r="R235" s="167">
        <v>1.07808955620736</v>
      </c>
      <c r="S235" s="167">
        <v>6.9091475625057104</v>
      </c>
      <c r="T235" s="167">
        <v>1.6184513373605101</v>
      </c>
      <c r="U235" s="167">
        <v>0.48330272789969198</v>
      </c>
      <c r="V235" s="167">
        <v>2.1726146457386402</v>
      </c>
      <c r="W235" s="167">
        <v>1.0576157674762601</v>
      </c>
      <c r="X235" s="167">
        <v>0.33292206456919599</v>
      </c>
      <c r="Y235" s="189">
        <v>12.292293851531999</v>
      </c>
      <c r="Z235" s="207">
        <v>1712</v>
      </c>
      <c r="AA235" s="207">
        <v>1103</v>
      </c>
      <c r="AB235" s="167">
        <v>12191.88</v>
      </c>
      <c r="AC235" s="221"/>
      <c r="AD235" s="195">
        <v>8.8011515525395906E-3</v>
      </c>
      <c r="AE235" s="219">
        <v>5.6703680855439004E-3</v>
      </c>
      <c r="AF235" s="167">
        <v>7.1214252336448602</v>
      </c>
      <c r="AG235" s="222">
        <v>6.2676742751388001E-2</v>
      </c>
      <c r="AH235" s="223">
        <v>0.25764968076135403</v>
      </c>
      <c r="AI235" s="223">
        <v>0.18558005059631399</v>
      </c>
      <c r="AJ235" s="167">
        <v>0.29456611145383499</v>
      </c>
      <c r="AK235" s="224">
        <v>0.25300226197820302</v>
      </c>
      <c r="AL235" s="224">
        <v>3.8165741311947401E-2</v>
      </c>
      <c r="AM235" s="82">
        <v>0.30125951059017098</v>
      </c>
    </row>
    <row r="236" spans="1:40" ht="16.05" hidden="1" customHeight="1" outlineLevel="1">
      <c r="A236" s="186">
        <v>43577</v>
      </c>
      <c r="B236" s="185" t="s">
        <v>51</v>
      </c>
      <c r="C236" s="188">
        <v>67197</v>
      </c>
      <c r="D236" s="188">
        <v>199014</v>
      </c>
      <c r="E236" s="189">
        <v>2.9616500736639999</v>
      </c>
      <c r="F236" s="167">
        <v>0.41775268322831599</v>
      </c>
      <c r="G236" s="190">
        <v>7.6</v>
      </c>
      <c r="H236" s="190">
        <v>16.670000000000002</v>
      </c>
      <c r="I236" s="219">
        <v>0.22700000000000001</v>
      </c>
      <c r="J236" s="219">
        <v>0.104</v>
      </c>
      <c r="K236" s="219">
        <v>5.5E-2</v>
      </c>
      <c r="L236" s="167">
        <v>11.118896158059201</v>
      </c>
      <c r="M236" s="220">
        <v>11.6246344478278</v>
      </c>
      <c r="N236" s="167">
        <v>18.7399454034394</v>
      </c>
      <c r="O236" s="193">
        <v>0.62031314379892899</v>
      </c>
      <c r="P236" s="167">
        <v>2.6059165174846699</v>
      </c>
      <c r="Q236" s="167">
        <v>3.3328122088926002</v>
      </c>
      <c r="R236" s="167">
        <v>1.0339081902941201</v>
      </c>
      <c r="S236" s="167">
        <v>6.5221018865784801</v>
      </c>
      <c r="T236" s="167">
        <v>1.58814428396692</v>
      </c>
      <c r="U236" s="167">
        <v>0.48524515799791001</v>
      </c>
      <c r="V236" s="167">
        <v>2.1263335250423201</v>
      </c>
      <c r="W236" s="167">
        <v>1.0454836331824</v>
      </c>
      <c r="X236" s="167">
        <v>0.30433537339081701</v>
      </c>
      <c r="Y236" s="189">
        <v>11.928969821218599</v>
      </c>
      <c r="Z236" s="207">
        <v>1587</v>
      </c>
      <c r="AA236" s="207">
        <v>1037</v>
      </c>
      <c r="AB236" s="167">
        <v>10873.13</v>
      </c>
      <c r="AC236" s="221"/>
      <c r="AD236" s="195">
        <v>7.9743133648889006E-3</v>
      </c>
      <c r="AE236" s="219">
        <v>5.2106886952676696E-3</v>
      </c>
      <c r="AF236" s="167">
        <v>6.8513736609955904</v>
      </c>
      <c r="AG236" s="222">
        <v>5.4635000552724897E-2</v>
      </c>
      <c r="AH236" s="223">
        <v>0.41534592318109398</v>
      </c>
      <c r="AI236" s="223">
        <v>0.26386594639641697</v>
      </c>
      <c r="AJ236" s="167">
        <v>0.42497512737797299</v>
      </c>
      <c r="AK236" s="224">
        <v>0.25261036911975998</v>
      </c>
      <c r="AL236" s="224">
        <v>3.8831438994241602E-2</v>
      </c>
      <c r="AM236" s="82">
        <v>0.29389892168390203</v>
      </c>
    </row>
    <row r="237" spans="1:40" ht="16.05" hidden="1" customHeight="1" outlineLevel="1">
      <c r="A237" s="186">
        <v>43578</v>
      </c>
      <c r="B237" s="185" t="s">
        <v>51</v>
      </c>
      <c r="C237" s="188">
        <v>64465</v>
      </c>
      <c r="D237" s="188">
        <v>196639</v>
      </c>
      <c r="E237" s="189">
        <v>3.0503218800899701</v>
      </c>
      <c r="F237" s="167">
        <v>0.39028610418075799</v>
      </c>
      <c r="G237" s="190">
        <v>7.95</v>
      </c>
      <c r="H237" s="190">
        <v>17.78</v>
      </c>
      <c r="I237" s="219">
        <v>0.22700000000000001</v>
      </c>
      <c r="J237" s="219">
        <v>0.10199999999999999</v>
      </c>
      <c r="K237" s="219">
        <v>5.0999999999999997E-2</v>
      </c>
      <c r="L237" s="167">
        <v>10.5599092753726</v>
      </c>
      <c r="M237" s="220">
        <v>10.825034708272501</v>
      </c>
      <c r="N237" s="167">
        <v>17.4130543262191</v>
      </c>
      <c r="O237" s="193">
        <v>0.62166203042122903</v>
      </c>
      <c r="P237" s="167">
        <v>2.4612043225378999</v>
      </c>
      <c r="Q237" s="167">
        <v>3.0761106975450501</v>
      </c>
      <c r="R237" s="167">
        <v>0.98222393102263506</v>
      </c>
      <c r="S237" s="167">
        <v>5.9063750071578696</v>
      </c>
      <c r="T237" s="167">
        <v>1.4936560784666599</v>
      </c>
      <c r="U237" s="167">
        <v>0.50271999214678997</v>
      </c>
      <c r="V237" s="167">
        <v>1.9874185024909401</v>
      </c>
      <c r="W237" s="167">
        <v>1.0033457948512401</v>
      </c>
      <c r="X237" s="167">
        <v>0.27681182268013999</v>
      </c>
      <c r="Y237" s="189">
        <v>11.101846530952701</v>
      </c>
      <c r="Z237" s="207">
        <v>1394</v>
      </c>
      <c r="AA237" s="207">
        <v>996</v>
      </c>
      <c r="AB237" s="167">
        <v>9048.06</v>
      </c>
      <c r="AC237" s="221"/>
      <c r="AD237" s="195">
        <v>7.0891328780150397E-3</v>
      </c>
      <c r="AE237" s="219">
        <v>5.0651193303464697E-3</v>
      </c>
      <c r="AF237" s="167">
        <v>6.4907173601147798</v>
      </c>
      <c r="AG237" s="222">
        <v>4.6013557839492701E-2</v>
      </c>
      <c r="AH237" s="223">
        <v>0.41053284728147099</v>
      </c>
      <c r="AI237" s="223">
        <v>0.26389513689598998</v>
      </c>
      <c r="AJ237" s="167">
        <v>0.45728975432137098</v>
      </c>
      <c r="AK237" s="224">
        <v>0.26778004363325703</v>
      </c>
      <c r="AL237" s="224">
        <v>4.3399325667848203E-2</v>
      </c>
      <c r="AM237" s="82">
        <v>0.249431699713689</v>
      </c>
    </row>
    <row r="238" spans="1:40" s="166" customFormat="1" ht="16.05" hidden="1" customHeight="1" outlineLevel="1">
      <c r="A238" s="196">
        <v>43579</v>
      </c>
      <c r="B238" s="197" t="s">
        <v>51</v>
      </c>
      <c r="C238" s="198">
        <v>48917</v>
      </c>
      <c r="D238" s="198">
        <v>177904</v>
      </c>
      <c r="E238" s="200">
        <v>3.6368542633440302</v>
      </c>
      <c r="F238" s="166">
        <v>0.37114283773833101</v>
      </c>
      <c r="G238" s="217">
        <v>8.65</v>
      </c>
      <c r="H238" s="217">
        <v>18.440000000000001</v>
      </c>
      <c r="I238" s="203">
        <v>0.23</v>
      </c>
      <c r="J238" s="203">
        <v>0.109</v>
      </c>
      <c r="K238" s="203">
        <v>5.2999999999999999E-2</v>
      </c>
      <c r="L238" s="166">
        <v>9.9581684504002208</v>
      </c>
      <c r="M238" s="204">
        <v>9.9595793236801899</v>
      </c>
      <c r="N238" s="166">
        <v>15.6398036913788</v>
      </c>
      <c r="O238" s="205">
        <v>0.63680974008454005</v>
      </c>
      <c r="P238" s="166">
        <v>2.2757853668870398</v>
      </c>
      <c r="Q238" s="166">
        <v>2.6597170119426998</v>
      </c>
      <c r="R238" s="166">
        <v>0.87959325983529202</v>
      </c>
      <c r="S238" s="166">
        <v>5.2165750147849304</v>
      </c>
      <c r="T238" s="166">
        <v>1.36422134150109</v>
      </c>
      <c r="U238" s="166">
        <v>0.52726165361767496</v>
      </c>
      <c r="V238" s="166">
        <v>1.7895066686674099</v>
      </c>
      <c r="W238" s="166">
        <v>0.92714337414269499</v>
      </c>
      <c r="X238" s="166">
        <v>0.21902823994963599</v>
      </c>
      <c r="Y238" s="200">
        <v>10.1786075636298</v>
      </c>
      <c r="Z238" s="206">
        <v>1153</v>
      </c>
      <c r="AA238" s="206">
        <v>827</v>
      </c>
      <c r="AB238" s="166">
        <v>6688.47</v>
      </c>
      <c r="AC238" s="209"/>
      <c r="AD238" s="210">
        <v>6.48102347333393E-3</v>
      </c>
      <c r="AE238" s="203">
        <v>4.6485745120964104E-3</v>
      </c>
      <c r="AF238" s="166">
        <v>5.80092801387684</v>
      </c>
      <c r="AG238" s="211">
        <v>3.7595950625056197E-2</v>
      </c>
      <c r="AH238" s="212">
        <v>0.43066827483288</v>
      </c>
      <c r="AI238" s="212">
        <v>0.30349367295623197</v>
      </c>
      <c r="AJ238" s="166">
        <v>0.53522686392661201</v>
      </c>
      <c r="AK238" s="213">
        <v>0.30711507329795801</v>
      </c>
      <c r="AL238" s="213">
        <v>4.8627349581796903E-2</v>
      </c>
      <c r="AM238" s="214">
        <v>0</v>
      </c>
      <c r="AN238" s="210"/>
    </row>
    <row r="239" spans="1:40" s="167" customFormat="1" ht="16.05" hidden="1" customHeight="1" outlineLevel="1">
      <c r="A239" s="186">
        <v>43580</v>
      </c>
      <c r="B239" s="187" t="s">
        <v>51</v>
      </c>
      <c r="C239" s="188">
        <v>43330</v>
      </c>
      <c r="D239" s="188">
        <v>168144</v>
      </c>
      <c r="E239" s="189">
        <v>3.8805446572813298</v>
      </c>
      <c r="F239" s="167">
        <v>0.38523828067013999</v>
      </c>
      <c r="G239" s="190">
        <v>9.15</v>
      </c>
      <c r="H239" s="190">
        <v>20.36</v>
      </c>
      <c r="I239" s="219">
        <v>0.24</v>
      </c>
      <c r="J239" s="219">
        <v>0.111</v>
      </c>
      <c r="K239" s="219">
        <v>5.7000000000000002E-2</v>
      </c>
      <c r="L239" s="167">
        <v>9.9539739746883598</v>
      </c>
      <c r="M239" s="220">
        <v>9.9517496907412699</v>
      </c>
      <c r="N239" s="167">
        <v>15.477431229998</v>
      </c>
      <c r="O239" s="193">
        <v>0.64298458464173602</v>
      </c>
      <c r="P239" s="167">
        <v>2.31621251641785</v>
      </c>
      <c r="Q239" s="167">
        <v>2.6470947333370298</v>
      </c>
      <c r="R239" s="167">
        <v>0.8631259596352</v>
      </c>
      <c r="S239" s="167">
        <v>5.0552934865049801</v>
      </c>
      <c r="T239" s="167">
        <v>1.3852045063544001</v>
      </c>
      <c r="U239" s="167">
        <v>0.52241152857169304</v>
      </c>
      <c r="V239" s="167">
        <v>1.7640083615443001</v>
      </c>
      <c r="W239" s="167">
        <v>0.92408013763249897</v>
      </c>
      <c r="X239" s="167">
        <v>0.21884813017413601</v>
      </c>
      <c r="Y239" s="189">
        <v>10.1705978209154</v>
      </c>
      <c r="Z239" s="207">
        <v>1143</v>
      </c>
      <c r="AA239" s="207">
        <v>818</v>
      </c>
      <c r="AB239" s="167">
        <v>6168.57</v>
      </c>
      <c r="AC239" s="221"/>
      <c r="AD239" s="195">
        <v>6.79774479017985E-3</v>
      </c>
      <c r="AE239" s="219">
        <v>4.8648777238557402E-3</v>
      </c>
      <c r="AF239" s="167">
        <v>5.39682414698163</v>
      </c>
      <c r="AG239" s="222">
        <v>3.6686233228661103E-2</v>
      </c>
      <c r="AH239" s="223">
        <v>0.42852527117470601</v>
      </c>
      <c r="AI239" s="223">
        <v>0.302307869836141</v>
      </c>
      <c r="AJ239" s="167">
        <v>0.53434556094775898</v>
      </c>
      <c r="AK239" s="224">
        <v>0.32127819012275199</v>
      </c>
      <c r="AL239" s="224">
        <v>5.10217432676753E-2</v>
      </c>
      <c r="AM239" s="82">
        <v>0</v>
      </c>
      <c r="AN239" s="195"/>
    </row>
    <row r="240" spans="1:40" s="167" customFormat="1" ht="16.05" hidden="1" customHeight="1" outlineLevel="1">
      <c r="A240" s="186">
        <v>43581</v>
      </c>
      <c r="B240" s="187" t="s">
        <v>51</v>
      </c>
      <c r="C240" s="188">
        <v>45558</v>
      </c>
      <c r="D240" s="188">
        <v>166088</v>
      </c>
      <c r="E240" s="189">
        <v>3.6456385267132001</v>
      </c>
      <c r="F240" s="167">
        <v>0.37292560476373998</v>
      </c>
      <c r="G240" s="190">
        <v>9.08</v>
      </c>
      <c r="H240" s="190">
        <v>20.32</v>
      </c>
      <c r="I240" s="219">
        <v>0.23699999999999999</v>
      </c>
      <c r="J240" s="219">
        <v>0.105</v>
      </c>
      <c r="K240" s="219">
        <v>5.1999999999999998E-2</v>
      </c>
      <c r="L240" s="167">
        <v>9.7372176195751692</v>
      </c>
      <c r="M240" s="220">
        <v>9.5363361591445504</v>
      </c>
      <c r="N240" s="167">
        <v>15.090090605081899</v>
      </c>
      <c r="O240" s="193">
        <v>0.63196016569529401</v>
      </c>
      <c r="P240" s="167">
        <v>2.3857909128152399</v>
      </c>
      <c r="Q240" s="167">
        <v>2.7266127418755501</v>
      </c>
      <c r="R240" s="167">
        <v>0.88905402959194402</v>
      </c>
      <c r="S240" s="167">
        <v>5.2071531330684699</v>
      </c>
      <c r="T240" s="167">
        <v>1.42681567439335</v>
      </c>
      <c r="U240" s="167">
        <v>0.53810462933851599</v>
      </c>
      <c r="V240" s="167">
        <v>1.8169986947532899</v>
      </c>
      <c r="W240" s="167">
        <v>0.95183925458027296</v>
      </c>
      <c r="X240" s="167">
        <v>0.19422836086893699</v>
      </c>
      <c r="Y240" s="189">
        <v>9.7305645200134894</v>
      </c>
      <c r="Z240" s="207">
        <v>1088</v>
      </c>
      <c r="AA240" s="207">
        <v>768</v>
      </c>
      <c r="AB240" s="167">
        <v>6268.12</v>
      </c>
      <c r="AC240" s="221"/>
      <c r="AD240" s="195">
        <v>6.5507441838061698E-3</v>
      </c>
      <c r="AE240" s="219">
        <v>4.62405471798083E-3</v>
      </c>
      <c r="AF240" s="167">
        <v>5.7611397058823499</v>
      </c>
      <c r="AG240" s="222">
        <v>3.7739752420403602E-2</v>
      </c>
      <c r="AH240" s="223">
        <v>0.42288950349005699</v>
      </c>
      <c r="AI240" s="223">
        <v>0.28570174283331101</v>
      </c>
      <c r="AJ240" s="167">
        <v>0.51392033139058801</v>
      </c>
      <c r="AK240" s="224">
        <v>0.31353860604017098</v>
      </c>
      <c r="AL240" s="224">
        <v>4.94436684167429E-2</v>
      </c>
      <c r="AM240" s="82">
        <v>0</v>
      </c>
      <c r="AN240" s="195"/>
    </row>
    <row r="241" spans="1:40" ht="16.05" hidden="1" customHeight="1" outlineLevel="1">
      <c r="A241" s="186">
        <v>43582</v>
      </c>
      <c r="B241" s="185" t="s">
        <v>51</v>
      </c>
      <c r="C241" s="188">
        <v>45936</v>
      </c>
      <c r="D241" s="188">
        <v>164569</v>
      </c>
      <c r="E241" s="189">
        <v>3.5825714036920902</v>
      </c>
      <c r="F241" s="167">
        <v>0.539060263950076</v>
      </c>
      <c r="G241" s="190">
        <v>8.3699999999999992</v>
      </c>
      <c r="H241" s="190">
        <v>18.87</v>
      </c>
      <c r="I241" s="219">
        <v>0.23499999999999999</v>
      </c>
      <c r="J241" s="219">
        <v>0.107</v>
      </c>
      <c r="K241" s="219">
        <v>5.6000000000000001E-2</v>
      </c>
      <c r="L241" s="167">
        <v>12.2607599244086</v>
      </c>
      <c r="M241" s="220">
        <v>12.825732671402299</v>
      </c>
      <c r="N241" s="167">
        <v>20.0400474721101</v>
      </c>
      <c r="O241" s="193">
        <v>0.64000510424198997</v>
      </c>
      <c r="P241" s="167">
        <v>2.7592784239259398</v>
      </c>
      <c r="Q241" s="167">
        <v>3.3693520056966499</v>
      </c>
      <c r="R241" s="167">
        <v>1.1901732732019901</v>
      </c>
      <c r="S241" s="167">
        <v>7.2009779254687896</v>
      </c>
      <c r="T241" s="167">
        <v>1.7046570140042701</v>
      </c>
      <c r="U241" s="167">
        <v>0.47339188226916701</v>
      </c>
      <c r="V241" s="167">
        <v>2.2948018039401901</v>
      </c>
      <c r="W241" s="167">
        <v>1.04741514360313</v>
      </c>
      <c r="X241" s="167">
        <v>0.26010974120277802</v>
      </c>
      <c r="Y241" s="189">
        <v>13.085842412605</v>
      </c>
      <c r="Z241" s="207">
        <v>1843</v>
      </c>
      <c r="AA241" s="207">
        <v>1094</v>
      </c>
      <c r="AB241" s="167">
        <v>13165.57</v>
      </c>
      <c r="AC241" s="221"/>
      <c r="AD241" s="195">
        <v>1.1198949984505E-2</v>
      </c>
      <c r="AE241" s="219">
        <v>6.64766754370507E-3</v>
      </c>
      <c r="AF241" s="167">
        <v>7.1435539880629397</v>
      </c>
      <c r="AG241" s="222">
        <v>8.0000303823927907E-2</v>
      </c>
      <c r="AH241" s="223">
        <v>0.43432166492511298</v>
      </c>
      <c r="AI241" s="223">
        <v>0.29390891675374398</v>
      </c>
      <c r="AJ241" s="167">
        <v>0.42774155521392199</v>
      </c>
      <c r="AK241" s="224">
        <v>0.28146856333817399</v>
      </c>
      <c r="AL241" s="224">
        <v>4.4516281924299198E-2</v>
      </c>
      <c r="AM241" s="82">
        <v>0.31076934295037301</v>
      </c>
    </row>
    <row r="242" spans="1:40" ht="16.05" hidden="1" customHeight="1" outlineLevel="1">
      <c r="A242" s="186">
        <v>43583</v>
      </c>
      <c r="B242" s="185" t="s">
        <v>51</v>
      </c>
      <c r="C242" s="188">
        <v>66284</v>
      </c>
      <c r="D242" s="188">
        <v>186228</v>
      </c>
      <c r="E242" s="189">
        <v>2.8095467986240998</v>
      </c>
      <c r="F242" s="167">
        <v>0.46836030221019398</v>
      </c>
      <c r="G242" s="190">
        <v>8.19</v>
      </c>
      <c r="H242" s="190">
        <v>17.72</v>
      </c>
      <c r="I242" s="219">
        <v>0.22700000000000001</v>
      </c>
      <c r="J242" s="219">
        <v>0.108</v>
      </c>
      <c r="K242" s="219">
        <v>0.06</v>
      </c>
      <c r="L242" s="167">
        <v>11.507990205554499</v>
      </c>
      <c r="M242" s="220">
        <v>11.956741198960399</v>
      </c>
      <c r="N242" s="167">
        <v>19.589502670080101</v>
      </c>
      <c r="O242" s="193">
        <v>0.61036471422127703</v>
      </c>
      <c r="P242" s="167">
        <v>2.6891358089858999</v>
      </c>
      <c r="Q242" s="167">
        <v>3.4613652159377799</v>
      </c>
      <c r="R242" s="167">
        <v>1.16723411368295</v>
      </c>
      <c r="S242" s="167">
        <v>6.8952906296462499</v>
      </c>
      <c r="T242" s="167">
        <v>1.65290717622529</v>
      </c>
      <c r="U242" s="167">
        <v>0.49418036897252499</v>
      </c>
      <c r="V242" s="167">
        <v>2.18211970052874</v>
      </c>
      <c r="W242" s="167">
        <v>1.04726965610072</v>
      </c>
      <c r="X242" s="167">
        <v>0.14235775500998801</v>
      </c>
      <c r="Y242" s="189">
        <v>12.099098953970399</v>
      </c>
      <c r="Z242" s="207">
        <v>1580</v>
      </c>
      <c r="AA242" s="207">
        <v>1022</v>
      </c>
      <c r="AB242" s="167">
        <v>11706.2</v>
      </c>
      <c r="AC242" s="221"/>
      <c r="AD242" s="195">
        <v>8.4842236398393403E-3</v>
      </c>
      <c r="AE242" s="219">
        <v>5.4878965569087404E-3</v>
      </c>
      <c r="AF242" s="167">
        <v>7.4089873417721499</v>
      </c>
      <c r="AG242" s="222">
        <v>6.2859505552333703E-2</v>
      </c>
      <c r="AH242" s="223">
        <v>0.40862048156417802</v>
      </c>
      <c r="AI242" s="223">
        <v>0.252142296783538</v>
      </c>
      <c r="AJ242" s="167">
        <v>0.403892003350731</v>
      </c>
      <c r="AK242" s="224">
        <v>0.246713705780012</v>
      </c>
      <c r="AL242" s="224">
        <v>3.8485082801726897E-2</v>
      </c>
      <c r="AM242" s="82">
        <v>0.300803316364886</v>
      </c>
    </row>
    <row r="243" spans="1:40" ht="16.05" hidden="1" customHeight="1" outlineLevel="1">
      <c r="A243" s="186">
        <v>43584</v>
      </c>
      <c r="B243" s="185" t="s">
        <v>51</v>
      </c>
      <c r="C243" s="188">
        <v>56359</v>
      </c>
      <c r="D243" s="188">
        <v>181506</v>
      </c>
      <c r="E243" s="189">
        <v>3.2205326567185399</v>
      </c>
      <c r="F243" s="167">
        <v>0.46672449472744698</v>
      </c>
      <c r="G243" s="190">
        <v>8.59</v>
      </c>
      <c r="H243" s="190">
        <v>20.440000000000001</v>
      </c>
      <c r="I243" s="219">
        <v>0.23699999999999999</v>
      </c>
      <c r="J243" s="219">
        <v>0.115</v>
      </c>
      <c r="K243" s="219">
        <v>6.2E-2</v>
      </c>
      <c r="L243" s="167">
        <v>11.294139036726101</v>
      </c>
      <c r="M243" s="220">
        <v>11.8404901215387</v>
      </c>
      <c r="N243" s="167">
        <v>18.835242460627001</v>
      </c>
      <c r="O243" s="193">
        <v>0.62863486606503405</v>
      </c>
      <c r="P243" s="167">
        <v>2.6267342091655599</v>
      </c>
      <c r="Q243" s="167">
        <v>3.4685848502642398</v>
      </c>
      <c r="R243" s="167">
        <v>1.0913050718223301</v>
      </c>
      <c r="S243" s="167">
        <v>6.4285676725006802</v>
      </c>
      <c r="T243" s="167">
        <v>1.6184871298235799</v>
      </c>
      <c r="U243" s="167">
        <v>0.47932095248946099</v>
      </c>
      <c r="V243" s="167">
        <v>2.1034171479653998</v>
      </c>
      <c r="W243" s="167">
        <v>1.0188254265957399</v>
      </c>
      <c r="X243" s="167">
        <v>1.9492468568532199E-2</v>
      </c>
      <c r="Y243" s="189">
        <v>11.859982590107199</v>
      </c>
      <c r="Z243" s="207">
        <v>1535</v>
      </c>
      <c r="AA243" s="207">
        <v>1032</v>
      </c>
      <c r="AB243" s="167">
        <v>10299.65</v>
      </c>
      <c r="AC243" s="221"/>
      <c r="AD243" s="195">
        <v>8.4570207045497094E-3</v>
      </c>
      <c r="AE243" s="219">
        <v>5.6857624541337502E-3</v>
      </c>
      <c r="AF243" s="167">
        <v>6.7098697068403901</v>
      </c>
      <c r="AG243" s="222">
        <v>5.6745507035580102E-2</v>
      </c>
      <c r="AH243" s="223">
        <v>0.41439699072020397</v>
      </c>
      <c r="AI243" s="223">
        <v>0.27967139232420701</v>
      </c>
      <c r="AJ243" s="167">
        <v>0.41199739953500197</v>
      </c>
      <c r="AK243" s="224">
        <v>0.25782067810430498</v>
      </c>
      <c r="AL243" s="224">
        <v>3.9888488534814297E-2</v>
      </c>
      <c r="AM243" s="82">
        <v>0.30774189282998898</v>
      </c>
    </row>
    <row r="244" spans="1:40" ht="16.05" hidden="1" customHeight="1" outlineLevel="1">
      <c r="A244" s="186">
        <v>43585</v>
      </c>
      <c r="B244" s="185" t="s">
        <v>51</v>
      </c>
      <c r="C244" s="188">
        <v>50946</v>
      </c>
      <c r="D244" s="188">
        <v>174558</v>
      </c>
      <c r="E244" s="189">
        <v>3.4263337651631098</v>
      </c>
      <c r="F244" s="167">
        <v>0.42901087522771802</v>
      </c>
      <c r="G244" s="190">
        <v>8.57</v>
      </c>
      <c r="H244" s="190">
        <v>19.8</v>
      </c>
      <c r="I244" s="219">
        <v>0.22800000000000001</v>
      </c>
      <c r="J244" s="219">
        <v>0.11</v>
      </c>
      <c r="K244" s="219">
        <v>5.8000000000000003E-2</v>
      </c>
      <c r="L244" s="167">
        <v>10.577727746651499</v>
      </c>
      <c r="M244" s="220">
        <v>11.2278898704156</v>
      </c>
      <c r="N244" s="167">
        <v>17.689908207197199</v>
      </c>
      <c r="O244" s="193">
        <v>0.634705943010346</v>
      </c>
      <c r="P244" s="167">
        <v>2.5048333378462502</v>
      </c>
      <c r="Q244" s="167">
        <v>3.1940826586517201</v>
      </c>
      <c r="R244" s="167">
        <v>1.0247037267697401</v>
      </c>
      <c r="S244" s="167">
        <v>5.9488325074688797</v>
      </c>
      <c r="T244" s="167">
        <v>1.53232604947966</v>
      </c>
      <c r="U244" s="167">
        <v>0.504472304206945</v>
      </c>
      <c r="V244" s="167">
        <v>1.9940429449514001</v>
      </c>
      <c r="W244" s="167">
        <v>0.98661467782260603</v>
      </c>
      <c r="X244" s="167">
        <v>1.05351802839171E-2</v>
      </c>
      <c r="Y244" s="189">
        <v>11.238425050699499</v>
      </c>
      <c r="Z244" s="207">
        <v>1426</v>
      </c>
      <c r="AA244" s="207">
        <v>980</v>
      </c>
      <c r="AB244" s="167">
        <v>8423.74</v>
      </c>
      <c r="AC244" s="221"/>
      <c r="AD244" s="195">
        <v>8.1692045050928593E-3</v>
      </c>
      <c r="AE244" s="219">
        <v>5.6141798141591901E-3</v>
      </c>
      <c r="AF244" s="167">
        <v>5.90725105189341</v>
      </c>
      <c r="AG244" s="222">
        <v>4.8257541905842201E-2</v>
      </c>
      <c r="AH244" s="223">
        <v>0.41010089113963799</v>
      </c>
      <c r="AI244" s="223">
        <v>0.28487025477957101</v>
      </c>
      <c r="AJ244" s="167">
        <v>0.45458815980934703</v>
      </c>
      <c r="AK244" s="224">
        <v>0.27845759002738302</v>
      </c>
      <c r="AL244" s="224">
        <v>4.5767022995222201E-2</v>
      </c>
      <c r="AM244" s="82">
        <v>0.26769325954696999</v>
      </c>
    </row>
    <row r="245" spans="1:40" s="166" customFormat="1" ht="16.05" customHeight="1">
      <c r="A245" s="196">
        <v>43586</v>
      </c>
      <c r="B245" s="197" t="s">
        <v>51</v>
      </c>
      <c r="C245" s="198">
        <v>57695</v>
      </c>
      <c r="D245" s="198">
        <v>175618</v>
      </c>
      <c r="E245" s="200">
        <v>3.04390328451339</v>
      </c>
      <c r="F245" s="166">
        <v>0.37993221773394498</v>
      </c>
      <c r="G245" s="217">
        <v>9.27</v>
      </c>
      <c r="H245" s="217">
        <v>20.57</v>
      </c>
      <c r="I245" s="203">
        <v>0.222</v>
      </c>
      <c r="J245" s="203">
        <v>0.104</v>
      </c>
      <c r="K245" s="203">
        <v>5.0999999999999997E-2</v>
      </c>
      <c r="L245" s="166">
        <v>9.4153674452504905</v>
      </c>
      <c r="M245" s="204">
        <v>9.7436139803436994</v>
      </c>
      <c r="N245" s="166">
        <v>15.792838024919201</v>
      </c>
      <c r="O245" s="205">
        <v>0.61696409251898998</v>
      </c>
      <c r="P245" s="166">
        <v>2.3460913705583799</v>
      </c>
      <c r="Q245" s="166">
        <v>2.69226580526073</v>
      </c>
      <c r="R245" s="166">
        <v>0.876852791878172</v>
      </c>
      <c r="S245" s="166">
        <v>5.2608491001384401</v>
      </c>
      <c r="T245" s="166">
        <v>1.3699953853253299</v>
      </c>
      <c r="U245" s="166">
        <v>0.54392247346562095</v>
      </c>
      <c r="V245" s="166">
        <v>1.78147669589294</v>
      </c>
      <c r="W245" s="166">
        <v>0.92138440239963104</v>
      </c>
      <c r="X245" s="166">
        <v>4.7944971472172601E-3</v>
      </c>
      <c r="Y245" s="200">
        <v>9.7484084774909192</v>
      </c>
      <c r="Z245" s="206">
        <v>1118</v>
      </c>
      <c r="AA245" s="206">
        <v>789</v>
      </c>
      <c r="AB245" s="166">
        <v>6223.82</v>
      </c>
      <c r="AC245" s="209"/>
      <c r="AD245" s="210">
        <v>6.3660900363288501E-3</v>
      </c>
      <c r="AE245" s="203">
        <v>4.4927057590907499E-3</v>
      </c>
      <c r="AF245" s="166">
        <v>5.5669230769230804</v>
      </c>
      <c r="AG245" s="211">
        <v>3.5439533533009097E-2</v>
      </c>
      <c r="AH245" s="212">
        <v>0.40284253401507902</v>
      </c>
      <c r="AI245" s="212">
        <v>0.25768264147673098</v>
      </c>
      <c r="AJ245" s="166">
        <v>0.50660524547597596</v>
      </c>
      <c r="AK245" s="213">
        <v>0.28542632304205701</v>
      </c>
      <c r="AL245" s="213">
        <v>4.5883679349497199E-2</v>
      </c>
      <c r="AM245" s="214">
        <v>0</v>
      </c>
      <c r="AN245" s="210"/>
    </row>
    <row r="246" spans="1:40" s="167" customFormat="1" ht="16.05" customHeight="1">
      <c r="A246" s="186">
        <v>43587</v>
      </c>
      <c r="B246" s="187" t="s">
        <v>51</v>
      </c>
      <c r="C246" s="188">
        <v>54532</v>
      </c>
      <c r="D246" s="188">
        <v>173013</v>
      </c>
      <c r="E246" s="189">
        <v>3.1726875962737502</v>
      </c>
      <c r="F246" s="167">
        <v>0.38333548376133603</v>
      </c>
      <c r="G246" s="190">
        <v>9.19</v>
      </c>
      <c r="H246" s="190">
        <v>20.04</v>
      </c>
      <c r="I246" s="219">
        <v>0.222</v>
      </c>
      <c r="J246" s="219">
        <v>0.104</v>
      </c>
      <c r="K246" s="219">
        <v>0.05</v>
      </c>
      <c r="L246" s="167">
        <v>9.7282689740077295</v>
      </c>
      <c r="M246" s="220">
        <v>9.7095362776207601</v>
      </c>
      <c r="N246" s="167">
        <v>15.540449781215001</v>
      </c>
      <c r="O246" s="193">
        <v>0.62479120066122196</v>
      </c>
      <c r="P246" s="167">
        <v>2.32098948166924</v>
      </c>
      <c r="Q246" s="167">
        <v>2.7141641303643902</v>
      </c>
      <c r="R246" s="167">
        <v>0.849348270534797</v>
      </c>
      <c r="S246" s="167">
        <v>5.0710658020111596</v>
      </c>
      <c r="T246" s="167">
        <v>1.3697512419401101</v>
      </c>
      <c r="U246" s="167">
        <v>0.534233142455387</v>
      </c>
      <c r="V246" s="167">
        <v>1.7617972746699699</v>
      </c>
      <c r="W246" s="167">
        <v>0.91910043756995996</v>
      </c>
      <c r="X246" s="167">
        <v>3.8436418072630399E-3</v>
      </c>
      <c r="Y246" s="189">
        <v>9.7133799194280197</v>
      </c>
      <c r="Z246" s="207">
        <v>1154</v>
      </c>
      <c r="AA246" s="207">
        <v>782</v>
      </c>
      <c r="AB246" s="167">
        <v>6656.46</v>
      </c>
      <c r="AC246" s="221"/>
      <c r="AD246" s="195">
        <v>6.6700190159120999E-3</v>
      </c>
      <c r="AE246" s="219">
        <v>4.5198915688416498E-3</v>
      </c>
      <c r="AF246" s="167">
        <v>5.7681629116117898</v>
      </c>
      <c r="AG246" s="222">
        <v>3.84737563073295E-2</v>
      </c>
      <c r="AH246" s="223">
        <v>0.41379373578816098</v>
      </c>
      <c r="AI246" s="223">
        <v>0.27677327074011598</v>
      </c>
      <c r="AJ246" s="167">
        <v>0.50323386103934398</v>
      </c>
      <c r="AK246" s="224">
        <v>0.29631299382127402</v>
      </c>
      <c r="AL246" s="224">
        <v>4.6453156699207597E-2</v>
      </c>
      <c r="AM246" s="82">
        <v>0</v>
      </c>
      <c r="AN246" s="195"/>
    </row>
    <row r="247" spans="1:40" ht="16.05" customHeight="1">
      <c r="A247" s="186">
        <v>43588</v>
      </c>
      <c r="B247" s="187" t="s">
        <v>51</v>
      </c>
      <c r="C247" s="188">
        <v>43738</v>
      </c>
      <c r="D247" s="188">
        <v>162519</v>
      </c>
      <c r="E247" s="189">
        <v>3.71573917417349</v>
      </c>
      <c r="F247" s="167">
        <v>0.37963839698742902</v>
      </c>
      <c r="G247" s="190">
        <v>8.1199999999999992</v>
      </c>
      <c r="H247" s="190">
        <v>18.309999999999999</v>
      </c>
      <c r="I247" s="219">
        <v>0.23200000000000001</v>
      </c>
      <c r="J247" s="219">
        <v>0.109</v>
      </c>
      <c r="K247" s="219">
        <v>5.3999999999999999E-2</v>
      </c>
      <c r="L247" s="167">
        <v>10.038260141891101</v>
      </c>
      <c r="M247" s="220">
        <v>10.1516315015475</v>
      </c>
      <c r="N247" s="167">
        <v>15.786062844458099</v>
      </c>
      <c r="O247" s="193">
        <v>0.64307557885539501</v>
      </c>
      <c r="P247" s="167">
        <v>2.7973725505205098</v>
      </c>
      <c r="Q247" s="167">
        <v>3.50584621861604</v>
      </c>
      <c r="R247" s="167">
        <v>1.1421941977954699</v>
      </c>
      <c r="S247" s="167">
        <v>7.7012974586650298</v>
      </c>
      <c r="T247" s="167">
        <v>1.7198790569504001</v>
      </c>
      <c r="U247" s="167">
        <v>0.46896050214329499</v>
      </c>
      <c r="V247" s="167">
        <v>2.36040837415799</v>
      </c>
      <c r="W247" s="167">
        <v>1.0599548377219801</v>
      </c>
      <c r="X247" s="167">
        <v>5.9193078963075104E-3</v>
      </c>
      <c r="Y247" s="189">
        <v>10.1575508094438</v>
      </c>
      <c r="Z247" s="207">
        <v>1109</v>
      </c>
      <c r="AA247" s="207">
        <v>790</v>
      </c>
      <c r="AB247" s="167">
        <v>6439.91</v>
      </c>
      <c r="AC247" s="221"/>
      <c r="AD247" s="195">
        <v>6.8238175228742502E-3</v>
      </c>
      <c r="AE247" s="219">
        <v>4.8609701019573098E-3</v>
      </c>
      <c r="AF247" s="167">
        <v>5.8069522091974699</v>
      </c>
      <c r="AG247" s="222">
        <v>3.9625582239615001E-2</v>
      </c>
      <c r="AH247" s="223">
        <v>0.43312451415245301</v>
      </c>
      <c r="AI247" s="223">
        <v>0.30543234715807799</v>
      </c>
      <c r="AJ247" s="167">
        <v>0.53122404149668701</v>
      </c>
      <c r="AK247" s="224">
        <v>0.31635685673675101</v>
      </c>
      <c r="AL247" s="224">
        <v>4.84066478380989E-2</v>
      </c>
      <c r="AM247" s="82">
        <v>0</v>
      </c>
    </row>
    <row r="248" spans="1:40" ht="16.05" customHeight="1">
      <c r="A248" s="186">
        <v>43589</v>
      </c>
      <c r="B248" s="185" t="s">
        <v>51</v>
      </c>
      <c r="C248" s="188">
        <v>39995</v>
      </c>
      <c r="D248" s="188">
        <v>155700</v>
      </c>
      <c r="E248" s="189">
        <v>3.89298662332792</v>
      </c>
      <c r="F248" s="167">
        <v>0.51272957364161797</v>
      </c>
      <c r="G248" s="190">
        <v>7.11</v>
      </c>
      <c r="H248" s="190">
        <v>16.55</v>
      </c>
      <c r="I248" s="219">
        <v>0.22900000000000001</v>
      </c>
      <c r="J248" s="219">
        <v>0.104</v>
      </c>
      <c r="K248" s="219">
        <v>5.3999999999999999E-2</v>
      </c>
      <c r="L248" s="167">
        <v>12.928002569043</v>
      </c>
      <c r="M248" s="220">
        <v>13.932190109184299</v>
      </c>
      <c r="N248" s="167">
        <v>21.049157739481402</v>
      </c>
      <c r="O248" s="193">
        <v>0.66188824662813095</v>
      </c>
      <c r="P248" s="167">
        <v>2.8368945039590101</v>
      </c>
      <c r="Q248" s="167">
        <v>3.5553776587486401</v>
      </c>
      <c r="R248" s="167">
        <v>1.15833139264089</v>
      </c>
      <c r="S248" s="167">
        <v>7.8101032448377596</v>
      </c>
      <c r="T248" s="167">
        <v>1.74417792268281</v>
      </c>
      <c r="U248" s="167">
        <v>0.475586089116597</v>
      </c>
      <c r="V248" s="167">
        <v>2.3937567924235399</v>
      </c>
      <c r="W248" s="167">
        <v>1.07493013507219</v>
      </c>
      <c r="X248" s="167">
        <v>5.26653821451509E-3</v>
      </c>
      <c r="Y248" s="189">
        <v>13.9374566473988</v>
      </c>
      <c r="Z248" s="207">
        <v>1705</v>
      </c>
      <c r="AA248" s="207">
        <v>1095</v>
      </c>
      <c r="AB248" s="167">
        <v>12680.95</v>
      </c>
      <c r="AC248" s="221"/>
      <c r="AD248" s="195">
        <v>1.0950545921644199E-2</v>
      </c>
      <c r="AE248" s="219">
        <v>7.0327552986512503E-3</v>
      </c>
      <c r="AF248" s="167">
        <v>7.4375073313783</v>
      </c>
      <c r="AG248" s="222">
        <v>8.14447655748234E-2</v>
      </c>
      <c r="AH248" s="223">
        <v>0.43527940992624098</v>
      </c>
      <c r="AI248" s="223">
        <v>0.30953869233654202</v>
      </c>
      <c r="AJ248" s="167">
        <v>0.43589595375722501</v>
      </c>
      <c r="AK248" s="224">
        <v>0.29312780989081599</v>
      </c>
      <c r="AL248" s="224">
        <v>4.5793192035966601E-2</v>
      </c>
      <c r="AM248" s="82">
        <v>0.32880539499036598</v>
      </c>
    </row>
    <row r="249" spans="1:40" ht="16.05" customHeight="1">
      <c r="A249" s="186">
        <v>43590</v>
      </c>
      <c r="B249" s="185" t="s">
        <v>51</v>
      </c>
      <c r="C249" s="188">
        <v>43777</v>
      </c>
      <c r="D249" s="188">
        <v>159700</v>
      </c>
      <c r="E249" s="189">
        <v>3.6480343559403301</v>
      </c>
      <c r="F249" s="167">
        <v>0.485797271609267</v>
      </c>
      <c r="G249" s="190">
        <v>7.32</v>
      </c>
      <c r="H249" s="190">
        <v>16.63</v>
      </c>
      <c r="I249" s="219">
        <v>0.219</v>
      </c>
      <c r="J249" s="219">
        <v>9.5000000000000001E-2</v>
      </c>
      <c r="K249" s="219">
        <v>5.0999999999999997E-2</v>
      </c>
      <c r="L249" s="167">
        <v>12.4238321853475</v>
      </c>
      <c r="M249" s="220">
        <v>13.448472135253599</v>
      </c>
      <c r="N249" s="167">
        <v>20.4806228901646</v>
      </c>
      <c r="O249" s="193">
        <v>0.65664370695053198</v>
      </c>
      <c r="P249" s="167">
        <v>2.80004005111285</v>
      </c>
      <c r="Q249" s="167">
        <v>3.6445082295500901</v>
      </c>
      <c r="R249" s="167">
        <v>1.15298571510308</v>
      </c>
      <c r="S249" s="167">
        <v>7.2562508343981804</v>
      </c>
      <c r="T249" s="167">
        <v>1.7431197909713301</v>
      </c>
      <c r="U249" s="167">
        <v>0.48486640093071198</v>
      </c>
      <c r="V249" s="167">
        <v>2.30749718688612</v>
      </c>
      <c r="W249" s="167">
        <v>1.0913546812122099</v>
      </c>
      <c r="X249" s="167">
        <v>6.4746399499060704E-3</v>
      </c>
      <c r="Y249" s="189">
        <v>13.454946775203499</v>
      </c>
      <c r="Z249" s="207">
        <v>1482</v>
      </c>
      <c r="AA249" s="207">
        <v>984</v>
      </c>
      <c r="AB249" s="167">
        <v>11126.18</v>
      </c>
      <c r="AC249" s="221"/>
      <c r="AD249" s="195">
        <v>9.2798998121477808E-3</v>
      </c>
      <c r="AE249" s="219">
        <v>6.1615529117094604E-3</v>
      </c>
      <c r="AF249" s="167">
        <v>7.50754385964912</v>
      </c>
      <c r="AG249" s="222">
        <v>6.9669254852849097E-2</v>
      </c>
      <c r="AH249" s="223">
        <v>0.42976905681065403</v>
      </c>
      <c r="AI249" s="223">
        <v>0.29006099093131099</v>
      </c>
      <c r="AJ249" s="167">
        <v>0.43299937382592402</v>
      </c>
      <c r="AK249" s="224">
        <v>0.28193487789605498</v>
      </c>
      <c r="AL249" s="224">
        <v>4.4439574201628099E-2</v>
      </c>
      <c r="AM249" s="82">
        <v>0.33551033187225998</v>
      </c>
    </row>
    <row r="250" spans="1:40" ht="16.05" customHeight="1">
      <c r="A250" s="186">
        <v>43591</v>
      </c>
      <c r="B250" s="185" t="s">
        <v>51</v>
      </c>
      <c r="C250" s="188">
        <v>35247</v>
      </c>
      <c r="D250" s="188">
        <v>151406</v>
      </c>
      <c r="E250" s="189">
        <v>4.2955712542911497</v>
      </c>
      <c r="F250" s="167">
        <v>0.44201599850732498</v>
      </c>
      <c r="G250" s="190">
        <v>7.3</v>
      </c>
      <c r="H250" s="190">
        <v>16.48</v>
      </c>
      <c r="I250" s="219">
        <v>0.22500000000000001</v>
      </c>
      <c r="J250" s="219">
        <v>0.10299999999999999</v>
      </c>
      <c r="K250" s="219">
        <v>5.3999999999999999E-2</v>
      </c>
      <c r="L250" s="167">
        <v>12.088642458026801</v>
      </c>
      <c r="M250" s="220">
        <v>12.911331122941</v>
      </c>
      <c r="N250" s="167">
        <v>19.192320530945601</v>
      </c>
      <c r="O250" s="193">
        <v>0.67273423774487096</v>
      </c>
      <c r="P250" s="167">
        <v>2.3846410618912999</v>
      </c>
      <c r="Q250" s="167">
        <v>3.0256734998429198</v>
      </c>
      <c r="R250" s="167">
        <v>0.97817507068803</v>
      </c>
      <c r="S250" s="167">
        <v>5.7029728243795201</v>
      </c>
      <c r="T250" s="167">
        <v>1.49822298146403</v>
      </c>
      <c r="U250" s="167">
        <v>0.45724355953502999</v>
      </c>
      <c r="V250" s="167">
        <v>1.9245601633678899</v>
      </c>
      <c r="W250" s="167">
        <v>0.94689561734213001</v>
      </c>
      <c r="X250" s="167">
        <v>6.4330343579514703E-3</v>
      </c>
      <c r="Y250" s="189">
        <v>12.917764157298899</v>
      </c>
      <c r="Z250" s="207">
        <v>1295</v>
      </c>
      <c r="AA250" s="207">
        <v>903</v>
      </c>
      <c r="AB250" s="167">
        <v>8585.0499999999993</v>
      </c>
      <c r="AC250" s="221"/>
      <c r="AD250" s="195">
        <v>8.5531616976870107E-3</v>
      </c>
      <c r="AE250" s="219">
        <v>5.96409653514392E-3</v>
      </c>
      <c r="AF250" s="167">
        <v>6.6293822393822399</v>
      </c>
      <c r="AG250" s="222">
        <v>5.67021782492107E-2</v>
      </c>
      <c r="AH250" s="223">
        <v>0.44687491133997198</v>
      </c>
      <c r="AI250" s="223">
        <v>0.31554458535478203</v>
      </c>
      <c r="AJ250" s="167">
        <v>0.444658732150641</v>
      </c>
      <c r="AK250" s="224">
        <v>0.29544403788489199</v>
      </c>
      <c r="AL250" s="224">
        <v>4.7930729297385802E-2</v>
      </c>
      <c r="AM250" s="82">
        <v>0.33913451250280702</v>
      </c>
    </row>
    <row r="251" spans="1:40" ht="16.05" customHeight="1">
      <c r="A251" s="186">
        <v>43592</v>
      </c>
      <c r="B251" s="185" t="s">
        <v>51</v>
      </c>
      <c r="C251" s="188">
        <v>30757</v>
      </c>
      <c r="D251" s="188">
        <v>142866</v>
      </c>
      <c r="E251" s="189">
        <v>4.64499138407517</v>
      </c>
      <c r="F251" s="167">
        <v>0.43946385336609101</v>
      </c>
      <c r="G251" s="190">
        <v>8.25</v>
      </c>
      <c r="H251" s="190">
        <v>18.46</v>
      </c>
      <c r="I251" s="219">
        <v>0.23</v>
      </c>
      <c r="J251" s="219">
        <v>0.105</v>
      </c>
      <c r="K251" s="219">
        <v>5.5E-2</v>
      </c>
      <c r="L251" s="167">
        <v>11.3724259095936</v>
      </c>
      <c r="M251" s="220">
        <v>12.06192516064</v>
      </c>
      <c r="N251" s="167">
        <v>18.0424981677311</v>
      </c>
      <c r="O251" s="193">
        <v>0.66852855122982402</v>
      </c>
      <c r="P251" s="167">
        <v>2.5430844937702899</v>
      </c>
      <c r="Q251" s="167">
        <v>3.2267092451052202</v>
      </c>
      <c r="R251" s="167">
        <v>1.0431682546330201</v>
      </c>
      <c r="S251" s="167">
        <v>6.0818971835409901</v>
      </c>
      <c r="T251" s="167">
        <v>1.5977698670296301</v>
      </c>
      <c r="U251" s="167">
        <v>0.48762433253062498</v>
      </c>
      <c r="V251" s="167">
        <v>2.0524343000732901</v>
      </c>
      <c r="W251" s="167">
        <v>1.0098104910480601</v>
      </c>
      <c r="X251" s="167">
        <v>3.9057578430137302E-3</v>
      </c>
      <c r="Y251" s="189">
        <v>12.065830918483099</v>
      </c>
      <c r="Z251" s="207">
        <v>1119</v>
      </c>
      <c r="AA251" s="207">
        <v>809</v>
      </c>
      <c r="AB251" s="167">
        <v>6869.81</v>
      </c>
      <c r="AC251" s="221"/>
      <c r="AD251" s="195">
        <v>7.8325143841081798E-3</v>
      </c>
      <c r="AE251" s="219">
        <v>5.66264891576722E-3</v>
      </c>
      <c r="AF251" s="167">
        <v>6.1392403932082198</v>
      </c>
      <c r="AG251" s="222">
        <v>4.8085688687301398E-2</v>
      </c>
      <c r="AH251" s="223">
        <v>0.42809766882335698</v>
      </c>
      <c r="AI251" s="223">
        <v>0.30942549663491198</v>
      </c>
      <c r="AJ251" s="167">
        <v>0.48530791090952402</v>
      </c>
      <c r="AK251" s="224">
        <v>0.317542312376633</v>
      </c>
      <c r="AL251" s="224">
        <v>5.5100583763806603E-2</v>
      </c>
      <c r="AM251" s="82">
        <v>0.29158792154886398</v>
      </c>
    </row>
    <row r="252" spans="1:40" s="166" customFormat="1" ht="16.05" customHeight="1">
      <c r="A252" s="196">
        <v>43593</v>
      </c>
      <c r="B252" s="197" t="s">
        <v>51</v>
      </c>
      <c r="C252" s="198">
        <v>30212</v>
      </c>
      <c r="D252" s="198">
        <v>136159</v>
      </c>
      <c r="E252" s="200">
        <v>4.50678538329141</v>
      </c>
      <c r="F252" s="166">
        <v>0.37098902663797501</v>
      </c>
      <c r="G252" s="217">
        <v>8.4600000000000009</v>
      </c>
      <c r="H252" s="217">
        <v>18.96</v>
      </c>
      <c r="I252" s="203">
        <v>0.22600000000000001</v>
      </c>
      <c r="J252" s="203">
        <v>0.105</v>
      </c>
      <c r="K252" s="203">
        <v>5.3999999999999999E-2</v>
      </c>
      <c r="L252" s="166">
        <v>10.0974669320427</v>
      </c>
      <c r="M252" s="204">
        <v>10.4750402103423</v>
      </c>
      <c r="N252" s="166">
        <v>16.007710524248299</v>
      </c>
      <c r="O252" s="205">
        <v>0.65437466491381402</v>
      </c>
      <c r="P252" s="166">
        <v>2.3436963377815698</v>
      </c>
      <c r="Q252" s="166">
        <v>2.7558782926856602</v>
      </c>
      <c r="R252" s="166">
        <v>0.91241203604978705</v>
      </c>
      <c r="S252" s="166">
        <v>5.3013838539153104</v>
      </c>
      <c r="T252" s="166">
        <v>1.43825407692567</v>
      </c>
      <c r="U252" s="166">
        <v>0.51787337680557599</v>
      </c>
      <c r="V252" s="166">
        <v>1.8113446840031899</v>
      </c>
      <c r="W252" s="166">
        <v>0.92686786608155003</v>
      </c>
      <c r="X252" s="166">
        <v>3.50325722133682E-3</v>
      </c>
      <c r="Y252" s="200">
        <v>10.4785434675637</v>
      </c>
      <c r="Z252" s="206">
        <v>919</v>
      </c>
      <c r="AA252" s="206">
        <v>662</v>
      </c>
      <c r="AB252" s="166">
        <v>4629.8100000000004</v>
      </c>
      <c r="AC252" s="209"/>
      <c r="AD252" s="210">
        <v>6.7494620260137002E-3</v>
      </c>
      <c r="AE252" s="203">
        <v>4.8619628522536098E-3</v>
      </c>
      <c r="AF252" s="166">
        <v>5.0378781284004299</v>
      </c>
      <c r="AG252" s="211">
        <v>3.4002967119323699E-2</v>
      </c>
      <c r="AH252" s="212">
        <v>0.418972593671389</v>
      </c>
      <c r="AI252" s="212">
        <v>0.29326095591155799</v>
      </c>
      <c r="AJ252" s="166">
        <v>0.54733069426185599</v>
      </c>
      <c r="AK252" s="213">
        <v>0.33821488113161802</v>
      </c>
      <c r="AL252" s="213">
        <v>5.9268942927019098E-2</v>
      </c>
      <c r="AM252" s="214">
        <v>0</v>
      </c>
      <c r="AN252" s="195">
        <v>5.3780000000000001</v>
      </c>
    </row>
    <row r="253" spans="1:40" s="167" customFormat="1" ht="16.05" customHeight="1">
      <c r="A253" s="186">
        <v>43594</v>
      </c>
      <c r="B253" s="187" t="s">
        <v>51</v>
      </c>
      <c r="C253" s="188">
        <v>26181</v>
      </c>
      <c r="D253" s="188">
        <v>127442</v>
      </c>
      <c r="E253" s="189">
        <v>4.8677285054046804</v>
      </c>
      <c r="F253" s="167">
        <v>0.38295464649016803</v>
      </c>
      <c r="G253" s="190">
        <v>8.5399999999999991</v>
      </c>
      <c r="H253" s="190">
        <v>18.149999999999999</v>
      </c>
      <c r="I253" s="219">
        <v>0.22800000000000001</v>
      </c>
      <c r="J253" s="219">
        <v>0.106</v>
      </c>
      <c r="K253" s="219">
        <v>5.1999999999999998E-2</v>
      </c>
      <c r="L253" s="167">
        <v>10.1237268718319</v>
      </c>
      <c r="M253" s="220">
        <v>10.5394532414746</v>
      </c>
      <c r="N253" s="167">
        <v>15.9500421560129</v>
      </c>
      <c r="O253" s="193">
        <v>0.66077902104486697</v>
      </c>
      <c r="P253" s="167">
        <v>2.37650663215019</v>
      </c>
      <c r="Q253" s="167">
        <v>2.76799943000321</v>
      </c>
      <c r="R253" s="167">
        <v>0.910213630048331</v>
      </c>
      <c r="S253" s="167">
        <v>5.1980620109011904</v>
      </c>
      <c r="T253" s="167">
        <v>1.45357494864091</v>
      </c>
      <c r="U253" s="167">
        <v>0.51255774186270198</v>
      </c>
      <c r="V253" s="167">
        <v>1.80312548241916</v>
      </c>
      <c r="W253" s="167">
        <v>0.92800227998717499</v>
      </c>
      <c r="X253" s="167">
        <v>3.5231713249949002E-3</v>
      </c>
      <c r="Y253" s="189">
        <v>10.542976412799501</v>
      </c>
      <c r="Z253" s="207">
        <v>917</v>
      </c>
      <c r="AA253" s="207">
        <v>669</v>
      </c>
      <c r="AB253" s="167">
        <v>4740.83</v>
      </c>
      <c r="AC253" s="221"/>
      <c r="AD253" s="195">
        <v>7.1954300779962597E-3</v>
      </c>
      <c r="AE253" s="219">
        <v>5.2494468071750296E-3</v>
      </c>
      <c r="AF253" s="167">
        <v>5.16993456924755</v>
      </c>
      <c r="AG253" s="222">
        <v>3.71999027008365E-2</v>
      </c>
      <c r="AH253" s="223">
        <v>0.422940300217715</v>
      </c>
      <c r="AI253" s="223">
        <v>0.30300599671517497</v>
      </c>
      <c r="AJ253" s="167">
        <v>0.55012476263712096</v>
      </c>
      <c r="AK253" s="224">
        <v>0.35095180552722</v>
      </c>
      <c r="AL253" s="224">
        <v>6.0694276612105899E-2</v>
      </c>
      <c r="AM253" s="82">
        <v>0</v>
      </c>
      <c r="AN253" s="195">
        <v>4.867</v>
      </c>
    </row>
    <row r="254" spans="1:40" ht="16.05" customHeight="1">
      <c r="A254" s="186">
        <v>43595</v>
      </c>
      <c r="B254" s="187" t="s">
        <v>51</v>
      </c>
      <c r="C254" s="188">
        <v>35608</v>
      </c>
      <c r="D254" s="188">
        <v>134243</v>
      </c>
      <c r="E254" s="189">
        <v>3.7700235902044499</v>
      </c>
      <c r="F254" s="167">
        <v>0.368442611584961</v>
      </c>
      <c r="G254" s="190">
        <v>8.57</v>
      </c>
      <c r="H254" s="190">
        <v>18.63</v>
      </c>
      <c r="I254" s="219">
        <v>0.21099999999999999</v>
      </c>
      <c r="J254" s="219">
        <v>9.1999999999999998E-2</v>
      </c>
      <c r="K254" s="219">
        <v>4.2000000000000003E-2</v>
      </c>
      <c r="L254" s="167">
        <v>9.7208048091893104</v>
      </c>
      <c r="M254" s="220">
        <v>9.7989988304790607</v>
      </c>
      <c r="N254" s="167">
        <v>15.616580003324099</v>
      </c>
      <c r="O254" s="193">
        <v>0.62747405823767299</v>
      </c>
      <c r="P254" s="167">
        <v>2.38109314528575</v>
      </c>
      <c r="Q254" s="167">
        <v>2.67738680342854</v>
      </c>
      <c r="R254" s="167">
        <v>0.86433031792387904</v>
      </c>
      <c r="S254" s="167">
        <v>5.0719661894246997</v>
      </c>
      <c r="T254" s="167">
        <v>1.4429090391053501</v>
      </c>
      <c r="U254" s="167">
        <v>0.517368283590949</v>
      </c>
      <c r="V254" s="167">
        <v>1.7505639053113899</v>
      </c>
      <c r="W254" s="167">
        <v>0.91096231925350801</v>
      </c>
      <c r="X254" s="167">
        <v>2.7263991418546999E-3</v>
      </c>
      <c r="Y254" s="189">
        <v>9.8017252296209101</v>
      </c>
      <c r="Z254" s="207">
        <v>921</v>
      </c>
      <c r="AA254" s="207">
        <v>654</v>
      </c>
      <c r="AB254" s="167">
        <v>5306.79</v>
      </c>
      <c r="AC254" s="221"/>
      <c r="AD254" s="195">
        <v>6.8606929225359997E-3</v>
      </c>
      <c r="AE254" s="219">
        <v>4.8717624010190504E-3</v>
      </c>
      <c r="AF254" s="167">
        <v>5.7619869706840401</v>
      </c>
      <c r="AG254" s="222">
        <v>3.9531223229516597E-2</v>
      </c>
      <c r="AH254" s="223">
        <v>0.38449224893282402</v>
      </c>
      <c r="AI254" s="223">
        <v>0.239243990114581</v>
      </c>
      <c r="AJ254" s="167">
        <v>0.50565020150026396</v>
      </c>
      <c r="AK254" s="224">
        <v>0.32610266457096498</v>
      </c>
      <c r="AL254" s="224">
        <v>5.7172441021133301E-2</v>
      </c>
      <c r="AM254" s="82">
        <v>0</v>
      </c>
      <c r="AN254" s="195">
        <v>5.1390000000000002</v>
      </c>
    </row>
    <row r="255" spans="1:40" ht="16.05" customHeight="1">
      <c r="A255" s="186">
        <v>43596</v>
      </c>
      <c r="B255" s="185" t="s">
        <v>51</v>
      </c>
      <c r="C255" s="188">
        <v>28240</v>
      </c>
      <c r="D255" s="188">
        <v>125352</v>
      </c>
      <c r="E255" s="189">
        <v>4.4388101983002803</v>
      </c>
      <c r="F255" s="167">
        <v>0.59886320256557501</v>
      </c>
      <c r="G255" s="190">
        <v>8.57</v>
      </c>
      <c r="H255" s="190">
        <v>16.829999999999998</v>
      </c>
      <c r="I255" s="219">
        <v>0.214</v>
      </c>
      <c r="J255" s="219">
        <v>9.4E-2</v>
      </c>
      <c r="K255" s="219">
        <v>4.9000000000000002E-2</v>
      </c>
      <c r="L255" s="167">
        <v>12.8771459569851</v>
      </c>
      <c r="M255" s="220">
        <v>14.3015508328547</v>
      </c>
      <c r="N255" s="167">
        <v>21.652873396622901</v>
      </c>
      <c r="O255" s="193">
        <v>0.66049205437488001</v>
      </c>
      <c r="P255" s="167">
        <v>2.9091963185738101</v>
      </c>
      <c r="Q255" s="167">
        <v>3.4979346329444199</v>
      </c>
      <c r="R255" s="167">
        <v>1.26434282677489</v>
      </c>
      <c r="S255" s="167">
        <v>8.18145034664348</v>
      </c>
      <c r="T255" s="167">
        <v>1.85544846244897</v>
      </c>
      <c r="U255" s="167">
        <v>0.45649443196366901</v>
      </c>
      <c r="V255" s="167">
        <v>2.4230016667874499</v>
      </c>
      <c r="W255" s="167">
        <v>1.0650047104862701</v>
      </c>
      <c r="X255" s="167">
        <v>4.0206777713957496E-3</v>
      </c>
      <c r="Y255" s="189">
        <v>14.3055715106261</v>
      </c>
      <c r="Z255" s="207">
        <v>1484</v>
      </c>
      <c r="AA255" s="207">
        <v>945</v>
      </c>
      <c r="AB255" s="167">
        <v>10549.16</v>
      </c>
      <c r="AC255" s="221"/>
      <c r="AD255" s="195">
        <v>1.18386623268875E-2</v>
      </c>
      <c r="AE255" s="219">
        <v>7.5387708213670301E-3</v>
      </c>
      <c r="AF255" s="167">
        <v>7.1085983827493298</v>
      </c>
      <c r="AG255" s="222">
        <v>8.4156295870827694E-2</v>
      </c>
      <c r="AH255" s="223">
        <v>0.42499999999999999</v>
      </c>
      <c r="AI255" s="223">
        <v>0.287712464589235</v>
      </c>
      <c r="AJ255" s="167">
        <v>0.43865275384517199</v>
      </c>
      <c r="AK255" s="224">
        <v>0.30723083796030398</v>
      </c>
      <c r="AL255" s="224">
        <v>5.50609483693918E-2</v>
      </c>
      <c r="AM255" s="82">
        <v>0.344493905163061</v>
      </c>
      <c r="AN255" s="195">
        <v>4.9349999999999996</v>
      </c>
    </row>
    <row r="256" spans="1:40" ht="16.05" customHeight="1">
      <c r="A256" s="186">
        <v>43597</v>
      </c>
      <c r="B256" s="185" t="s">
        <v>51</v>
      </c>
      <c r="C256" s="188">
        <v>27223</v>
      </c>
      <c r="D256" s="188">
        <v>124251</v>
      </c>
      <c r="E256" s="189">
        <v>4.5641920434926302</v>
      </c>
      <c r="F256" s="167">
        <v>0.473910280078229</v>
      </c>
      <c r="G256" s="190">
        <v>7.13</v>
      </c>
      <c r="H256" s="190">
        <v>15.96</v>
      </c>
      <c r="I256" s="219">
        <v>0.22700000000000001</v>
      </c>
      <c r="J256" s="219">
        <v>0.10299999999999999</v>
      </c>
      <c r="K256" s="219">
        <v>5.8000000000000003E-2</v>
      </c>
      <c r="L256" s="167">
        <v>12.6011702119098</v>
      </c>
      <c r="M256" s="220">
        <v>13.8613773732203</v>
      </c>
      <c r="N256" s="167">
        <v>20.752232115961601</v>
      </c>
      <c r="O256" s="193">
        <v>0.66794633443593998</v>
      </c>
      <c r="P256" s="167">
        <v>2.9022206692130701</v>
      </c>
      <c r="Q256" s="167">
        <v>3.4895473112190198</v>
      </c>
      <c r="R256" s="167">
        <v>1.2613111949200499</v>
      </c>
      <c r="S256" s="167">
        <v>8.1618329256684294</v>
      </c>
      <c r="T256" s="167">
        <v>1.8509994818840101</v>
      </c>
      <c r="U256" s="167">
        <v>0.45539985299965102</v>
      </c>
      <c r="V256" s="167">
        <v>2.4171918113575801</v>
      </c>
      <c r="W256" s="167">
        <v>1.06245105008856</v>
      </c>
      <c r="X256" s="167">
        <v>4.0563053818480303E-3</v>
      </c>
      <c r="Y256" s="189">
        <v>13.8654336786022</v>
      </c>
      <c r="Z256" s="207">
        <v>1192</v>
      </c>
      <c r="AA256" s="207">
        <v>805</v>
      </c>
      <c r="AB256" s="167">
        <v>7948.08</v>
      </c>
      <c r="AC256" s="221"/>
      <c r="AD256" s="195">
        <v>9.5934841570691608E-3</v>
      </c>
      <c r="AE256" s="219">
        <v>6.4788210960072803E-3</v>
      </c>
      <c r="AF256" s="167">
        <v>6.6678523489932902</v>
      </c>
      <c r="AG256" s="222">
        <v>6.39679358717435E-2</v>
      </c>
      <c r="AH256" s="223">
        <v>0.42611027440032301</v>
      </c>
      <c r="AI256" s="223">
        <v>0.29309774822760198</v>
      </c>
      <c r="AJ256" s="167">
        <v>0.44233849224553501</v>
      </c>
      <c r="AK256" s="224">
        <v>0.30365147966616002</v>
      </c>
      <c r="AL256" s="224">
        <v>5.4156505782649599E-2</v>
      </c>
      <c r="AM256" s="82">
        <v>0.361904531955477</v>
      </c>
      <c r="AN256" s="195">
        <v>5.3360000000000003</v>
      </c>
    </row>
    <row r="257" spans="1:40" ht="16.05" customHeight="1">
      <c r="A257" s="186">
        <v>43598</v>
      </c>
      <c r="B257" s="185" t="s">
        <v>51</v>
      </c>
      <c r="C257" s="188">
        <v>32148</v>
      </c>
      <c r="D257" s="188">
        <v>129690</v>
      </c>
      <c r="E257" s="189">
        <v>4.03415453527436</v>
      </c>
      <c r="F257" s="167">
        <v>0.485229880407125</v>
      </c>
      <c r="G257" s="190">
        <v>7.28</v>
      </c>
      <c r="H257" s="190">
        <v>16.010000000000002</v>
      </c>
      <c r="I257" s="219">
        <v>0.23599999999999999</v>
      </c>
      <c r="J257" s="219">
        <v>0.108</v>
      </c>
      <c r="K257" s="219">
        <v>5.8999999999999997E-2</v>
      </c>
      <c r="L257" s="167">
        <v>12.0726964299483</v>
      </c>
      <c r="M257" s="220">
        <v>12.6111882180584</v>
      </c>
      <c r="N257" s="167">
        <v>19.300287932784201</v>
      </c>
      <c r="O257" s="193">
        <v>0.65341969311435</v>
      </c>
      <c r="P257" s="167">
        <v>2.7082910481225402</v>
      </c>
      <c r="Q257" s="167">
        <v>3.4432394798328998</v>
      </c>
      <c r="R257" s="167">
        <v>1.10331358712327</v>
      </c>
      <c r="S257" s="167">
        <v>6.6825659059262197</v>
      </c>
      <c r="T257" s="167">
        <v>1.7547851124589899</v>
      </c>
      <c r="U257" s="167">
        <v>0.44738146373699</v>
      </c>
      <c r="V257" s="167">
        <v>2.14722333671615</v>
      </c>
      <c r="W257" s="167">
        <v>1.0134879988671499</v>
      </c>
      <c r="X257" s="167">
        <v>3.9016115351993199E-3</v>
      </c>
      <c r="Y257" s="189">
        <v>12.6150898295936</v>
      </c>
      <c r="Z257" s="207">
        <v>1086</v>
      </c>
      <c r="AA257" s="207">
        <v>757</v>
      </c>
      <c r="AB257" s="167">
        <v>8223.14</v>
      </c>
      <c r="AC257" s="221"/>
      <c r="AD257" s="195">
        <v>8.3738144806847093E-3</v>
      </c>
      <c r="AE257" s="219">
        <v>5.8369959133317897E-3</v>
      </c>
      <c r="AF257" s="167">
        <v>7.5719521178637201</v>
      </c>
      <c r="AG257" s="222">
        <v>6.3406122291618502E-2</v>
      </c>
      <c r="AH257" s="223">
        <v>0.40643274853801198</v>
      </c>
      <c r="AI257" s="223">
        <v>0.26785492099041902</v>
      </c>
      <c r="AJ257" s="167">
        <v>0.43252371038630599</v>
      </c>
      <c r="AK257" s="224">
        <v>0.29283676459248997</v>
      </c>
      <c r="AL257" s="224">
        <v>5.3604749787955902E-2</v>
      </c>
      <c r="AM257" s="82">
        <v>0.34292543758192601</v>
      </c>
      <c r="AN257" s="195">
        <v>5.3780000000000001</v>
      </c>
    </row>
    <row r="258" spans="1:40" ht="16.05" customHeight="1">
      <c r="A258" s="186">
        <v>43599</v>
      </c>
      <c r="B258" s="185" t="s">
        <v>51</v>
      </c>
      <c r="C258" s="188">
        <v>35384</v>
      </c>
      <c r="D258" s="188">
        <v>131792</v>
      </c>
      <c r="E258" s="189">
        <v>3.7246212977617001</v>
      </c>
      <c r="F258" s="167">
        <v>0.44219343966249802</v>
      </c>
      <c r="G258" s="190">
        <v>8.0500000000000007</v>
      </c>
      <c r="H258" s="190">
        <v>16.82</v>
      </c>
      <c r="I258" s="219">
        <v>0.23899999999999999</v>
      </c>
      <c r="J258" s="219">
        <v>0.11</v>
      </c>
      <c r="K258" s="219">
        <v>5.7000000000000002E-2</v>
      </c>
      <c r="L258" s="167">
        <v>10.7825588806604</v>
      </c>
      <c r="M258" s="220">
        <v>11.421482335801899</v>
      </c>
      <c r="N258" s="167">
        <v>17.892284467900499</v>
      </c>
      <c r="O258" s="193">
        <v>0.63834678887944596</v>
      </c>
      <c r="P258" s="167">
        <v>2.5705404795017199</v>
      </c>
      <c r="Q258" s="167">
        <v>3.1726396367483298</v>
      </c>
      <c r="R258" s="167">
        <v>1.0217285359388599</v>
      </c>
      <c r="S258" s="167">
        <v>6.0249022334747799</v>
      </c>
      <c r="T258" s="167">
        <v>1.62509954950136</v>
      </c>
      <c r="U258" s="167">
        <v>0.48803623007524199</v>
      </c>
      <c r="V258" s="167">
        <v>2.0126472441132099</v>
      </c>
      <c r="W258" s="167">
        <v>0.97669055854699305</v>
      </c>
      <c r="X258" s="167">
        <v>2.7467524584193301E-3</v>
      </c>
      <c r="Y258" s="189">
        <v>11.424229088260301</v>
      </c>
      <c r="Z258" s="207">
        <v>1111</v>
      </c>
      <c r="AA258" s="207">
        <v>734</v>
      </c>
      <c r="AB258" s="167">
        <v>7917.89</v>
      </c>
      <c r="AC258" s="221"/>
      <c r="AD258" s="195">
        <v>8.4299502245963297E-3</v>
      </c>
      <c r="AE258" s="219">
        <v>5.5693820565740002E-3</v>
      </c>
      <c r="AF258" s="167">
        <v>7.12681368136814</v>
      </c>
      <c r="AG258" s="222">
        <v>6.0078684593905599E-2</v>
      </c>
      <c r="AH258" s="223">
        <v>0.39591340718968998</v>
      </c>
      <c r="AI258" s="223">
        <v>0.25802622654307</v>
      </c>
      <c r="AJ258" s="167">
        <v>0.45483033871555201</v>
      </c>
      <c r="AK258" s="224">
        <v>0.29821992230180899</v>
      </c>
      <c r="AL258" s="224">
        <v>5.6968556513293703E-2</v>
      </c>
      <c r="AM258" s="82">
        <v>0.28437234430010899</v>
      </c>
      <c r="AN258" s="195">
        <v>5.2220000000000004</v>
      </c>
    </row>
    <row r="259" spans="1:40" s="166" customFormat="1" ht="16.05" customHeight="1">
      <c r="A259" s="196">
        <v>43600</v>
      </c>
      <c r="B259" s="197" t="s">
        <v>51</v>
      </c>
      <c r="C259" s="198">
        <v>37139</v>
      </c>
      <c r="D259" s="198">
        <v>131157</v>
      </c>
      <c r="E259" s="200">
        <v>3.5315167344301099</v>
      </c>
      <c r="F259" s="166">
        <v>0.34014106880303802</v>
      </c>
      <c r="G259" s="217">
        <v>8.4700000000000006</v>
      </c>
      <c r="H259" s="217">
        <v>18.09</v>
      </c>
      <c r="I259" s="203">
        <v>0.23100000000000001</v>
      </c>
      <c r="J259" s="203">
        <v>0.106</v>
      </c>
      <c r="K259" s="203">
        <v>5.6000000000000001E-2</v>
      </c>
      <c r="L259" s="166">
        <v>9.6501063610787092</v>
      </c>
      <c r="M259" s="204">
        <v>9.7517555296324296</v>
      </c>
      <c r="N259" s="166">
        <v>15.7754575953426</v>
      </c>
      <c r="O259" s="205">
        <v>0.61815991521611502</v>
      </c>
      <c r="P259" s="166">
        <v>2.3676180373970102</v>
      </c>
      <c r="Q259" s="166">
        <v>2.6880457842024801</v>
      </c>
      <c r="R259" s="166">
        <v>0.89115151216142896</v>
      </c>
      <c r="S259" s="166">
        <v>5.1922887167595801</v>
      </c>
      <c r="T259" s="166">
        <v>1.4468276678671901</v>
      </c>
      <c r="U259" s="166">
        <v>0.527986087128127</v>
      </c>
      <c r="V259" s="166">
        <v>1.7656643149637401</v>
      </c>
      <c r="W259" s="166">
        <v>0.89587547486309105</v>
      </c>
      <c r="X259" s="166">
        <v>1.4410210663555901E-3</v>
      </c>
      <c r="Y259" s="200">
        <v>9.7531965506987799</v>
      </c>
      <c r="Z259" s="206">
        <v>753</v>
      </c>
      <c r="AA259" s="206">
        <v>570</v>
      </c>
      <c r="AB259" s="166">
        <v>3836.47</v>
      </c>
      <c r="AC259" s="209"/>
      <c r="AD259" s="210">
        <v>5.7412109151627399E-3</v>
      </c>
      <c r="AE259" s="203">
        <v>4.3459365493263803E-3</v>
      </c>
      <c r="AF259" s="166">
        <v>5.0949136786188598</v>
      </c>
      <c r="AG259" s="211">
        <v>2.9250974023498601E-2</v>
      </c>
      <c r="AH259" s="212">
        <v>0.39793747812272801</v>
      </c>
      <c r="AI259" s="212">
        <v>0.25792293815126999</v>
      </c>
      <c r="AJ259" s="166">
        <v>0.51518409234733897</v>
      </c>
      <c r="AK259" s="213">
        <v>0.31211448874249897</v>
      </c>
      <c r="AL259" s="213">
        <v>5.9859557629406E-2</v>
      </c>
      <c r="AM259" s="214">
        <v>0</v>
      </c>
      <c r="AN259" s="195">
        <v>5.1159999999999997</v>
      </c>
    </row>
    <row r="260" spans="1:40" ht="16.05" customHeight="1">
      <c r="A260" s="186">
        <v>43601</v>
      </c>
      <c r="B260" s="187" t="s">
        <v>51</v>
      </c>
      <c r="C260" s="188">
        <v>52348</v>
      </c>
      <c r="D260" s="188">
        <v>144944</v>
      </c>
      <c r="E260" s="189">
        <v>2.7688545885229598</v>
      </c>
      <c r="F260" s="167">
        <v>0.333826460012143</v>
      </c>
      <c r="G260" s="190">
        <v>8.6</v>
      </c>
      <c r="H260" s="190">
        <v>18.78</v>
      </c>
      <c r="I260" s="219">
        <v>0.245</v>
      </c>
      <c r="J260" s="219">
        <v>0.108</v>
      </c>
      <c r="K260" s="219">
        <v>5.1999999999999998E-2</v>
      </c>
      <c r="L260" s="167">
        <v>9.1558187989844395</v>
      </c>
      <c r="M260" s="220">
        <v>9.1985111491334592</v>
      </c>
      <c r="N260" s="167">
        <v>15.4544284869771</v>
      </c>
      <c r="O260" s="193">
        <v>0.59520228502042205</v>
      </c>
      <c r="P260" s="167">
        <v>2.36636876818398</v>
      </c>
      <c r="Q260" s="167">
        <v>2.65207311842914</v>
      </c>
      <c r="R260" s="167">
        <v>0.84653012020261698</v>
      </c>
      <c r="S260" s="167">
        <v>4.9523594255311698</v>
      </c>
      <c r="T260" s="167">
        <v>1.44487718932202</v>
      </c>
      <c r="U260" s="167">
        <v>0.55223655689629203</v>
      </c>
      <c r="V260" s="167">
        <v>1.7445143791077</v>
      </c>
      <c r="W260" s="167">
        <v>0.89546892930416899</v>
      </c>
      <c r="X260" s="167">
        <v>2.4975162821503499E-3</v>
      </c>
      <c r="Y260" s="189">
        <v>9.2010086654156105</v>
      </c>
      <c r="Z260" s="207">
        <v>878</v>
      </c>
      <c r="AA260" s="207">
        <v>637</v>
      </c>
      <c r="AB260" s="167">
        <v>4566.22</v>
      </c>
      <c r="AC260" s="221"/>
      <c r="AD260" s="195">
        <v>6.0575118666519497E-3</v>
      </c>
      <c r="AE260" s="219">
        <v>4.3948007506347296E-3</v>
      </c>
      <c r="AF260" s="167">
        <v>5.2007061503416896</v>
      </c>
      <c r="AG260" s="222">
        <v>3.1503339220664499E-2</v>
      </c>
      <c r="AH260" s="223">
        <v>0.41470543287231598</v>
      </c>
      <c r="AI260" s="223">
        <v>0.24652326736456001</v>
      </c>
      <c r="AJ260" s="167">
        <v>0.48473893365713699</v>
      </c>
      <c r="AK260" s="224">
        <v>0.28635197041616101</v>
      </c>
      <c r="AL260" s="224">
        <v>5.2985980792582002E-2</v>
      </c>
      <c r="AM260" s="82">
        <v>0</v>
      </c>
      <c r="AN260" s="195">
        <v>5.55</v>
      </c>
    </row>
    <row r="261" spans="1:40" ht="16.05" customHeight="1">
      <c r="A261" s="186">
        <v>43602</v>
      </c>
      <c r="B261" s="187" t="s">
        <v>51</v>
      </c>
      <c r="C261" s="188">
        <v>62061</v>
      </c>
      <c r="D261" s="188">
        <v>157986</v>
      </c>
      <c r="E261" s="189">
        <v>2.5456566926088802</v>
      </c>
      <c r="F261" s="167">
        <v>0.29844497079488103</v>
      </c>
      <c r="G261" s="190">
        <v>7.76</v>
      </c>
      <c r="H261" s="190">
        <v>17.57</v>
      </c>
      <c r="I261" s="219">
        <v>0.23899999999999999</v>
      </c>
      <c r="J261" s="219">
        <v>0.105</v>
      </c>
      <c r="K261" s="219">
        <v>4.9000000000000002E-2</v>
      </c>
      <c r="L261" s="167">
        <v>8.8648741027685993</v>
      </c>
      <c r="M261" s="220">
        <v>8.7971845606572696</v>
      </c>
      <c r="N261" s="167">
        <v>15.2432302005988</v>
      </c>
      <c r="O261" s="193">
        <v>0.57712075753547798</v>
      </c>
      <c r="P261" s="167">
        <v>2.376706844928</v>
      </c>
      <c r="Q261" s="167">
        <v>2.6234796056022902</v>
      </c>
      <c r="R261" s="167">
        <v>0.81639009838007404</v>
      </c>
      <c r="S261" s="167">
        <v>4.8124307665310297</v>
      </c>
      <c r="T261" s="167">
        <v>1.4216633580837299</v>
      </c>
      <c r="U261" s="167">
        <v>0.56241157309409195</v>
      </c>
      <c r="V261" s="167">
        <v>1.73174155762967</v>
      </c>
      <c r="W261" s="167">
        <v>0.898406396349957</v>
      </c>
      <c r="X261" s="167">
        <v>1.41784715101338E-3</v>
      </c>
      <c r="Y261" s="189">
        <v>8.7986024078082892</v>
      </c>
      <c r="Z261" s="207">
        <v>897</v>
      </c>
      <c r="AA261" s="207">
        <v>652</v>
      </c>
      <c r="AB261" s="167">
        <v>5004.03</v>
      </c>
      <c r="AC261" s="221"/>
      <c r="AD261" s="195">
        <v>5.6777182788348302E-3</v>
      </c>
      <c r="AE261" s="219">
        <v>4.1269479574139499E-3</v>
      </c>
      <c r="AF261" s="167">
        <v>5.5786287625418103</v>
      </c>
      <c r="AG261" s="222">
        <v>3.1673882495917398E-2</v>
      </c>
      <c r="AH261" s="223">
        <v>0.40668052400058002</v>
      </c>
      <c r="AI261" s="223">
        <v>0.251607289602166</v>
      </c>
      <c r="AJ261" s="167">
        <v>0.45676199156887298</v>
      </c>
      <c r="AK261" s="224">
        <v>0.267504715607712</v>
      </c>
      <c r="AL261" s="224">
        <v>4.6643373463471402E-2</v>
      </c>
      <c r="AM261" s="82">
        <v>0</v>
      </c>
      <c r="AN261" s="195">
        <v>4.2110000000000003</v>
      </c>
    </row>
    <row r="262" spans="1:40" ht="16.05" customHeight="1">
      <c r="A262" s="186">
        <v>43603</v>
      </c>
      <c r="B262" s="185" t="s">
        <v>51</v>
      </c>
      <c r="C262" s="188">
        <v>58470</v>
      </c>
      <c r="D262" s="188">
        <v>158060</v>
      </c>
      <c r="E262" s="189">
        <v>2.7032666324610899</v>
      </c>
      <c r="F262" s="167">
        <v>0.41714089860812298</v>
      </c>
      <c r="G262" s="190">
        <v>6.54</v>
      </c>
      <c r="H262" s="190">
        <v>14.8</v>
      </c>
      <c r="I262" s="219">
        <v>0.23100000000000001</v>
      </c>
      <c r="J262" s="219">
        <v>9.9000000000000005E-2</v>
      </c>
      <c r="K262" s="219">
        <v>4.9000000000000002E-2</v>
      </c>
      <c r="L262" s="167">
        <v>10.762590155637101</v>
      </c>
      <c r="M262" s="220">
        <v>11.668271542452199</v>
      </c>
      <c r="N262" s="167">
        <v>19.444863833331599</v>
      </c>
      <c r="O262" s="193">
        <v>0.60006959382513003</v>
      </c>
      <c r="P262" s="167">
        <v>2.72646472740308</v>
      </c>
      <c r="Q262" s="167">
        <v>3.2895505392895901</v>
      </c>
      <c r="R262" s="167">
        <v>1.0353411283435401</v>
      </c>
      <c r="S262" s="167">
        <v>7.00317353210961</v>
      </c>
      <c r="T262" s="167">
        <v>1.6774489440889</v>
      </c>
      <c r="U262" s="167">
        <v>0.49492340295423198</v>
      </c>
      <c r="V262" s="167">
        <v>2.2062374139403498</v>
      </c>
      <c r="W262" s="167">
        <v>1.0117241452022701</v>
      </c>
      <c r="X262" s="167">
        <v>1.6892319372390199E-3</v>
      </c>
      <c r="Y262" s="189">
        <v>11.6699607743895</v>
      </c>
      <c r="Z262" s="207">
        <v>1436</v>
      </c>
      <c r="AA262" s="207">
        <v>938</v>
      </c>
      <c r="AB262" s="167">
        <v>11311.64</v>
      </c>
      <c r="AC262" s="221"/>
      <c r="AD262" s="195">
        <v>9.0851575351132505E-3</v>
      </c>
      <c r="AE262" s="219">
        <v>5.9344552701505798E-3</v>
      </c>
      <c r="AF262" s="167">
        <v>7.8771866295264603</v>
      </c>
      <c r="AG262" s="222">
        <v>7.1565481462735697E-2</v>
      </c>
      <c r="AH262" s="223">
        <v>0.42091670942363602</v>
      </c>
      <c r="AI262" s="223">
        <v>0.26668376945442102</v>
      </c>
      <c r="AJ262" s="167">
        <v>0.38554979121852501</v>
      </c>
      <c r="AK262" s="224">
        <v>0.239908895356194</v>
      </c>
      <c r="AL262" s="224">
        <v>4.12881184360369E-2</v>
      </c>
      <c r="AM262" s="82">
        <v>0.28650512463621403</v>
      </c>
      <c r="AN262" s="195">
        <v>4.4569999999999999</v>
      </c>
    </row>
    <row r="263" spans="1:40" ht="16.05" customHeight="1">
      <c r="A263" s="186">
        <v>43604</v>
      </c>
      <c r="B263" s="185" t="s">
        <v>51</v>
      </c>
      <c r="C263" s="188">
        <v>69072</v>
      </c>
      <c r="D263" s="188">
        <v>171933</v>
      </c>
      <c r="E263" s="189">
        <v>2.4891851980542001</v>
      </c>
      <c r="F263" s="167">
        <v>0.33635516127794002</v>
      </c>
      <c r="G263" s="190">
        <v>6.36</v>
      </c>
      <c r="H263" s="190">
        <v>14.87</v>
      </c>
      <c r="I263" s="219">
        <v>0.224</v>
      </c>
      <c r="J263" s="219">
        <v>9.7000000000000003E-2</v>
      </c>
      <c r="K263" s="219">
        <v>4.9000000000000002E-2</v>
      </c>
      <c r="L263" s="167">
        <v>10.3531957215892</v>
      </c>
      <c r="M263" s="220">
        <v>11.010905410828601</v>
      </c>
      <c r="N263" s="167">
        <v>18.6528923176968</v>
      </c>
      <c r="O263" s="193">
        <v>0.59030552598977504</v>
      </c>
      <c r="P263" s="167">
        <v>2.63338358310425</v>
      </c>
      <c r="Q263" s="167">
        <v>3.2858522262619099</v>
      </c>
      <c r="R263" s="167">
        <v>1.04888021834018</v>
      </c>
      <c r="S263" s="167">
        <v>6.4516567645059304</v>
      </c>
      <c r="T263" s="167">
        <v>1.6274225808676499</v>
      </c>
      <c r="U263" s="167">
        <v>0.49806390588513499</v>
      </c>
      <c r="V263" s="167">
        <v>2.0989132255426499</v>
      </c>
      <c r="W263" s="167">
        <v>1.00871981318909</v>
      </c>
      <c r="X263" s="167">
        <v>1.82047658099376E-3</v>
      </c>
      <c r="Y263" s="189">
        <v>11.0127258874096</v>
      </c>
      <c r="Z263" s="207">
        <v>1264</v>
      </c>
      <c r="AA263" s="207">
        <v>886</v>
      </c>
      <c r="AB263" s="167">
        <v>7834.36</v>
      </c>
      <c r="AC263" s="221"/>
      <c r="AD263" s="195">
        <v>7.3517009532783097E-3</v>
      </c>
      <c r="AE263" s="219">
        <v>5.1531701302251504E-3</v>
      </c>
      <c r="AF263" s="167">
        <v>6.1980696202531602</v>
      </c>
      <c r="AG263" s="222">
        <v>4.5566354335700499E-2</v>
      </c>
      <c r="AH263" s="223">
        <v>0.41982279360667102</v>
      </c>
      <c r="AI263" s="223">
        <v>0.25707956914523999</v>
      </c>
      <c r="AJ263" s="167">
        <v>0.37421553744772701</v>
      </c>
      <c r="AK263" s="224">
        <v>0.22177825083026501</v>
      </c>
      <c r="AL263" s="224">
        <v>3.8096235161370999E-2</v>
      </c>
      <c r="AM263" s="82">
        <v>0.28696061838041598</v>
      </c>
      <c r="AN263" s="195">
        <v>5.1159999999999997</v>
      </c>
    </row>
    <row r="264" spans="1:40" ht="16.05" customHeight="1">
      <c r="A264" s="186">
        <v>43605</v>
      </c>
      <c r="B264" s="185" t="s">
        <v>51</v>
      </c>
      <c r="C264" s="188">
        <v>52368</v>
      </c>
      <c r="D264" s="188">
        <v>160864</v>
      </c>
      <c r="E264" s="189">
        <v>3.0717995722578699</v>
      </c>
      <c r="F264" s="167">
        <v>0.333884702338621</v>
      </c>
      <c r="G264" s="190">
        <v>6.19</v>
      </c>
      <c r="H264" s="190">
        <v>14.23</v>
      </c>
      <c r="I264" s="219">
        <v>0.22800000000000001</v>
      </c>
      <c r="J264" s="219">
        <v>0.104</v>
      </c>
      <c r="K264" s="219">
        <v>5.2999999999999999E-2</v>
      </c>
      <c r="L264" s="167">
        <v>10.526158742788899</v>
      </c>
      <c r="M264" s="220">
        <v>11.079489506664</v>
      </c>
      <c r="N264" s="167">
        <v>17.9815068907767</v>
      </c>
      <c r="O264" s="193">
        <v>0.61616023473244497</v>
      </c>
      <c r="P264" s="167">
        <v>2.55076777174681</v>
      </c>
      <c r="Q264" s="167">
        <v>3.2959502814826802</v>
      </c>
      <c r="R264" s="167">
        <v>0.99440061341027897</v>
      </c>
      <c r="S264" s="167">
        <v>6.0548235436550399</v>
      </c>
      <c r="T264" s="167">
        <v>1.60279666659941</v>
      </c>
      <c r="U264" s="167">
        <v>0.47413184285397197</v>
      </c>
      <c r="V264" s="167">
        <v>2.0221654997074201</v>
      </c>
      <c r="W264" s="167">
        <v>0.98647067132105204</v>
      </c>
      <c r="X264" s="167">
        <v>1.6038392679530501E-3</v>
      </c>
      <c r="Y264" s="189">
        <v>11.081093345932</v>
      </c>
      <c r="Z264" s="207">
        <v>1145</v>
      </c>
      <c r="AA264" s="207">
        <v>809</v>
      </c>
      <c r="AB264" s="167">
        <v>7490.55</v>
      </c>
      <c r="AC264" s="221"/>
      <c r="AD264" s="195">
        <v>7.1178138054505697E-3</v>
      </c>
      <c r="AE264" s="219">
        <v>5.0290928983489202E-3</v>
      </c>
      <c r="AF264" s="167">
        <v>6.5419650655021799</v>
      </c>
      <c r="AG264" s="222">
        <v>4.6564489258006797E-2</v>
      </c>
      <c r="AH264" s="223">
        <v>0.42904063550259702</v>
      </c>
      <c r="AI264" s="223">
        <v>0.29611594867094398</v>
      </c>
      <c r="AJ264" s="167">
        <v>0.40112766063258398</v>
      </c>
      <c r="AK264" s="224">
        <v>0.24600283469265999</v>
      </c>
      <c r="AL264" s="224">
        <v>4.1388999403222597E-2</v>
      </c>
      <c r="AM264" s="82">
        <v>0.30333076387507502</v>
      </c>
      <c r="AN264" s="195">
        <v>4.8019999999999996</v>
      </c>
    </row>
    <row r="265" spans="1:40" ht="16.05" customHeight="1">
      <c r="A265" s="186">
        <v>43606</v>
      </c>
      <c r="B265" s="185" t="s">
        <v>51</v>
      </c>
      <c r="C265" s="188">
        <v>39799</v>
      </c>
      <c r="D265" s="188">
        <v>145372</v>
      </c>
      <c r="E265" s="189">
        <v>3.6526545893112901</v>
      </c>
      <c r="F265" s="167">
        <v>0.36457290496106498</v>
      </c>
      <c r="G265" s="190">
        <v>7.02</v>
      </c>
      <c r="H265" s="190">
        <v>15.41</v>
      </c>
      <c r="I265" s="219">
        <v>0.23799999999999999</v>
      </c>
      <c r="J265" s="219">
        <v>0.104</v>
      </c>
      <c r="K265" s="219">
        <v>5.2999999999999999E-2</v>
      </c>
      <c r="L265" s="167">
        <v>10.3752854745068</v>
      </c>
      <c r="M265" s="220">
        <v>10.7482596373442</v>
      </c>
      <c r="N265" s="167">
        <v>16.9714769839029</v>
      </c>
      <c r="O265" s="193">
        <v>0.63331315521558496</v>
      </c>
      <c r="P265" s="167">
        <v>2.45337040818543</v>
      </c>
      <c r="Q265" s="167">
        <v>3.0727304325158</v>
      </c>
      <c r="R265" s="167">
        <v>0.96302652444985104</v>
      </c>
      <c r="S265" s="167">
        <v>5.5919992179523401</v>
      </c>
      <c r="T265" s="167">
        <v>1.5329003106467101</v>
      </c>
      <c r="U265" s="167">
        <v>0.486813807485934</v>
      </c>
      <c r="V265" s="167">
        <v>1.9207525036386901</v>
      </c>
      <c r="W265" s="167">
        <v>0.94988377902808896</v>
      </c>
      <c r="X265" s="167">
        <v>1.91233525025452E-3</v>
      </c>
      <c r="Y265" s="189">
        <v>10.7501719725944</v>
      </c>
      <c r="Z265" s="207">
        <v>1041</v>
      </c>
      <c r="AA265" s="207">
        <v>764</v>
      </c>
      <c r="AB265" s="167">
        <v>7206.59</v>
      </c>
      <c r="AC265" s="221"/>
      <c r="AD265" s="195">
        <v>7.1609388327876101E-3</v>
      </c>
      <c r="AE265" s="219">
        <v>5.2554824863109799E-3</v>
      </c>
      <c r="AF265" s="167">
        <v>6.9227569644572498</v>
      </c>
      <c r="AG265" s="222">
        <v>4.9573439176732799E-2</v>
      </c>
      <c r="AH265" s="223">
        <v>0.43367923817181298</v>
      </c>
      <c r="AI265" s="223">
        <v>0.31003291539988398</v>
      </c>
      <c r="AJ265" s="167">
        <v>0.44647524970420699</v>
      </c>
      <c r="AK265" s="224">
        <v>0.27847866164048102</v>
      </c>
      <c r="AL265" s="224">
        <v>4.8805822304157601E-2</v>
      </c>
      <c r="AM265" s="82">
        <v>0.27417934677929701</v>
      </c>
      <c r="AN265" s="195">
        <v>5.2859999999999996</v>
      </c>
    </row>
    <row r="266" spans="1:40" s="166" customFormat="1" ht="16.05" customHeight="1">
      <c r="A266" s="196">
        <v>43607</v>
      </c>
      <c r="B266" s="197" t="s">
        <v>51</v>
      </c>
      <c r="C266" s="198">
        <v>36324</v>
      </c>
      <c r="D266" s="198">
        <v>136941</v>
      </c>
      <c r="E266" s="200">
        <v>3.7699867855962998</v>
      </c>
      <c r="F266" s="166">
        <v>0.29692535244375301</v>
      </c>
      <c r="G266" s="217">
        <v>7.57</v>
      </c>
      <c r="H266" s="217">
        <v>17.079999999999998</v>
      </c>
      <c r="I266" s="203">
        <v>0.24</v>
      </c>
      <c r="J266" s="203">
        <v>0.10299999999999999</v>
      </c>
      <c r="K266" s="203">
        <v>5.3999999999999999E-2</v>
      </c>
      <c r="L266" s="166">
        <v>9.3515163464557691</v>
      </c>
      <c r="M266" s="204">
        <v>9.4155074082999306</v>
      </c>
      <c r="N266" s="166">
        <v>15.001559064096201</v>
      </c>
      <c r="O266" s="205">
        <v>0.62763525898014505</v>
      </c>
      <c r="P266" s="166">
        <v>2.25821126481984</v>
      </c>
      <c r="Q266" s="166">
        <v>2.6108855251369998</v>
      </c>
      <c r="R266" s="166">
        <v>0.84537341912064101</v>
      </c>
      <c r="S266" s="166">
        <v>4.7987411139163898</v>
      </c>
      <c r="T266" s="166">
        <v>1.38897485718275</v>
      </c>
      <c r="U266" s="166">
        <v>0.52203050646313498</v>
      </c>
      <c r="V266" s="166">
        <v>1.6923640763708701</v>
      </c>
      <c r="W266" s="166">
        <v>0.884978301085528</v>
      </c>
      <c r="X266" s="166">
        <v>1.6722530140717499E-3</v>
      </c>
      <c r="Y266" s="200">
        <v>9.417179661314</v>
      </c>
      <c r="Z266" s="206">
        <v>733</v>
      </c>
      <c r="AA266" s="206">
        <v>565</v>
      </c>
      <c r="AB266" s="166">
        <v>3658.67</v>
      </c>
      <c r="AC266" s="209"/>
      <c r="AD266" s="210">
        <v>5.3526701280113302E-3</v>
      </c>
      <c r="AE266" s="203">
        <v>4.1258644233648101E-3</v>
      </c>
      <c r="AF266" s="166">
        <v>4.9913642564802201</v>
      </c>
      <c r="AG266" s="211">
        <v>2.67171263536852E-2</v>
      </c>
      <c r="AH266" s="212">
        <v>0.44364607422090102</v>
      </c>
      <c r="AI266" s="212">
        <v>0.31637484858495801</v>
      </c>
      <c r="AJ266" s="166">
        <v>0.51368837674618995</v>
      </c>
      <c r="AK266" s="213">
        <v>0.31137497170314199</v>
      </c>
      <c r="AL266" s="213">
        <v>5.3402560226666999E-2</v>
      </c>
      <c r="AM266" s="214">
        <v>0</v>
      </c>
      <c r="AN266" s="195">
        <v>5.0620000000000003</v>
      </c>
    </row>
    <row r="267" spans="1:40" ht="16.05" customHeight="1">
      <c r="A267" s="186">
        <v>43608</v>
      </c>
      <c r="B267" s="187" t="s">
        <v>51</v>
      </c>
      <c r="C267" s="188">
        <v>32881</v>
      </c>
      <c r="D267" s="188">
        <v>129006</v>
      </c>
      <c r="E267" s="189">
        <v>3.9234208205346599</v>
      </c>
      <c r="F267" s="167">
        <v>0.31710303769592102</v>
      </c>
      <c r="G267" s="190">
        <v>7.77</v>
      </c>
      <c r="H267" s="190">
        <v>17.63</v>
      </c>
      <c r="I267" s="219">
        <v>0.24199999999999999</v>
      </c>
      <c r="J267" s="219">
        <v>0.109</v>
      </c>
      <c r="K267" s="219">
        <v>5.3999999999999999E-2</v>
      </c>
      <c r="L267" s="167">
        <v>9.3491077934359605</v>
      </c>
      <c r="M267" s="220">
        <v>9.4587926142970105</v>
      </c>
      <c r="N267" s="167">
        <v>15.0529958180674</v>
      </c>
      <c r="O267" s="193">
        <v>0.62836612250593005</v>
      </c>
      <c r="P267" s="167">
        <v>2.3203187644178001</v>
      </c>
      <c r="Q267" s="167">
        <v>2.6541578772066199</v>
      </c>
      <c r="R267" s="167">
        <v>0.82213833684911797</v>
      </c>
      <c r="S267" s="167">
        <v>4.7135684590997098</v>
      </c>
      <c r="T267" s="167">
        <v>1.4212772781663601</v>
      </c>
      <c r="U267" s="167">
        <v>0.51920111518201895</v>
      </c>
      <c r="V267" s="167">
        <v>1.7058090620875099</v>
      </c>
      <c r="W267" s="167">
        <v>0.89652492505828796</v>
      </c>
      <c r="X267" s="167">
        <v>9.3018929352123205E-4</v>
      </c>
      <c r="Y267" s="189">
        <v>9.4597228035905303</v>
      </c>
      <c r="Z267" s="207">
        <v>850</v>
      </c>
      <c r="AA267" s="207">
        <v>598</v>
      </c>
      <c r="AB267" s="167">
        <v>4164.5</v>
      </c>
      <c r="AC267" s="221"/>
      <c r="AD267" s="195">
        <v>6.5888408291087204E-3</v>
      </c>
      <c r="AE267" s="219">
        <v>4.6354433127141397E-3</v>
      </c>
      <c r="AF267" s="167">
        <v>4.8994117647058797</v>
      </c>
      <c r="AG267" s="222">
        <v>3.22814442739097E-2</v>
      </c>
      <c r="AH267" s="223">
        <v>0.438824853258721</v>
      </c>
      <c r="AI267" s="223">
        <v>0.30947963869711997</v>
      </c>
      <c r="AJ267" s="167">
        <v>0.50875153093654601</v>
      </c>
      <c r="AK267" s="224">
        <v>0.32173697347410202</v>
      </c>
      <c r="AL267" s="224">
        <v>5.4075004263367601E-2</v>
      </c>
      <c r="AM267" s="82">
        <v>0</v>
      </c>
      <c r="AN267" s="195">
        <v>4.3129999999999997</v>
      </c>
    </row>
    <row r="268" spans="1:40" ht="16.05" customHeight="1">
      <c r="A268" s="186">
        <v>43609</v>
      </c>
      <c r="B268" s="187" t="s">
        <v>51</v>
      </c>
      <c r="C268" s="188">
        <v>31602</v>
      </c>
      <c r="D268" s="188">
        <v>124916</v>
      </c>
      <c r="E268" s="189">
        <v>3.9527877982406201</v>
      </c>
      <c r="F268" s="167">
        <v>0.29577968210637501</v>
      </c>
      <c r="G268" s="190">
        <v>6.89</v>
      </c>
      <c r="H268" s="190">
        <v>15.93</v>
      </c>
      <c r="I268" s="219">
        <v>0.24199999999999999</v>
      </c>
      <c r="J268" s="219">
        <v>0.108</v>
      </c>
      <c r="K268" s="219">
        <v>5.1999999999999998E-2</v>
      </c>
      <c r="L268" s="167">
        <v>9.3784142944058395</v>
      </c>
      <c r="M268" s="220">
        <v>9.3583688238496308</v>
      </c>
      <c r="N268" s="167">
        <v>14.9967287141922</v>
      </c>
      <c r="O268" s="193">
        <v>0.62402734637676505</v>
      </c>
      <c r="P268" s="167">
        <v>2.3116958089055899</v>
      </c>
      <c r="Q268" s="167">
        <v>2.6276763607907498</v>
      </c>
      <c r="R268" s="167">
        <v>0.81895036625572504</v>
      </c>
      <c r="S268" s="167">
        <v>4.7139869918282002</v>
      </c>
      <c r="T268" s="167">
        <v>1.4235481263870899</v>
      </c>
      <c r="U268" s="167">
        <v>0.51626021475029205</v>
      </c>
      <c r="V268" s="167">
        <v>1.7007094200202699</v>
      </c>
      <c r="W268" s="167">
        <v>0.88390142525432602</v>
      </c>
      <c r="X268" s="167">
        <v>1.9853341445451298E-3</v>
      </c>
      <c r="Y268" s="189">
        <v>9.3603541579941698</v>
      </c>
      <c r="Z268" s="207">
        <v>776</v>
      </c>
      <c r="AA268" s="207">
        <v>585</v>
      </c>
      <c r="AB268" s="167">
        <v>4488.24</v>
      </c>
      <c r="AC268" s="221"/>
      <c r="AD268" s="195">
        <v>6.2121745813186503E-3</v>
      </c>
      <c r="AE268" s="219">
        <v>4.6831470748342902E-3</v>
      </c>
      <c r="AF268" s="167">
        <v>5.7838144329896899</v>
      </c>
      <c r="AG268" s="222">
        <v>3.5930065003682503E-2</v>
      </c>
      <c r="AH268" s="223">
        <v>0.43826340105056599</v>
      </c>
      <c r="AI268" s="223">
        <v>0.29852540978419101</v>
      </c>
      <c r="AJ268" s="167">
        <v>0.49997598386115499</v>
      </c>
      <c r="AK268" s="224">
        <v>0.32126388933363198</v>
      </c>
      <c r="AL268" s="224">
        <v>5.6021646546479197E-2</v>
      </c>
      <c r="AM268" s="82">
        <v>0</v>
      </c>
      <c r="AN268" s="195">
        <v>3.5209999999999999</v>
      </c>
    </row>
    <row r="269" spans="1:40" ht="16.05" customHeight="1">
      <c r="A269" s="186">
        <v>43610</v>
      </c>
      <c r="B269" s="185" t="s">
        <v>51</v>
      </c>
      <c r="C269" s="188">
        <v>30999</v>
      </c>
      <c r="D269" s="188">
        <v>120695</v>
      </c>
      <c r="E269" s="189">
        <v>3.8935126939578701</v>
      </c>
      <c r="F269" s="167">
        <v>0.37805353394921098</v>
      </c>
      <c r="G269" s="190">
        <v>6.84</v>
      </c>
      <c r="H269" s="190">
        <v>15.88</v>
      </c>
      <c r="I269" s="219">
        <v>0.23100000000000001</v>
      </c>
      <c r="J269" s="219">
        <v>0.1</v>
      </c>
      <c r="K269" s="219">
        <v>5.0999999999999997E-2</v>
      </c>
      <c r="L269" s="167">
        <v>11.775168813952501</v>
      </c>
      <c r="M269" s="220">
        <v>12.7605948879407</v>
      </c>
      <c r="N269" s="167">
        <v>20.091315861565199</v>
      </c>
      <c r="O269" s="193">
        <v>0.63512987281991795</v>
      </c>
      <c r="P269" s="167">
        <v>2.7721799705180201</v>
      </c>
      <c r="Q269" s="167">
        <v>3.3214187875862602</v>
      </c>
      <c r="R269" s="167">
        <v>1.13998721577938</v>
      </c>
      <c r="S269" s="167">
        <v>7.36798987698449</v>
      </c>
      <c r="T269" s="167">
        <v>1.76255266968444</v>
      </c>
      <c r="U269" s="167">
        <v>0.46072765696544299</v>
      </c>
      <c r="V269" s="167">
        <v>2.2559322697209598</v>
      </c>
      <c r="W269" s="167">
        <v>1.01052741432615</v>
      </c>
      <c r="X269" s="167">
        <v>3.01586644020051E-3</v>
      </c>
      <c r="Y269" s="189">
        <v>12.763610754380901</v>
      </c>
      <c r="Z269" s="207">
        <v>748</v>
      </c>
      <c r="AA269" s="207">
        <v>824</v>
      </c>
      <c r="AB269" s="167">
        <v>4703.5200000000004</v>
      </c>
      <c r="AC269" s="221"/>
      <c r="AD269" s="195">
        <v>6.1974398276647804E-3</v>
      </c>
      <c r="AE269" s="219">
        <v>6.8271262272670804E-3</v>
      </c>
      <c r="AF269" s="167">
        <v>6.2881283422459902</v>
      </c>
      <c r="AG269" s="222">
        <v>3.8970297029702998E-2</v>
      </c>
      <c r="AH269" s="223">
        <v>0.44643375592761098</v>
      </c>
      <c r="AI269" s="223">
        <v>0.30313881092938499</v>
      </c>
      <c r="AJ269" s="167">
        <v>0.42214673350180199</v>
      </c>
      <c r="AK269" s="224">
        <v>0.290699697584821</v>
      </c>
      <c r="AL269" s="224">
        <v>5.1228302746592701E-2</v>
      </c>
      <c r="AM269" s="82">
        <v>0.31176105058204601</v>
      </c>
      <c r="AN269" s="195">
        <v>4.3259999999999996</v>
      </c>
    </row>
    <row r="270" spans="1:40" ht="16.05" customHeight="1">
      <c r="A270" s="186">
        <v>43611</v>
      </c>
      <c r="B270" s="185" t="s">
        <v>51</v>
      </c>
      <c r="C270" s="188">
        <v>35630</v>
      </c>
      <c r="D270" s="188">
        <v>124992</v>
      </c>
      <c r="E270" s="189">
        <v>3.5080550098231802</v>
      </c>
      <c r="F270" s="167">
        <v>0.395429987519201</v>
      </c>
      <c r="G270" s="190">
        <v>6.5</v>
      </c>
      <c r="H270" s="190">
        <v>14.64</v>
      </c>
      <c r="I270" s="219">
        <v>0.23100000000000001</v>
      </c>
      <c r="J270" s="219">
        <v>0.10199999999999999</v>
      </c>
      <c r="K270" s="219">
        <v>5.1999999999999998E-2</v>
      </c>
      <c r="L270" s="167">
        <v>11.5103046594982</v>
      </c>
      <c r="M270" s="220">
        <v>12.3499423963134</v>
      </c>
      <c r="N270" s="167">
        <v>19.6780419402129</v>
      </c>
      <c r="O270" s="193">
        <v>0.62760016641064997</v>
      </c>
      <c r="P270" s="167">
        <v>2.7125374466186498</v>
      </c>
      <c r="Q270" s="167">
        <v>3.4252533622283101</v>
      </c>
      <c r="R270" s="167">
        <v>1.1498247179552601</v>
      </c>
      <c r="S270" s="167">
        <v>6.9501179170119203</v>
      </c>
      <c r="T270" s="167">
        <v>1.7510485053222</v>
      </c>
      <c r="U270" s="167">
        <v>0.46891452610109002</v>
      </c>
      <c r="V270" s="167">
        <v>2.1917394352731199</v>
      </c>
      <c r="W270" s="167">
        <v>1.0286060297023401</v>
      </c>
      <c r="X270" s="167">
        <v>3.0561955965181802E-3</v>
      </c>
      <c r="Y270" s="189">
        <v>12.3529985919099</v>
      </c>
      <c r="Z270" s="207">
        <v>1048</v>
      </c>
      <c r="AA270" s="207">
        <v>732</v>
      </c>
      <c r="AB270" s="167">
        <v>7062.52</v>
      </c>
      <c r="AC270" s="221"/>
      <c r="AD270" s="195">
        <v>8.3845366103430605E-3</v>
      </c>
      <c r="AE270" s="219">
        <v>5.8563748079877099E-3</v>
      </c>
      <c r="AF270" s="167">
        <v>6.7390458015267196</v>
      </c>
      <c r="AG270" s="222">
        <v>5.6503776241679501E-2</v>
      </c>
      <c r="AH270" s="223">
        <v>0.43690710075778799</v>
      </c>
      <c r="AI270" s="223">
        <v>0.29811956216671298</v>
      </c>
      <c r="AJ270" s="167">
        <v>0.41461853558627798</v>
      </c>
      <c r="AK270" s="224">
        <v>0.275937660010241</v>
      </c>
      <c r="AL270" s="224">
        <v>4.8723118279569898E-2</v>
      </c>
      <c r="AM270" s="82">
        <v>0.31946044546850999</v>
      </c>
      <c r="AN270" s="195">
        <v>4.798</v>
      </c>
    </row>
    <row r="271" spans="1:40" ht="16.05" customHeight="1">
      <c r="A271" s="186">
        <v>43612</v>
      </c>
      <c r="B271" s="185" t="s">
        <v>51</v>
      </c>
      <c r="C271" s="188">
        <v>35904</v>
      </c>
      <c r="D271" s="188">
        <v>127484</v>
      </c>
      <c r="E271" s="189">
        <v>3.5506907308377902</v>
      </c>
      <c r="F271" s="167">
        <v>0.37334515572150201</v>
      </c>
      <c r="G271" s="190">
        <v>6.58</v>
      </c>
      <c r="H271" s="190">
        <v>14.81</v>
      </c>
      <c r="I271" s="219">
        <v>0.23899999999999999</v>
      </c>
      <c r="J271" s="219">
        <v>0.109</v>
      </c>
      <c r="K271" s="219">
        <v>5.6000000000000001E-2</v>
      </c>
      <c r="L271" s="167">
        <v>11.2802390888268</v>
      </c>
      <c r="M271" s="220">
        <v>11.9508173574723</v>
      </c>
      <c r="N271" s="167">
        <v>18.906678910922999</v>
      </c>
      <c r="O271" s="193">
        <v>0.63209500800100404</v>
      </c>
      <c r="P271" s="167">
        <v>2.6406021195800502</v>
      </c>
      <c r="Q271" s="167">
        <v>3.3344171154848499</v>
      </c>
      <c r="R271" s="167">
        <v>1.11933186071331</v>
      </c>
      <c r="S271" s="167">
        <v>6.76580377751855</v>
      </c>
      <c r="T271" s="167">
        <v>1.7046114516889601</v>
      </c>
      <c r="U271" s="167">
        <v>0.456479114442431</v>
      </c>
      <c r="V271" s="167">
        <v>2.13361544761857</v>
      </c>
      <c r="W271" s="167">
        <v>1.00132783996426</v>
      </c>
      <c r="X271" s="167">
        <v>2.2434187819647998E-3</v>
      </c>
      <c r="Y271" s="189">
        <v>11.953060776254301</v>
      </c>
      <c r="Z271" s="207">
        <v>913</v>
      </c>
      <c r="AA271" s="207">
        <v>663</v>
      </c>
      <c r="AB271" s="167">
        <v>6282.87</v>
      </c>
      <c r="AC271" s="221"/>
      <c r="AD271" s="195">
        <v>7.16168303473377E-3</v>
      </c>
      <c r="AE271" s="219">
        <v>5.2006526309183896E-3</v>
      </c>
      <c r="AF271" s="167">
        <v>6.8815662650602398</v>
      </c>
      <c r="AG271" s="222">
        <v>4.9283596372878199E-2</v>
      </c>
      <c r="AH271" s="223">
        <v>0.50946969696969702</v>
      </c>
      <c r="AI271" s="223">
        <v>0.40159870766488398</v>
      </c>
      <c r="AJ271" s="167">
        <v>0.42040569796994098</v>
      </c>
      <c r="AK271" s="224">
        <v>0.27765052869379703</v>
      </c>
      <c r="AL271" s="224">
        <v>4.8555112798468802E-2</v>
      </c>
      <c r="AM271" s="82">
        <v>0.31629851589218999</v>
      </c>
      <c r="AN271" s="195">
        <v>4.2450000000000001</v>
      </c>
    </row>
    <row r="272" spans="1:40" ht="16.05" customHeight="1">
      <c r="A272" s="186">
        <v>43613</v>
      </c>
      <c r="B272" s="185" t="s">
        <v>51</v>
      </c>
      <c r="C272" s="188">
        <v>59563</v>
      </c>
      <c r="D272" s="188">
        <v>151010</v>
      </c>
      <c r="E272" s="189">
        <v>2.5352987592968801</v>
      </c>
      <c r="F272" s="167">
        <v>0.29897216684325501</v>
      </c>
      <c r="G272" s="190">
        <v>6.75</v>
      </c>
      <c r="H272" s="190">
        <v>15.81</v>
      </c>
      <c r="I272" s="219">
        <v>0.22900000000000001</v>
      </c>
      <c r="J272" s="219">
        <v>0.09</v>
      </c>
      <c r="K272" s="219">
        <v>4.1000000000000002E-2</v>
      </c>
      <c r="L272" s="167">
        <v>9.3845904244751992</v>
      </c>
      <c r="M272" s="220">
        <v>9.5996622740215898</v>
      </c>
      <c r="N272" s="167">
        <v>16.895038635012799</v>
      </c>
      <c r="O272" s="193">
        <v>0.56819415932719697</v>
      </c>
      <c r="P272" s="167">
        <v>2.5031525704229498</v>
      </c>
      <c r="Q272" s="167">
        <v>2.98244816614804</v>
      </c>
      <c r="R272" s="167">
        <v>0.95240259664580496</v>
      </c>
      <c r="S272" s="167">
        <v>5.5831963917345497</v>
      </c>
      <c r="T272" s="167">
        <v>1.5470438096570001</v>
      </c>
      <c r="U272" s="167">
        <v>0.48492476953020303</v>
      </c>
      <c r="V272" s="167">
        <v>1.90183326923301</v>
      </c>
      <c r="W272" s="167">
        <v>0.94003706164120104</v>
      </c>
      <c r="X272" s="167">
        <v>3.0196675716839898E-3</v>
      </c>
      <c r="Y272" s="189">
        <v>9.6026819415932696</v>
      </c>
      <c r="Z272" s="207">
        <v>906</v>
      </c>
      <c r="AA272" s="207">
        <v>656</v>
      </c>
      <c r="AB272" s="167">
        <v>5482.94</v>
      </c>
      <c r="AC272" s="221"/>
      <c r="AD272" s="195">
        <v>5.9996026753195196E-3</v>
      </c>
      <c r="AE272" s="219">
        <v>4.3440831732997802E-3</v>
      </c>
      <c r="AF272" s="167">
        <v>6.0518101545253904</v>
      </c>
      <c r="AG272" s="222">
        <v>3.6308456393616302E-2</v>
      </c>
      <c r="AH272" s="223">
        <v>0.34041267229656003</v>
      </c>
      <c r="AI272" s="223">
        <v>0.19691754948541901</v>
      </c>
      <c r="AJ272" s="167">
        <v>0.39305344016952498</v>
      </c>
      <c r="AK272" s="224">
        <v>0.24360638368320001</v>
      </c>
      <c r="AL272" s="224">
        <v>4.53082577312761E-2</v>
      </c>
      <c r="AM272" s="82">
        <v>0.22952784583802399</v>
      </c>
      <c r="AN272" s="195">
        <v>4.0289999999999999</v>
      </c>
    </row>
    <row r="273" spans="1:40" s="166" customFormat="1" ht="16.05" customHeight="1">
      <c r="A273" s="196">
        <v>43614</v>
      </c>
      <c r="B273" s="197" t="s">
        <v>51</v>
      </c>
      <c r="C273" s="198">
        <v>80780</v>
      </c>
      <c r="D273" s="198">
        <v>174993</v>
      </c>
      <c r="E273" s="200">
        <v>2.1662911611785098</v>
      </c>
      <c r="F273" s="166">
        <v>0.21650075443589201</v>
      </c>
      <c r="G273" s="217">
        <v>7</v>
      </c>
      <c r="H273" s="217">
        <v>16.95</v>
      </c>
      <c r="I273" s="203">
        <v>0.17599999999999999</v>
      </c>
      <c r="J273" s="203">
        <v>7.2999999999999995E-2</v>
      </c>
      <c r="K273" s="203">
        <v>3.3000000000000002E-2</v>
      </c>
      <c r="L273" s="166">
        <v>7.96723868954758</v>
      </c>
      <c r="M273" s="204">
        <v>7.4061305309355197</v>
      </c>
      <c r="N273" s="166">
        <v>14.0595241969603</v>
      </c>
      <c r="O273" s="205">
        <v>0.52676964221426004</v>
      </c>
      <c r="P273" s="166">
        <v>2.2811208383506401</v>
      </c>
      <c r="Q273" s="166">
        <v>2.39522244280275</v>
      </c>
      <c r="R273" s="166">
        <v>0.74630346817673898</v>
      </c>
      <c r="S273" s="166">
        <v>4.3991494993545297</v>
      </c>
      <c r="T273" s="166">
        <v>1.3080027337520701</v>
      </c>
      <c r="U273" s="166">
        <v>0.518458250615637</v>
      </c>
      <c r="V273" s="166">
        <v>1.57384927479632</v>
      </c>
      <c r="W273" s="166">
        <v>0.83741768911163905</v>
      </c>
      <c r="X273" s="166">
        <v>9.2003680147205902E-4</v>
      </c>
      <c r="Y273" s="200">
        <v>7.4070505677370004</v>
      </c>
      <c r="Z273" s="206">
        <v>675</v>
      </c>
      <c r="AA273" s="206">
        <v>482</v>
      </c>
      <c r="AB273" s="166">
        <v>3496.25</v>
      </c>
      <c r="AC273" s="209"/>
      <c r="AD273" s="210">
        <v>3.8572971490288201E-3</v>
      </c>
      <c r="AE273" s="203">
        <v>2.7543958901213202E-3</v>
      </c>
      <c r="AF273" s="166">
        <v>5.1796296296296296</v>
      </c>
      <c r="AG273" s="211">
        <v>1.9979370603395601E-2</v>
      </c>
      <c r="AH273" s="212">
        <v>0.32198564000990298</v>
      </c>
      <c r="AI273" s="212">
        <v>0.18981183461252801</v>
      </c>
      <c r="AJ273" s="166">
        <v>0.394535781431257</v>
      </c>
      <c r="AK273" s="213">
        <v>0.225471876017898</v>
      </c>
      <c r="AL273" s="213">
        <v>3.9510151834644798E-2</v>
      </c>
      <c r="AM273" s="214">
        <v>0</v>
      </c>
      <c r="AN273" s="195">
        <v>4.633</v>
      </c>
    </row>
    <row r="274" spans="1:40" s="167" customFormat="1" ht="16.05" customHeight="1">
      <c r="A274" s="186">
        <v>43615</v>
      </c>
      <c r="B274" s="187" t="s">
        <v>51</v>
      </c>
      <c r="C274" s="188">
        <v>35664</v>
      </c>
      <c r="D274" s="188">
        <v>130296</v>
      </c>
      <c r="E274" s="189">
        <v>3.6534320323014802</v>
      </c>
      <c r="F274" s="167">
        <v>0.28695713676551798</v>
      </c>
      <c r="G274" s="190">
        <v>7.42</v>
      </c>
      <c r="H274" s="190">
        <v>16.920000000000002</v>
      </c>
      <c r="I274" s="219">
        <v>0.23599999999999999</v>
      </c>
      <c r="J274" s="219">
        <v>0.105</v>
      </c>
      <c r="K274" s="219">
        <v>0.05</v>
      </c>
      <c r="L274" s="167">
        <v>9.3949085159943504</v>
      </c>
      <c r="M274" s="220">
        <v>9.2422023699883304</v>
      </c>
      <c r="N274" s="167">
        <v>15.012054801351301</v>
      </c>
      <c r="O274" s="193">
        <v>0.61565205378522703</v>
      </c>
      <c r="P274" s="167">
        <v>2.2843038258723198</v>
      </c>
      <c r="Q274" s="167">
        <v>2.6133861899597299</v>
      </c>
      <c r="R274" s="167">
        <v>0.81391724946083699</v>
      </c>
      <c r="S274" s="167">
        <v>4.8004163705947596</v>
      </c>
      <c r="T274" s="167">
        <v>1.3906279217622199</v>
      </c>
      <c r="U274" s="167">
        <v>0.51835645810738396</v>
      </c>
      <c r="V274" s="167">
        <v>1.7001508408442101</v>
      </c>
      <c r="W274" s="167">
        <v>0.890895944749866</v>
      </c>
      <c r="X274" s="167">
        <v>1.5963651992386601E-3</v>
      </c>
      <c r="Y274" s="189">
        <v>9.2437987351875694</v>
      </c>
      <c r="Z274" s="207">
        <v>688</v>
      </c>
      <c r="AA274" s="207">
        <v>522</v>
      </c>
      <c r="AB274" s="167">
        <v>3421.12</v>
      </c>
      <c r="AC274" s="221"/>
      <c r="AD274" s="195">
        <v>5.2802848897893998E-3</v>
      </c>
      <c r="AE274" s="219">
        <v>4.0062626634739399E-3</v>
      </c>
      <c r="AF274" s="167">
        <v>4.9725581395348799</v>
      </c>
      <c r="AG274" s="222">
        <v>2.6256523607785302E-2</v>
      </c>
      <c r="AH274" s="223">
        <v>0.46172611036339201</v>
      </c>
      <c r="AI274" s="223">
        <v>0.334314715118887</v>
      </c>
      <c r="AJ274" s="167">
        <v>0.50481979492847096</v>
      </c>
      <c r="AK274" s="224">
        <v>0.29924172653036202</v>
      </c>
      <c r="AL274" s="224">
        <v>5.0861116227666203E-2</v>
      </c>
      <c r="AM274" s="82">
        <v>0</v>
      </c>
      <c r="AN274" s="195">
        <v>4.7009999999999996</v>
      </c>
    </row>
    <row r="275" spans="1:40" s="167" customFormat="1" ht="16.05" customHeight="1">
      <c r="A275" s="186">
        <v>43616</v>
      </c>
      <c r="B275" s="187" t="s">
        <v>51</v>
      </c>
      <c r="C275" s="188">
        <v>34618</v>
      </c>
      <c r="D275" s="188">
        <v>124511</v>
      </c>
      <c r="E275" s="189">
        <v>3.5967126928187598</v>
      </c>
      <c r="F275" s="167">
        <v>0.29261644995221298</v>
      </c>
      <c r="G275" s="190">
        <v>6.99</v>
      </c>
      <c r="H275" s="190">
        <v>16.18</v>
      </c>
      <c r="I275" s="219">
        <v>0.24199999999999999</v>
      </c>
      <c r="J275" s="219">
        <v>0.11</v>
      </c>
      <c r="K275" s="219">
        <v>5.0999999999999997E-2</v>
      </c>
      <c r="L275" s="167">
        <v>9.32556159696734</v>
      </c>
      <c r="M275" s="220">
        <v>9.1863369501489807</v>
      </c>
      <c r="N275" s="167">
        <v>14.9362096658353</v>
      </c>
      <c r="O275" s="193">
        <v>0.61503802876854297</v>
      </c>
      <c r="P275" s="167">
        <v>2.27576750806357</v>
      </c>
      <c r="Q275" s="167">
        <v>2.6200002611682098</v>
      </c>
      <c r="R275" s="167">
        <v>0.81535407879444799</v>
      </c>
      <c r="S275" s="167">
        <v>4.7368338578461504</v>
      </c>
      <c r="T275" s="167">
        <v>1.3862155421199001</v>
      </c>
      <c r="U275" s="167">
        <v>0.52073022630224997</v>
      </c>
      <c r="V275" s="167">
        <v>1.70207236970971</v>
      </c>
      <c r="W275" s="167">
        <v>0.87923582183104998</v>
      </c>
      <c r="X275" s="167">
        <v>1.19668141770607E-3</v>
      </c>
      <c r="Y275" s="189">
        <v>9.1875336315666907</v>
      </c>
      <c r="Z275" s="207">
        <v>794</v>
      </c>
      <c r="AA275" s="207">
        <v>565</v>
      </c>
      <c r="AB275" s="167">
        <v>4612.0600000000004</v>
      </c>
      <c r="AC275" s="221"/>
      <c r="AD275" s="195">
        <v>6.3769466151585002E-3</v>
      </c>
      <c r="AE275" s="219">
        <v>4.5377516845901203E-3</v>
      </c>
      <c r="AF275" s="167">
        <v>5.8086397984886702</v>
      </c>
      <c r="AG275" s="222">
        <v>3.7041385901647302E-2</v>
      </c>
      <c r="AH275" s="223">
        <v>0.439424576809752</v>
      </c>
      <c r="AI275" s="223">
        <v>0.30773008261598001</v>
      </c>
      <c r="AJ275" s="167">
        <v>0.50457389306968903</v>
      </c>
      <c r="AK275" s="224">
        <v>0.30852695745757402</v>
      </c>
      <c r="AL275" s="224">
        <v>5.1698243528684198E-2</v>
      </c>
      <c r="AM275" s="82">
        <v>0</v>
      </c>
      <c r="AN275" s="195">
        <v>4.99</v>
      </c>
    </row>
    <row r="276" spans="1:40" s="167" customFormat="1" ht="16.05" customHeight="1">
      <c r="A276" s="186">
        <v>43617</v>
      </c>
      <c r="B276" s="185" t="s">
        <v>51</v>
      </c>
      <c r="C276" s="188">
        <v>34765</v>
      </c>
      <c r="D276" s="188">
        <v>122541</v>
      </c>
      <c r="E276" s="189">
        <v>3.5248381993384101</v>
      </c>
      <c r="F276" s="167">
        <v>0.42991222738512003</v>
      </c>
      <c r="G276" s="190">
        <v>6.28</v>
      </c>
      <c r="H276" s="190">
        <v>14.91</v>
      </c>
      <c r="I276" s="219">
        <v>0.23400000000000001</v>
      </c>
      <c r="J276" s="219">
        <v>0.106</v>
      </c>
      <c r="K276" s="219">
        <v>5.2999999999999999E-2</v>
      </c>
      <c r="L276" s="167">
        <v>11.6436866028513</v>
      </c>
      <c r="M276" s="220">
        <v>12.220815890191901</v>
      </c>
      <c r="N276" s="167">
        <v>19.660640672180602</v>
      </c>
      <c r="O276" s="193">
        <v>0.62158787671065197</v>
      </c>
      <c r="P276" s="167">
        <v>2.7325850072206901</v>
      </c>
      <c r="Q276" s="167">
        <v>3.3351450702376302</v>
      </c>
      <c r="R276" s="167">
        <v>1.21634501772351</v>
      </c>
      <c r="S276" s="167">
        <v>6.9745175265852701</v>
      </c>
      <c r="T276" s="167">
        <v>1.7338716029932999</v>
      </c>
      <c r="U276" s="167">
        <v>0.46404096100827102</v>
      </c>
      <c r="V276" s="167">
        <v>2.2238020217933601</v>
      </c>
      <c r="W276" s="167">
        <v>0.98032033609032398</v>
      </c>
      <c r="X276" s="167">
        <v>2.2849495270970501E-3</v>
      </c>
      <c r="Y276" s="189">
        <v>12.223100839719001</v>
      </c>
      <c r="Z276" s="207">
        <v>1274</v>
      </c>
      <c r="AA276" s="207">
        <v>768</v>
      </c>
      <c r="AB276" s="167">
        <v>9285.26</v>
      </c>
      <c r="AC276" s="221"/>
      <c r="AD276" s="195">
        <v>1.03965203482916E-2</v>
      </c>
      <c r="AE276" s="219">
        <v>6.2672901314661999E-3</v>
      </c>
      <c r="AF276" s="167">
        <v>7.2882731554160101</v>
      </c>
      <c r="AG276" s="222">
        <v>7.5772680164189907E-2</v>
      </c>
      <c r="AH276" s="223">
        <v>0.44585071192291098</v>
      </c>
      <c r="AI276" s="223">
        <v>0.30729181648209403</v>
      </c>
      <c r="AJ276" s="167">
        <v>0.40715352412661898</v>
      </c>
      <c r="AK276" s="224">
        <v>0.27460196995291403</v>
      </c>
      <c r="AL276" s="224">
        <v>4.6531365012526402E-2</v>
      </c>
      <c r="AM276" s="82">
        <v>0.30480410638072197</v>
      </c>
      <c r="AN276" s="195">
        <v>5.6269999999999998</v>
      </c>
    </row>
    <row r="277" spans="1:40" s="167" customFormat="1" ht="16.05" customHeight="1">
      <c r="A277" s="186">
        <v>43618</v>
      </c>
      <c r="B277" s="185" t="s">
        <v>51</v>
      </c>
      <c r="C277" s="188">
        <v>49682</v>
      </c>
      <c r="D277" s="188">
        <v>136741</v>
      </c>
      <c r="E277" s="189">
        <v>2.7523247856366502</v>
      </c>
      <c r="F277" s="167">
        <v>0.358894030729627</v>
      </c>
      <c r="G277" s="190">
        <v>6.13</v>
      </c>
      <c r="H277" s="190">
        <v>15.17</v>
      </c>
      <c r="I277" s="219">
        <v>0.23200000000000001</v>
      </c>
      <c r="J277" s="219">
        <v>0.107</v>
      </c>
      <c r="K277" s="219">
        <v>5.8999999999999997E-2</v>
      </c>
      <c r="L277" s="167">
        <v>10.9120965913662</v>
      </c>
      <c r="M277" s="220">
        <v>11.444826350545901</v>
      </c>
      <c r="N277" s="167">
        <v>19.0446734977</v>
      </c>
      <c r="O277" s="193">
        <v>0.60094631456549197</v>
      </c>
      <c r="P277" s="167">
        <v>2.65764110302529</v>
      </c>
      <c r="Q277" s="167">
        <v>3.3741207681261698</v>
      </c>
      <c r="R277" s="167">
        <v>1.16521040718475</v>
      </c>
      <c r="S277" s="167">
        <v>6.5850634020493102</v>
      </c>
      <c r="T277" s="167">
        <v>1.68021515321148</v>
      </c>
      <c r="U277" s="167">
        <v>0.49357460997395802</v>
      </c>
      <c r="V277" s="167">
        <v>2.1038406308564799</v>
      </c>
      <c r="W277" s="167">
        <v>0.98500742327256796</v>
      </c>
      <c r="X277" s="167">
        <v>2.7204715484017202E-3</v>
      </c>
      <c r="Y277" s="189">
        <v>11.447546822094299</v>
      </c>
      <c r="Z277" s="207">
        <v>1098</v>
      </c>
      <c r="AA277" s="207">
        <v>743</v>
      </c>
      <c r="AB277" s="167">
        <v>7473.02</v>
      </c>
      <c r="AC277" s="221"/>
      <c r="AD277" s="195">
        <v>8.0297789251212205E-3</v>
      </c>
      <c r="AE277" s="219">
        <v>5.4336300012432304E-3</v>
      </c>
      <c r="AF277" s="167">
        <v>6.8060291438979998</v>
      </c>
      <c r="AG277" s="222">
        <v>5.4650909383432901E-2</v>
      </c>
      <c r="AH277" s="223">
        <v>0.43510728231552698</v>
      </c>
      <c r="AI277" s="223">
        <v>0.283704359727869</v>
      </c>
      <c r="AJ277" s="167">
        <v>0.38784270994069098</v>
      </c>
      <c r="AK277" s="224">
        <v>0.24026444153545801</v>
      </c>
      <c r="AL277" s="224">
        <v>4.0799760130465601E-2</v>
      </c>
      <c r="AM277" s="82">
        <v>0.30118984064764798</v>
      </c>
      <c r="AN277" s="195">
        <v>5.57</v>
      </c>
    </row>
    <row r="278" spans="1:40" s="167" customFormat="1" ht="16.05" customHeight="1">
      <c r="A278" s="186">
        <v>43619</v>
      </c>
      <c r="B278" s="185" t="s">
        <v>51</v>
      </c>
      <c r="C278" s="188">
        <v>32296</v>
      </c>
      <c r="D278" s="188">
        <v>125097</v>
      </c>
      <c r="E278" s="189">
        <v>3.8734518206589001</v>
      </c>
      <c r="F278" s="167">
        <v>0.35619868488452999</v>
      </c>
      <c r="G278" s="190">
        <v>5.96</v>
      </c>
      <c r="H278" s="190">
        <v>14.95</v>
      </c>
      <c r="I278" s="219">
        <v>0.25900000000000001</v>
      </c>
      <c r="J278" s="219">
        <v>0.11799999999999999</v>
      </c>
      <c r="K278" s="219">
        <v>6.5000000000000002E-2</v>
      </c>
      <c r="L278" s="167">
        <v>11.390920645579</v>
      </c>
      <c r="M278" s="220">
        <v>11.9679049057931</v>
      </c>
      <c r="N278" s="167">
        <v>18.721383018632</v>
      </c>
      <c r="O278" s="193">
        <v>0.63926393118939695</v>
      </c>
      <c r="P278" s="167">
        <v>2.5832312117043901</v>
      </c>
      <c r="Q278" s="167">
        <v>3.44951856946355</v>
      </c>
      <c r="R278" s="167">
        <v>1.1325622108290601</v>
      </c>
      <c r="S278" s="167">
        <v>6.3392272102038296</v>
      </c>
      <c r="T278" s="167">
        <v>1.68586970113793</v>
      </c>
      <c r="U278" s="167">
        <v>0.45680880330123802</v>
      </c>
      <c r="V278" s="167">
        <v>2.0864324121545601</v>
      </c>
      <c r="W278" s="167">
        <v>0.98772039514818</v>
      </c>
      <c r="X278" s="167">
        <v>2.1103623588095599E-3</v>
      </c>
      <c r="Y278" s="189">
        <v>11.970015268151901</v>
      </c>
      <c r="Z278" s="207">
        <v>954</v>
      </c>
      <c r="AA278" s="207">
        <v>689</v>
      </c>
      <c r="AB278" s="167">
        <v>6478.46</v>
      </c>
      <c r="AC278" s="221"/>
      <c r="AD278" s="195">
        <v>7.6260821602436501E-3</v>
      </c>
      <c r="AE278" s="219">
        <v>5.5077260046204101E-3</v>
      </c>
      <c r="AF278" s="167">
        <v>6.7908385744234803</v>
      </c>
      <c r="AG278" s="222">
        <v>5.17874929055053E-2</v>
      </c>
      <c r="AH278" s="223">
        <v>0.45652712410205598</v>
      </c>
      <c r="AI278" s="223">
        <v>0.33737924201139502</v>
      </c>
      <c r="AJ278" s="167">
        <v>0.42372718770234302</v>
      </c>
      <c r="AK278" s="224">
        <v>0.27226072567687498</v>
      </c>
      <c r="AL278" s="224">
        <v>4.6939574889885399E-2</v>
      </c>
      <c r="AM278" s="82">
        <v>0.325755213953972</v>
      </c>
      <c r="AN278" s="195">
        <v>5.0190000000000001</v>
      </c>
    </row>
    <row r="279" spans="1:40" s="167" customFormat="1" ht="16.05" customHeight="1">
      <c r="A279" s="186">
        <v>43620</v>
      </c>
      <c r="B279" s="185" t="s">
        <v>51</v>
      </c>
      <c r="C279" s="188">
        <v>36388</v>
      </c>
      <c r="D279" s="188">
        <v>126803</v>
      </c>
      <c r="E279" s="189">
        <v>3.4847477190282499</v>
      </c>
      <c r="F279" s="167">
        <v>0.364444883307177</v>
      </c>
      <c r="G279" s="190">
        <v>6.53</v>
      </c>
      <c r="H279" s="190">
        <v>15.95</v>
      </c>
      <c r="I279" s="219">
        <v>0.25</v>
      </c>
      <c r="J279" s="219">
        <v>0.11899999999999999</v>
      </c>
      <c r="K279" s="219">
        <v>6.2E-2</v>
      </c>
      <c r="L279" s="167">
        <v>10.785083949117899</v>
      </c>
      <c r="M279" s="220">
        <v>11.024959977287599</v>
      </c>
      <c r="N279" s="167">
        <v>17.542953946542902</v>
      </c>
      <c r="O279" s="193">
        <v>0.62845516273274304</v>
      </c>
      <c r="P279" s="167">
        <v>2.4649767850420399</v>
      </c>
      <c r="Q279" s="167">
        <v>3.1702974024344299</v>
      </c>
      <c r="R279" s="167">
        <v>1.0424770987576899</v>
      </c>
      <c r="S279" s="167">
        <v>5.8204919061362803</v>
      </c>
      <c r="T279" s="167">
        <v>1.5911155728447699</v>
      </c>
      <c r="U279" s="167">
        <v>0.49646128748902002</v>
      </c>
      <c r="V279" s="167">
        <v>1.9949429037520401</v>
      </c>
      <c r="W279" s="167">
        <v>0.96219099008658604</v>
      </c>
      <c r="X279" s="167">
        <v>1.6639984858402401E-3</v>
      </c>
      <c r="Y279" s="189">
        <v>11.026623975773401</v>
      </c>
      <c r="Z279" s="207">
        <v>971</v>
      </c>
      <c r="AA279" s="207">
        <v>668</v>
      </c>
      <c r="AB279" s="167">
        <v>6884.29</v>
      </c>
      <c r="AC279" s="221"/>
      <c r="AD279" s="195">
        <v>7.6575475343643304E-3</v>
      </c>
      <c r="AE279" s="219">
        <v>5.2680141637027498E-3</v>
      </c>
      <c r="AF279" s="167">
        <v>7.0898970133882599</v>
      </c>
      <c r="AG279" s="222">
        <v>5.4291223393768302E-2</v>
      </c>
      <c r="AH279" s="223">
        <v>0.44874683961745598</v>
      </c>
      <c r="AI279" s="223">
        <v>0.313042761349896</v>
      </c>
      <c r="AJ279" s="167">
        <v>0.46741796329739799</v>
      </c>
      <c r="AK279" s="224">
        <v>0.277800998399092</v>
      </c>
      <c r="AL279" s="224">
        <v>4.9927840823955301E-2</v>
      </c>
      <c r="AM279" s="82">
        <v>0.27326640536895802</v>
      </c>
      <c r="AN279" s="195">
        <v>5.0919999999999996</v>
      </c>
    </row>
    <row r="280" spans="1:40" s="166" customFormat="1" ht="16.5" customHeight="1">
      <c r="A280" s="196">
        <v>43621</v>
      </c>
      <c r="B280" s="197" t="s">
        <v>51</v>
      </c>
      <c r="C280" s="198">
        <v>18848</v>
      </c>
      <c r="D280" s="198">
        <v>105678</v>
      </c>
      <c r="E280" s="200">
        <v>5.6068548387096797</v>
      </c>
      <c r="F280" s="166">
        <v>0.30450362504967898</v>
      </c>
      <c r="G280" s="217">
        <v>6.58</v>
      </c>
      <c r="H280" s="217">
        <v>16.22</v>
      </c>
      <c r="I280" s="203">
        <v>0.25900000000000001</v>
      </c>
      <c r="J280" s="203">
        <v>0.122</v>
      </c>
      <c r="K280" s="203">
        <v>6.8000000000000005E-2</v>
      </c>
      <c r="L280" s="166">
        <v>10.2587955865932</v>
      </c>
      <c r="M280" s="204">
        <v>10.208160638921999</v>
      </c>
      <c r="N280" s="166">
        <v>15.4433246485527</v>
      </c>
      <c r="O280" s="205">
        <v>0.66100796759969005</v>
      </c>
      <c r="P280" s="166">
        <v>2.2273312909783298</v>
      </c>
      <c r="Q280" s="166">
        <v>2.73347267157214</v>
      </c>
      <c r="R280" s="166">
        <v>0.89529590288315597</v>
      </c>
      <c r="S280" s="166">
        <v>4.9507401150971999</v>
      </c>
      <c r="T280" s="166">
        <v>1.44286655023334</v>
      </c>
      <c r="U280" s="166">
        <v>0.51723594926561101</v>
      </c>
      <c r="V280" s="166">
        <v>1.7689466601769399</v>
      </c>
      <c r="W280" s="166">
        <v>0.90743550834597897</v>
      </c>
      <c r="X280" s="166">
        <v>1.24907738602169E-3</v>
      </c>
      <c r="Y280" s="200">
        <v>10.209409716308</v>
      </c>
      <c r="Z280" s="206">
        <v>671</v>
      </c>
      <c r="AA280" s="206">
        <v>488</v>
      </c>
      <c r="AB280" s="166">
        <v>3728.29</v>
      </c>
      <c r="AC280" s="209"/>
      <c r="AD280" s="210">
        <v>6.3494767122769203E-3</v>
      </c>
      <c r="AE280" s="203">
        <v>4.6178012452922999E-3</v>
      </c>
      <c r="AF280" s="166">
        <v>5.5563189269746598</v>
      </c>
      <c r="AG280" s="211">
        <v>3.5279717632809099E-2</v>
      </c>
      <c r="AH280" s="212">
        <v>0.51188455008488998</v>
      </c>
      <c r="AI280" s="212">
        <v>0.438773344651952</v>
      </c>
      <c r="AJ280" s="166">
        <v>0.58361248320369397</v>
      </c>
      <c r="AK280" s="213">
        <v>0.34162266507693201</v>
      </c>
      <c r="AL280" s="213">
        <v>5.9198697931452098E-2</v>
      </c>
      <c r="AM280" s="214">
        <v>0</v>
      </c>
      <c r="AN280" s="195">
        <v>5.3079999999999998</v>
      </c>
    </row>
    <row r="281" spans="1:40" s="167" customFormat="1" ht="16.5" customHeight="1">
      <c r="A281" s="186">
        <v>43622</v>
      </c>
      <c r="B281" s="187" t="s">
        <v>51</v>
      </c>
      <c r="C281" s="188">
        <v>20714</v>
      </c>
      <c r="D281" s="188">
        <v>101590</v>
      </c>
      <c r="E281" s="189">
        <v>4.9044124746548201</v>
      </c>
      <c r="F281" s="167">
        <v>0.32243070499064902</v>
      </c>
      <c r="G281" s="190">
        <v>7.47</v>
      </c>
      <c r="H281" s="190">
        <v>18.45</v>
      </c>
      <c r="I281" s="219">
        <v>0.27600000000000002</v>
      </c>
      <c r="J281" s="219">
        <v>0.124</v>
      </c>
      <c r="K281" s="219">
        <v>6.5000000000000002E-2</v>
      </c>
      <c r="L281" s="167">
        <v>9.9401220592577992</v>
      </c>
      <c r="M281" s="220">
        <v>9.8574662860517801</v>
      </c>
      <c r="N281" s="167">
        <v>15.2297959059525</v>
      </c>
      <c r="O281" s="193">
        <v>0.64724874495521201</v>
      </c>
      <c r="P281" s="167">
        <v>2.26643246038264</v>
      </c>
      <c r="Q281" s="167">
        <v>2.6742099339964098</v>
      </c>
      <c r="R281" s="167">
        <v>0.87720899108799499</v>
      </c>
      <c r="S281" s="167">
        <v>4.8140341272013902</v>
      </c>
      <c r="T281" s="167">
        <v>1.4643367703865899</v>
      </c>
      <c r="U281" s="167">
        <v>0.51037199257839805</v>
      </c>
      <c r="V281" s="167">
        <v>1.7320010949904201</v>
      </c>
      <c r="W281" s="167">
        <v>0.89120053532864896</v>
      </c>
      <c r="X281" s="167">
        <v>1.89979328674082E-3</v>
      </c>
      <c r="Y281" s="189">
        <v>9.8593660793385194</v>
      </c>
      <c r="Z281" s="207">
        <v>661</v>
      </c>
      <c r="AA281" s="207">
        <v>491</v>
      </c>
      <c r="AB281" s="167">
        <v>3493.39</v>
      </c>
      <c r="AC281" s="221"/>
      <c r="AD281" s="195">
        <v>6.5065459198739998E-3</v>
      </c>
      <c r="AE281" s="219">
        <v>4.8331528693769102E-3</v>
      </c>
      <c r="AF281" s="167">
        <v>5.28500756429652</v>
      </c>
      <c r="AG281" s="222">
        <v>3.4387144403976798E-2</v>
      </c>
      <c r="AH281" s="223">
        <v>0.47243410253934498</v>
      </c>
      <c r="AI281" s="223">
        <v>0.34416336777058998</v>
      </c>
      <c r="AJ281" s="167">
        <v>0.55205236735899199</v>
      </c>
      <c r="AK281" s="224">
        <v>0.34183482626242701</v>
      </c>
      <c r="AL281" s="224">
        <v>5.9730288414214003E-2</v>
      </c>
      <c r="AM281" s="82">
        <v>2.5209174131312101E-2</v>
      </c>
      <c r="AN281" s="195">
        <v>4.5890000000000004</v>
      </c>
    </row>
    <row r="282" spans="1:40" s="167" customFormat="1" ht="16.5" customHeight="1">
      <c r="A282" s="186">
        <v>43623</v>
      </c>
      <c r="B282" s="187" t="s">
        <v>51</v>
      </c>
      <c r="C282" s="188">
        <v>21923</v>
      </c>
      <c r="D282" s="188">
        <v>100463</v>
      </c>
      <c r="E282" s="189">
        <v>4.5825388861013501</v>
      </c>
      <c r="F282" s="167">
        <v>0.31724847191503303</v>
      </c>
      <c r="G282" s="190">
        <v>7.24</v>
      </c>
      <c r="H282" s="190">
        <v>18.329999999999998</v>
      </c>
      <c r="I282" s="219">
        <v>0.251</v>
      </c>
      <c r="J282" s="219">
        <v>0.124</v>
      </c>
      <c r="K282" s="219">
        <v>5.8999999999999997E-2</v>
      </c>
      <c r="L282" s="167">
        <v>9.8834695360481</v>
      </c>
      <c r="M282" s="220">
        <v>9.8097608074614495</v>
      </c>
      <c r="N282" s="167">
        <v>15.368462090259801</v>
      </c>
      <c r="O282" s="193">
        <v>0.63830464947293997</v>
      </c>
      <c r="P282" s="167">
        <v>2.2899447961825201</v>
      </c>
      <c r="Q282" s="167">
        <v>2.6955525060038101</v>
      </c>
      <c r="R282" s="167">
        <v>0.86783831831082603</v>
      </c>
      <c r="S282" s="167">
        <v>4.85204129370302</v>
      </c>
      <c r="T282" s="167">
        <v>1.4817390761937399</v>
      </c>
      <c r="U282" s="167">
        <v>0.52540311262202499</v>
      </c>
      <c r="V282" s="167">
        <v>1.75200386738608</v>
      </c>
      <c r="W282" s="167">
        <v>0.90393911985777997</v>
      </c>
      <c r="X282" s="167">
        <v>5.9723480286274502E-4</v>
      </c>
      <c r="Y282" s="189">
        <v>9.8103580422643208</v>
      </c>
      <c r="Z282" s="207">
        <v>676</v>
      </c>
      <c r="AA282" s="207">
        <v>502</v>
      </c>
      <c r="AB282" s="167">
        <v>3787.24</v>
      </c>
      <c r="AC282" s="221"/>
      <c r="AD282" s="195">
        <v>6.72884544558693E-3</v>
      </c>
      <c r="AE282" s="219">
        <v>4.9968645172849702E-3</v>
      </c>
      <c r="AF282" s="167">
        <v>5.60242603550296</v>
      </c>
      <c r="AG282" s="222">
        <v>3.7697858913231699E-2</v>
      </c>
      <c r="AH282" s="223">
        <v>0.462847238060484</v>
      </c>
      <c r="AI282" s="223">
        <v>0.33731697304201103</v>
      </c>
      <c r="AJ282" s="167">
        <v>0.54148293401550796</v>
      </c>
      <c r="AK282" s="224">
        <v>0.33860227148303401</v>
      </c>
      <c r="AL282" s="224">
        <v>5.8996844609458199E-2</v>
      </c>
      <c r="AM282" s="82">
        <v>1.62547405512477E-2</v>
      </c>
      <c r="AN282" s="195">
        <v>5.1920000000000002</v>
      </c>
    </row>
    <row r="283" spans="1:40" s="167" customFormat="1" ht="16.5" customHeight="1">
      <c r="A283" s="186">
        <v>43624</v>
      </c>
      <c r="B283" s="185" t="s">
        <v>51</v>
      </c>
      <c r="C283" s="188">
        <v>17210</v>
      </c>
      <c r="D283" s="188">
        <v>93044</v>
      </c>
      <c r="E283" s="189">
        <v>5.4063916327716397</v>
      </c>
      <c r="F283" s="167">
        <v>0.51898945824556098</v>
      </c>
      <c r="G283" s="190">
        <v>6.29</v>
      </c>
      <c r="H283" s="190">
        <v>15.51</v>
      </c>
      <c r="I283" s="219">
        <v>0.23499999999999999</v>
      </c>
      <c r="J283" s="219">
        <v>0.111</v>
      </c>
      <c r="K283" s="219">
        <v>0.06</v>
      </c>
      <c r="L283" s="167">
        <v>12.9813314130949</v>
      </c>
      <c r="M283" s="220">
        <v>14.084379433386401</v>
      </c>
      <c r="N283" s="167">
        <v>21.091320232404701</v>
      </c>
      <c r="O283" s="193">
        <v>0.667780834873823</v>
      </c>
      <c r="P283" s="167">
        <v>2.8139635942252901</v>
      </c>
      <c r="Q283" s="167">
        <v>3.4838491622809098</v>
      </c>
      <c r="R283" s="167">
        <v>1.2481772970884999</v>
      </c>
      <c r="S283" s="167">
        <v>7.8085397453849001</v>
      </c>
      <c r="T283" s="167">
        <v>1.90269261101186</v>
      </c>
      <c r="U283" s="167">
        <v>0.44488436096760198</v>
      </c>
      <c r="V283" s="167">
        <v>2.3709622905702301</v>
      </c>
      <c r="W283" s="167">
        <v>1.0182511708753801</v>
      </c>
      <c r="X283" s="167">
        <v>2.4182107390052E-3</v>
      </c>
      <c r="Y283" s="189">
        <v>14.086797644125401</v>
      </c>
      <c r="Z283" s="207">
        <v>1189</v>
      </c>
      <c r="AA283" s="207">
        <v>741</v>
      </c>
      <c r="AB283" s="167">
        <v>9241.11</v>
      </c>
      <c r="AC283" s="221"/>
      <c r="AD283" s="195">
        <v>1.27789003052319E-2</v>
      </c>
      <c r="AE283" s="219">
        <v>7.9639740337904604E-3</v>
      </c>
      <c r="AF283" s="167">
        <v>7.7721698906644203</v>
      </c>
      <c r="AG283" s="222">
        <v>9.9319784188125995E-2</v>
      </c>
      <c r="AH283" s="223">
        <v>0.48192911098198699</v>
      </c>
      <c r="AI283" s="223">
        <v>0.36316095293433998</v>
      </c>
      <c r="AJ283" s="167">
        <v>0.45203344654142102</v>
      </c>
      <c r="AK283" s="224">
        <v>0.31610850780276001</v>
      </c>
      <c r="AL283" s="224">
        <v>5.6629121705859597E-2</v>
      </c>
      <c r="AM283" s="82">
        <v>0.347803189888655</v>
      </c>
      <c r="AN283" s="195">
        <v>4.8070000000000004</v>
      </c>
    </row>
    <row r="284" spans="1:40" s="167" customFormat="1" ht="16.5" customHeight="1">
      <c r="A284" s="186">
        <v>43625</v>
      </c>
      <c r="B284" s="185" t="s">
        <v>51</v>
      </c>
      <c r="C284" s="188">
        <v>15397</v>
      </c>
      <c r="D284" s="188">
        <v>89754</v>
      </c>
      <c r="E284" s="189">
        <v>5.8293173994934104</v>
      </c>
      <c r="F284" s="167">
        <v>0.45254898589477899</v>
      </c>
      <c r="G284" s="190">
        <v>6.52</v>
      </c>
      <c r="H284" s="190">
        <v>15.73</v>
      </c>
      <c r="I284" s="219">
        <v>0.26800000000000002</v>
      </c>
      <c r="J284" s="219">
        <v>0.124</v>
      </c>
      <c r="K284" s="219">
        <v>7.1999999999999995E-2</v>
      </c>
      <c r="L284" s="167">
        <v>12.566426008868699</v>
      </c>
      <c r="M284" s="220">
        <v>13.782505515074501</v>
      </c>
      <c r="N284" s="167">
        <v>20.397635458233001</v>
      </c>
      <c r="O284" s="193">
        <v>0.67569133409096005</v>
      </c>
      <c r="P284" s="167">
        <v>2.76972924842529</v>
      </c>
      <c r="Q284" s="167">
        <v>3.5865679517198199</v>
      </c>
      <c r="R284" s="167">
        <v>1.2388451010783901</v>
      </c>
      <c r="S284" s="167">
        <v>7.1436203541865897</v>
      </c>
      <c r="T284" s="167">
        <v>1.90413217689543</v>
      </c>
      <c r="U284" s="167">
        <v>0.44171091250865702</v>
      </c>
      <c r="V284" s="167">
        <v>2.27160900966263</v>
      </c>
      <c r="W284" s="167">
        <v>1.04142070375622</v>
      </c>
      <c r="X284" s="167">
        <v>2.3842948503687901E-3</v>
      </c>
      <c r="Y284" s="189">
        <v>13.7848898099249</v>
      </c>
      <c r="Z284" s="207">
        <v>920</v>
      </c>
      <c r="AA284" s="207">
        <v>616</v>
      </c>
      <c r="AB284" s="167">
        <v>5990.8</v>
      </c>
      <c r="AC284" s="221"/>
      <c r="AD284" s="195">
        <v>1.0250239543641499E-2</v>
      </c>
      <c r="AE284" s="219">
        <v>6.8632038683512702E-3</v>
      </c>
      <c r="AF284" s="167">
        <v>6.5117391304347798</v>
      </c>
      <c r="AG284" s="222">
        <v>6.6746885932660399E-2</v>
      </c>
      <c r="AH284" s="223">
        <v>0.50042216016107</v>
      </c>
      <c r="AI284" s="223">
        <v>0.36682470611158002</v>
      </c>
      <c r="AJ284" s="167">
        <v>0.454063328653876</v>
      </c>
      <c r="AK284" s="224">
        <v>0.31677696815740802</v>
      </c>
      <c r="AL284" s="224">
        <v>5.7624172738819403E-2</v>
      </c>
      <c r="AM284" s="82">
        <v>0.36615638300242898</v>
      </c>
      <c r="AN284" s="195">
        <v>5.8019999999999996</v>
      </c>
    </row>
    <row r="285" spans="1:40" s="167" customFormat="1" ht="16.5" customHeight="1">
      <c r="A285" s="186">
        <v>43626</v>
      </c>
      <c r="B285" s="185" t="s">
        <v>51</v>
      </c>
      <c r="C285" s="188">
        <v>27443</v>
      </c>
      <c r="D285" s="188">
        <v>102986</v>
      </c>
      <c r="E285" s="189">
        <v>3.75272382756987</v>
      </c>
      <c r="F285" s="167">
        <v>0.422359933835667</v>
      </c>
      <c r="G285" s="190">
        <v>6.56</v>
      </c>
      <c r="H285" s="190">
        <v>15.46</v>
      </c>
      <c r="I285" s="219">
        <v>0.26700000000000002</v>
      </c>
      <c r="J285" s="219">
        <v>0.11799999999999999</v>
      </c>
      <c r="K285" s="219">
        <v>6.2E-2</v>
      </c>
      <c r="L285" s="167">
        <v>11.498931893655399</v>
      </c>
      <c r="M285" s="220">
        <v>12.320839725788</v>
      </c>
      <c r="N285" s="167">
        <v>19.267401603498499</v>
      </c>
      <c r="O285" s="193">
        <v>0.63946555842541697</v>
      </c>
      <c r="P285" s="167">
        <v>2.6921768707483</v>
      </c>
      <c r="Q285" s="167">
        <v>3.4295280612244898</v>
      </c>
      <c r="R285" s="167">
        <v>1.1463344266277899</v>
      </c>
      <c r="S285" s="167">
        <v>6.5491375121477198</v>
      </c>
      <c r="T285" s="167">
        <v>1.8301293731778401</v>
      </c>
      <c r="U285" s="167">
        <v>0.45282130709426599</v>
      </c>
      <c r="V285" s="167">
        <v>2.1576166180757999</v>
      </c>
      <c r="W285" s="167">
        <v>1.0096422497570501</v>
      </c>
      <c r="X285" s="167">
        <v>2.24302332355854E-3</v>
      </c>
      <c r="Y285" s="189">
        <v>12.323082749111499</v>
      </c>
      <c r="Z285" s="207">
        <v>911</v>
      </c>
      <c r="AA285" s="207">
        <v>637</v>
      </c>
      <c r="AB285" s="167">
        <v>6811.89</v>
      </c>
      <c r="AC285" s="221"/>
      <c r="AD285" s="195">
        <v>8.8458625444235092E-3</v>
      </c>
      <c r="AE285" s="219">
        <v>6.1853067407220399E-3</v>
      </c>
      <c r="AF285" s="167">
        <v>7.4773765093304103</v>
      </c>
      <c r="AG285" s="222">
        <v>6.6143844794438106E-2</v>
      </c>
      <c r="AH285" s="223">
        <v>0.42495354006486202</v>
      </c>
      <c r="AI285" s="223">
        <v>0.255365667018912</v>
      </c>
      <c r="AJ285" s="167">
        <v>0.434408560386849</v>
      </c>
      <c r="AK285" s="224">
        <v>0.28609713941700798</v>
      </c>
      <c r="AL285" s="224">
        <v>5.2919814343697198E-2</v>
      </c>
      <c r="AM285" s="82">
        <v>0.32716097333618199</v>
      </c>
      <c r="AN285" s="195">
        <v>5.1609999999999996</v>
      </c>
    </row>
    <row r="286" spans="1:40" s="167" customFormat="1" ht="16.5" customHeight="1">
      <c r="A286" s="186">
        <v>43627</v>
      </c>
      <c r="B286" s="185" t="s">
        <v>51</v>
      </c>
      <c r="C286" s="188">
        <v>27732</v>
      </c>
      <c r="D286" s="188">
        <v>104362</v>
      </c>
      <c r="E286" s="189">
        <v>3.76323380931776</v>
      </c>
      <c r="F286" s="167">
        <v>0.36702234338169099</v>
      </c>
      <c r="G286" s="190">
        <v>6.73</v>
      </c>
      <c r="H286" s="190">
        <v>16.64</v>
      </c>
      <c r="I286" s="219">
        <v>0.22600000000000001</v>
      </c>
      <c r="J286" s="219">
        <v>0.105</v>
      </c>
      <c r="K286" s="219">
        <v>5.3999999999999999E-2</v>
      </c>
      <c r="L286" s="167">
        <v>10.828232498419</v>
      </c>
      <c r="M286" s="220">
        <v>11.218642801019501</v>
      </c>
      <c r="N286" s="167">
        <v>17.7179176755448</v>
      </c>
      <c r="O286" s="193">
        <v>0.63318065962706704</v>
      </c>
      <c r="P286" s="167">
        <v>2.4979418886198501</v>
      </c>
      <c r="Q286" s="167">
        <v>3.1485472154963698</v>
      </c>
      <c r="R286" s="167">
        <v>1.0330205811138</v>
      </c>
      <c r="S286" s="167">
        <v>5.8605175544794204</v>
      </c>
      <c r="T286" s="167">
        <v>1.6881204600484301</v>
      </c>
      <c r="U286" s="167">
        <v>0.48209745762711897</v>
      </c>
      <c r="V286" s="167">
        <v>2.03689467312349</v>
      </c>
      <c r="W286" s="167">
        <v>0.97071731234866798</v>
      </c>
      <c r="X286" s="167">
        <v>1.28399225771833E-3</v>
      </c>
      <c r="Y286" s="189">
        <v>11.2199267932772</v>
      </c>
      <c r="Z286" s="207">
        <v>794</v>
      </c>
      <c r="AA286" s="207">
        <v>544</v>
      </c>
      <c r="AB286" s="167">
        <v>5325.06</v>
      </c>
      <c r="AC286" s="221"/>
      <c r="AD286" s="195">
        <v>7.6081332285697903E-3</v>
      </c>
      <c r="AE286" s="219">
        <v>5.2126252850654498E-3</v>
      </c>
      <c r="AF286" s="167">
        <v>6.7066246851385403</v>
      </c>
      <c r="AG286" s="222">
        <v>5.1024894118548901E-2</v>
      </c>
      <c r="AH286" s="223">
        <v>0.42777296985432001</v>
      </c>
      <c r="AI286" s="223">
        <v>0.29633636232511201</v>
      </c>
      <c r="AJ286" s="167">
        <v>0.47655276824898002</v>
      </c>
      <c r="AK286" s="224">
        <v>0.29114045342174399</v>
      </c>
      <c r="AL286" s="224">
        <v>5.6064467909775602E-2</v>
      </c>
      <c r="AM286" s="82">
        <v>0.280820605201127</v>
      </c>
      <c r="AN286" s="195">
        <v>5.1459999999999999</v>
      </c>
    </row>
    <row r="287" spans="1:40" s="166" customFormat="1" ht="13.95" customHeight="1">
      <c r="A287" s="196">
        <v>43628</v>
      </c>
      <c r="B287" s="197" t="s">
        <v>51</v>
      </c>
      <c r="C287" s="198">
        <v>18784</v>
      </c>
      <c r="D287" s="198">
        <v>91710</v>
      </c>
      <c r="E287" s="200">
        <v>4.8823466780238496</v>
      </c>
      <c r="F287" s="166">
        <v>0.30333715433431502</v>
      </c>
      <c r="G287" s="217">
        <v>7.17</v>
      </c>
      <c r="H287" s="217">
        <v>17.66</v>
      </c>
      <c r="I287" s="203">
        <v>0.23899999999999999</v>
      </c>
      <c r="J287" s="203">
        <v>0.106</v>
      </c>
      <c r="K287" s="203">
        <v>5.2999999999999999E-2</v>
      </c>
      <c r="L287" s="166">
        <v>9.9757605495583892</v>
      </c>
      <c r="M287" s="204">
        <v>10.0332242939701</v>
      </c>
      <c r="N287" s="166">
        <v>15.4800053834895</v>
      </c>
      <c r="O287" s="205">
        <v>0.64814087885726701</v>
      </c>
      <c r="P287" s="166">
        <v>2.2884036271260602</v>
      </c>
      <c r="Q287" s="166">
        <v>2.6491647179556201</v>
      </c>
      <c r="R287" s="166">
        <v>0.89857169293921701</v>
      </c>
      <c r="S287" s="166">
        <v>4.9999158829764001</v>
      </c>
      <c r="T287" s="166">
        <v>1.4981914839925301</v>
      </c>
      <c r="U287" s="166">
        <v>0.50234686495852998</v>
      </c>
      <c r="V287" s="166">
        <v>1.75619521878838</v>
      </c>
      <c r="W287" s="166">
        <v>0.88721589475277995</v>
      </c>
      <c r="X287" s="166">
        <v>1.1667211863482701E-3</v>
      </c>
      <c r="Y287" s="200">
        <v>10.034391015156499</v>
      </c>
      <c r="Z287" s="206">
        <v>507</v>
      </c>
      <c r="AA287" s="206">
        <v>384</v>
      </c>
      <c r="AB287" s="166">
        <v>2525.9299999999998</v>
      </c>
      <c r="AC287" s="209"/>
      <c r="AD287" s="210">
        <v>5.5282957147530301E-3</v>
      </c>
      <c r="AE287" s="203">
        <v>4.1871115472685598E-3</v>
      </c>
      <c r="AF287" s="166">
        <v>4.98211045364891</v>
      </c>
      <c r="AG287" s="211">
        <v>2.7542579871333499E-2</v>
      </c>
      <c r="AH287" s="212">
        <v>0.44356899488926699</v>
      </c>
      <c r="AI287" s="212">
        <v>0.32836456558773403</v>
      </c>
      <c r="AJ287" s="166">
        <v>0.56757169338131097</v>
      </c>
      <c r="AK287" s="213">
        <v>0.34014829353396597</v>
      </c>
      <c r="AL287" s="213">
        <v>6.5467233671355402E-2</v>
      </c>
      <c r="AM287" s="214">
        <v>0</v>
      </c>
      <c r="AN287" s="195">
        <v>4.7629999999999999</v>
      </c>
    </row>
    <row r="288" spans="1:40" s="167" customFormat="1" ht="13.95" customHeight="1">
      <c r="A288" s="186">
        <v>43629</v>
      </c>
      <c r="B288" s="187" t="s">
        <v>51</v>
      </c>
      <c r="C288" s="188">
        <v>14843</v>
      </c>
      <c r="D288" s="188">
        <v>84336</v>
      </c>
      <c r="E288" s="189">
        <v>5.6818702418648499</v>
      </c>
      <c r="F288" s="167">
        <v>0.335416700981787</v>
      </c>
      <c r="G288" s="190">
        <v>7.96</v>
      </c>
      <c r="H288" s="190">
        <v>18.86</v>
      </c>
      <c r="I288" s="219">
        <v>0.24099999999999999</v>
      </c>
      <c r="J288" s="219">
        <v>0.106</v>
      </c>
      <c r="K288" s="219">
        <v>5.6000000000000001E-2</v>
      </c>
      <c r="L288" s="167">
        <v>9.8559926958831294</v>
      </c>
      <c r="M288" s="220">
        <v>9.8743004173781106</v>
      </c>
      <c r="N288" s="167">
        <v>15.2068770315182</v>
      </c>
      <c r="O288" s="193">
        <v>0.64933124644280005</v>
      </c>
      <c r="P288" s="167">
        <v>2.3305576859866299</v>
      </c>
      <c r="Q288" s="167">
        <v>2.61862240239582</v>
      </c>
      <c r="R288" s="167">
        <v>0.85674372740221305</v>
      </c>
      <c r="S288" s="167">
        <v>4.7683430115773699</v>
      </c>
      <c r="T288" s="167">
        <v>1.52733647419744</v>
      </c>
      <c r="U288" s="167">
        <v>0.50021913005368701</v>
      </c>
      <c r="V288" s="167">
        <v>1.71902048866002</v>
      </c>
      <c r="W288" s="167">
        <v>0.88603411124502396</v>
      </c>
      <c r="X288" s="167">
        <v>2.7153291595522701E-3</v>
      </c>
      <c r="Y288" s="189">
        <v>9.8770157465376602</v>
      </c>
      <c r="Z288" s="207">
        <v>528</v>
      </c>
      <c r="AA288" s="207">
        <v>399</v>
      </c>
      <c r="AB288" s="167">
        <v>2704.72</v>
      </c>
      <c r="AC288" s="221"/>
      <c r="AD288" s="195">
        <v>6.2606715993170203E-3</v>
      </c>
      <c r="AE288" s="219">
        <v>4.7310756972111599E-3</v>
      </c>
      <c r="AF288" s="167">
        <v>5.1225757575757598</v>
      </c>
      <c r="AG288" s="222">
        <v>3.2070764560804398E-2</v>
      </c>
      <c r="AH288" s="223">
        <v>0.44815738058344001</v>
      </c>
      <c r="AI288" s="223">
        <v>0.33847604931617598</v>
      </c>
      <c r="AJ288" s="167">
        <v>0.55218412066021605</v>
      </c>
      <c r="AK288" s="224">
        <v>0.35590969455511301</v>
      </c>
      <c r="AL288" s="224">
        <v>6.8393094289508599E-2</v>
      </c>
      <c r="AM288" s="82">
        <v>0</v>
      </c>
      <c r="AN288" s="195">
        <v>4.6440000000000001</v>
      </c>
    </row>
    <row r="289" spans="1:40" s="167" customFormat="1" ht="13.95" customHeight="1">
      <c r="A289" s="186">
        <v>43630</v>
      </c>
      <c r="B289" s="187" t="s">
        <v>51</v>
      </c>
      <c r="C289" s="188">
        <v>14819</v>
      </c>
      <c r="D289" s="188">
        <v>81643</v>
      </c>
      <c r="E289" s="189">
        <v>5.5093461097240004</v>
      </c>
      <c r="F289" s="167">
        <v>0.334187559864287</v>
      </c>
      <c r="G289" s="190">
        <v>7.5</v>
      </c>
      <c r="H289" s="190">
        <v>17.84</v>
      </c>
      <c r="I289" s="219">
        <v>0.23699999999999999</v>
      </c>
      <c r="J289" s="219">
        <v>0.11600000000000001</v>
      </c>
      <c r="K289" s="219">
        <v>5.8000000000000003E-2</v>
      </c>
      <c r="L289" s="167">
        <v>9.6723295322317906</v>
      </c>
      <c r="M289" s="220">
        <v>9.7335840182256899</v>
      </c>
      <c r="N289" s="167">
        <v>15.059295054008</v>
      </c>
      <c r="O289" s="193">
        <v>0.64635057506461102</v>
      </c>
      <c r="P289" s="167">
        <v>2.32512791358727</v>
      </c>
      <c r="Q289" s="167">
        <v>2.5981049838923602</v>
      </c>
      <c r="R289" s="167">
        <v>0.85571347356452498</v>
      </c>
      <c r="S289" s="167">
        <v>4.6816751942391504</v>
      </c>
      <c r="T289" s="167">
        <v>1.5209967784726199</v>
      </c>
      <c r="U289" s="167">
        <v>0.498673488724654</v>
      </c>
      <c r="V289" s="167">
        <v>1.70475649043017</v>
      </c>
      <c r="W289" s="167">
        <v>0.87424673109721396</v>
      </c>
      <c r="X289" s="167">
        <v>6.3569442573153797E-3</v>
      </c>
      <c r="Y289" s="189">
        <v>9.7399409624830096</v>
      </c>
      <c r="Z289" s="207">
        <v>513</v>
      </c>
      <c r="AA289" s="207">
        <v>384</v>
      </c>
      <c r="AB289" s="167">
        <v>3296.87</v>
      </c>
      <c r="AC289" s="221"/>
      <c r="AD289" s="195">
        <v>6.2834535722597201E-3</v>
      </c>
      <c r="AE289" s="219">
        <v>4.7034038435628299E-3</v>
      </c>
      <c r="AF289" s="167">
        <v>6.4266471734892798</v>
      </c>
      <c r="AG289" s="222">
        <v>4.0381539139913998E-2</v>
      </c>
      <c r="AH289" s="223">
        <v>0.65665699439908198</v>
      </c>
      <c r="AI289" s="223">
        <v>0.44388960118766402</v>
      </c>
      <c r="AJ289" s="167">
        <v>0.465110297269821</v>
      </c>
      <c r="AK289" s="224">
        <v>0.35682177284029198</v>
      </c>
      <c r="AL289" s="224">
        <v>6.9509939615153796E-2</v>
      </c>
      <c r="AM289" s="82">
        <v>1.6853863772766799E-2</v>
      </c>
      <c r="AN289" s="195">
        <v>5.1449999999999996</v>
      </c>
    </row>
    <row r="290" spans="1:40" s="167" customFormat="1" ht="13.95" customHeight="1">
      <c r="A290" s="186">
        <v>43631</v>
      </c>
      <c r="B290" s="185" t="s">
        <v>51</v>
      </c>
      <c r="C290" s="188">
        <v>11452</v>
      </c>
      <c r="D290" s="188">
        <v>75607</v>
      </c>
      <c r="E290" s="189">
        <v>6.6020782396088</v>
      </c>
      <c r="F290" s="167">
        <v>0.57807483296520201</v>
      </c>
      <c r="G290" s="190">
        <v>6.68</v>
      </c>
      <c r="H290" s="190">
        <v>15.67</v>
      </c>
      <c r="I290" s="219">
        <v>0.22700000000000001</v>
      </c>
      <c r="J290" s="219">
        <v>0.109</v>
      </c>
      <c r="K290" s="219">
        <v>6.0999999999999999E-2</v>
      </c>
      <c r="L290" s="167">
        <v>13.3303926885077</v>
      </c>
      <c r="M290" s="220">
        <v>14.395042787043501</v>
      </c>
      <c r="N290" s="167">
        <v>21.458743271752201</v>
      </c>
      <c r="O290" s="193">
        <v>0.67082413004086905</v>
      </c>
      <c r="P290" s="167">
        <v>2.8488929198130899</v>
      </c>
      <c r="Q290" s="167">
        <v>3.3902876634002999</v>
      </c>
      <c r="R290" s="167">
        <v>1.3315325617618601</v>
      </c>
      <c r="S290" s="167">
        <v>8.1519548887004891</v>
      </c>
      <c r="T290" s="167">
        <v>1.9620457816597301</v>
      </c>
      <c r="U290" s="167">
        <v>0.42552100790630698</v>
      </c>
      <c r="V290" s="167">
        <v>2.3701571403221702</v>
      </c>
      <c r="W290" s="167">
        <v>0.97754293262879799</v>
      </c>
      <c r="X290" s="167">
        <v>3.04204637136773E-3</v>
      </c>
      <c r="Y290" s="189">
        <v>14.398084833414901</v>
      </c>
      <c r="Z290" s="207">
        <v>923</v>
      </c>
      <c r="AA290" s="207">
        <v>612</v>
      </c>
      <c r="AB290" s="167">
        <v>8316.77</v>
      </c>
      <c r="AC290" s="221"/>
      <c r="AD290" s="195">
        <v>1.22078643511844E-2</v>
      </c>
      <c r="AE290" s="219">
        <v>8.0944886055524003E-3</v>
      </c>
      <c r="AF290" s="167">
        <v>9.0105850487540593</v>
      </c>
      <c r="AG290" s="222">
        <v>0.11</v>
      </c>
      <c r="AH290" s="223">
        <v>0.44586098498078902</v>
      </c>
      <c r="AI290" s="223">
        <v>0.334788683199441</v>
      </c>
      <c r="AJ290" s="167">
        <v>0.451915827899533</v>
      </c>
      <c r="AK290" s="224">
        <v>0.32961233748197899</v>
      </c>
      <c r="AL290" s="224">
        <v>6.7797955215786895E-2</v>
      </c>
      <c r="AM290" s="82">
        <v>0.36140833520705801</v>
      </c>
      <c r="AN290" s="195">
        <v>4.7279999999999998</v>
      </c>
    </row>
    <row r="291" spans="1:40" s="167" customFormat="1" ht="13.95" customHeight="1">
      <c r="A291" s="186">
        <v>43632</v>
      </c>
      <c r="B291" s="185" t="s">
        <v>51</v>
      </c>
      <c r="C291" s="188">
        <v>11467</v>
      </c>
      <c r="D291" s="188">
        <v>75030</v>
      </c>
      <c r="E291" s="189">
        <v>6.5431237464027197</v>
      </c>
      <c r="F291" s="167">
        <v>0.46130701495401799</v>
      </c>
      <c r="G291" s="190">
        <v>6.69</v>
      </c>
      <c r="H291" s="190">
        <v>15.64</v>
      </c>
      <c r="I291" s="219">
        <v>0.22600000000000001</v>
      </c>
      <c r="J291" s="219">
        <v>0.109</v>
      </c>
      <c r="K291" s="219">
        <v>6.3E-2</v>
      </c>
      <c r="L291" s="167">
        <v>12.945235239237601</v>
      </c>
      <c r="M291" s="220">
        <v>13.746541383446599</v>
      </c>
      <c r="N291" s="167">
        <v>20.4165445979651</v>
      </c>
      <c r="O291" s="193">
        <v>0.67330401172864196</v>
      </c>
      <c r="P291" s="167">
        <v>2.7491983055544602</v>
      </c>
      <c r="Q291" s="167">
        <v>3.4724652599073602</v>
      </c>
      <c r="R291" s="167">
        <v>1.2741003206777799</v>
      </c>
      <c r="S291" s="167">
        <v>7.3380181321509204</v>
      </c>
      <c r="T291" s="167">
        <v>1.92604616176412</v>
      </c>
      <c r="U291" s="167">
        <v>0.41606951977513001</v>
      </c>
      <c r="V291" s="167">
        <v>2.2462488617918401</v>
      </c>
      <c r="W291" s="167">
        <v>0.99437824141889997</v>
      </c>
      <c r="X291" s="167">
        <v>1.4927362388377999E-3</v>
      </c>
      <c r="Y291" s="189">
        <v>13.748034119685499</v>
      </c>
      <c r="Z291" s="207">
        <v>704</v>
      </c>
      <c r="AA291" s="207">
        <v>509</v>
      </c>
      <c r="AB291" s="167">
        <v>5140.96</v>
      </c>
      <c r="AC291" s="221"/>
      <c r="AD291" s="195">
        <v>9.3829135012661602E-3</v>
      </c>
      <c r="AE291" s="219">
        <v>6.7839530854324898E-3</v>
      </c>
      <c r="AF291" s="167">
        <v>7.3025000000000002</v>
      </c>
      <c r="AG291" s="222">
        <v>6.8518725842996106E-2</v>
      </c>
      <c r="AH291" s="223">
        <v>0.43821400540681998</v>
      </c>
      <c r="AI291" s="223">
        <v>0.32161855760007002</v>
      </c>
      <c r="AJ291" s="167">
        <v>0.43895775023324002</v>
      </c>
      <c r="AK291" s="224">
        <v>0.321178195388511</v>
      </c>
      <c r="AL291" s="224">
        <v>6.4814074370251898E-2</v>
      </c>
      <c r="AM291" s="82">
        <v>0.38054111688657899</v>
      </c>
      <c r="AN291" s="195">
        <v>5.9539999999999997</v>
      </c>
    </row>
    <row r="292" spans="1:40" s="167" customFormat="1" ht="13.95" customHeight="1">
      <c r="A292" s="186">
        <v>43633</v>
      </c>
      <c r="B292" s="185" t="s">
        <v>51</v>
      </c>
      <c r="C292" s="188">
        <v>11658</v>
      </c>
      <c r="D292" s="188">
        <v>75560</v>
      </c>
      <c r="E292" s="189">
        <v>6.4813861725853501</v>
      </c>
      <c r="F292" s="167">
        <v>0.44868065888036002</v>
      </c>
      <c r="G292" s="190">
        <v>6.5</v>
      </c>
      <c r="H292" s="190">
        <v>15.33</v>
      </c>
      <c r="I292" s="219">
        <v>0.22800000000000001</v>
      </c>
      <c r="J292" s="219">
        <v>0.107</v>
      </c>
      <c r="K292" s="219">
        <v>5.8999999999999997E-2</v>
      </c>
      <c r="L292" s="167">
        <v>12.5386844891477</v>
      </c>
      <c r="M292" s="220">
        <v>13.0981868713605</v>
      </c>
      <c r="N292" s="167">
        <v>19.430627270050099</v>
      </c>
      <c r="O292" s="193">
        <v>0.67410005293806197</v>
      </c>
      <c r="P292" s="167">
        <v>2.7519387454599</v>
      </c>
      <c r="Q292" s="167">
        <v>3.3942083047020701</v>
      </c>
      <c r="R292" s="167">
        <v>1.17545891822912</v>
      </c>
      <c r="S292" s="167">
        <v>6.6223422008442103</v>
      </c>
      <c r="T292" s="167">
        <v>1.9324629429665301</v>
      </c>
      <c r="U292" s="167">
        <v>0.415902620987533</v>
      </c>
      <c r="V292" s="167">
        <v>2.1635614017865898</v>
      </c>
      <c r="W292" s="167">
        <v>0.97475213507411396</v>
      </c>
      <c r="X292" s="167">
        <v>1.77342509264161E-3</v>
      </c>
      <c r="Y292" s="189">
        <v>13.0999602964531</v>
      </c>
      <c r="Z292" s="207">
        <v>743</v>
      </c>
      <c r="AA292" s="207">
        <v>493</v>
      </c>
      <c r="AB292" s="167">
        <v>5415.57</v>
      </c>
      <c r="AC292" s="221"/>
      <c r="AD292" s="195">
        <v>9.8332451032292194E-3</v>
      </c>
      <c r="AE292" s="219">
        <v>6.5246161990471204E-3</v>
      </c>
      <c r="AF292" s="167">
        <v>7.2887886944818296</v>
      </c>
      <c r="AG292" s="222">
        <v>7.1672445738485996E-2</v>
      </c>
      <c r="AH292" s="223">
        <v>0.43172070681077401</v>
      </c>
      <c r="AI292" s="223">
        <v>0.30734259735803698</v>
      </c>
      <c r="AJ292" s="167">
        <v>0.45170725251455801</v>
      </c>
      <c r="AK292" s="224">
        <v>0.32220751720487001</v>
      </c>
      <c r="AL292" s="224">
        <v>6.9229751191106401E-2</v>
      </c>
      <c r="AM292" s="82">
        <v>0.37297511911064102</v>
      </c>
      <c r="AN292" s="195">
        <v>4.8070000000000004</v>
      </c>
    </row>
    <row r="293" spans="1:40" s="167" customFormat="1" ht="13.95" customHeight="1">
      <c r="A293" s="186">
        <v>43634</v>
      </c>
      <c r="B293" s="185" t="s">
        <v>51</v>
      </c>
      <c r="C293" s="188">
        <v>11680</v>
      </c>
      <c r="D293" s="188">
        <v>73679</v>
      </c>
      <c r="E293" s="189">
        <v>6.3081335616438396</v>
      </c>
      <c r="F293" s="167">
        <v>0.41152686301388502</v>
      </c>
      <c r="G293" s="190">
        <v>7.1</v>
      </c>
      <c r="H293" s="190">
        <v>16.440000000000001</v>
      </c>
      <c r="I293" s="219">
        <v>0.23599999999999999</v>
      </c>
      <c r="J293" s="219">
        <v>0.111</v>
      </c>
      <c r="K293" s="219">
        <v>6.2E-2</v>
      </c>
      <c r="L293" s="167">
        <v>11.253885096160399</v>
      </c>
      <c r="M293" s="220">
        <v>11.922420228287599</v>
      </c>
      <c r="N293" s="167">
        <v>17.8408920121047</v>
      </c>
      <c r="O293" s="193">
        <v>0.66826368436053696</v>
      </c>
      <c r="P293" s="167">
        <v>2.5377460040213702</v>
      </c>
      <c r="Q293" s="167">
        <v>3.1159900075146698</v>
      </c>
      <c r="R293" s="167">
        <v>1.09068383532709</v>
      </c>
      <c r="S293" s="167">
        <v>5.9194101996466104</v>
      </c>
      <c r="T293" s="167">
        <v>1.77819525966245</v>
      </c>
      <c r="U293" s="167">
        <v>0.44643256087901401</v>
      </c>
      <c r="V293" s="167">
        <v>2.0107033328594301</v>
      </c>
      <c r="W293" s="167">
        <v>0.94173081219408195</v>
      </c>
      <c r="X293" s="167">
        <v>2.2394440749738702E-3</v>
      </c>
      <c r="Y293" s="189">
        <v>11.9246596723625</v>
      </c>
      <c r="Z293" s="207">
        <v>663</v>
      </c>
      <c r="AA293" s="207">
        <v>471</v>
      </c>
      <c r="AB293" s="167">
        <v>4153.37</v>
      </c>
      <c r="AC293" s="221"/>
      <c r="AD293" s="195">
        <v>8.9984934648950198E-3</v>
      </c>
      <c r="AE293" s="219">
        <v>6.3925949049254199E-3</v>
      </c>
      <c r="AF293" s="167">
        <v>6.2645098039215696</v>
      </c>
      <c r="AG293" s="222">
        <v>5.6371150531359E-2</v>
      </c>
      <c r="AH293" s="223">
        <v>0.41857876712328801</v>
      </c>
      <c r="AI293" s="223">
        <v>0.28467465753424698</v>
      </c>
      <c r="AJ293" s="167">
        <v>0.49704800553753398</v>
      </c>
      <c r="AK293" s="224">
        <v>0.33735528440939799</v>
      </c>
      <c r="AL293" s="224">
        <v>7.5082452259123994E-2</v>
      </c>
      <c r="AM293" s="82">
        <v>0.321814899767912</v>
      </c>
      <c r="AN293" s="195">
        <v>4.7969999999999997</v>
      </c>
    </row>
    <row r="294" spans="1:40" s="166" customFormat="1" ht="13.95" customHeight="1">
      <c r="A294" s="196">
        <v>43635</v>
      </c>
      <c r="B294" s="197" t="s">
        <v>51</v>
      </c>
      <c r="C294" s="198">
        <v>13372</v>
      </c>
      <c r="D294" s="198">
        <v>71969</v>
      </c>
      <c r="E294" s="200">
        <v>5.3820670056835196</v>
      </c>
      <c r="F294" s="166">
        <v>0.344383698981506</v>
      </c>
      <c r="G294" s="217">
        <v>8.27</v>
      </c>
      <c r="H294" s="217">
        <v>18.89</v>
      </c>
      <c r="I294" s="203">
        <v>0.24099999999999999</v>
      </c>
      <c r="J294" s="203">
        <v>0.104</v>
      </c>
      <c r="K294" s="203">
        <v>5.7000000000000002E-2</v>
      </c>
      <c r="L294" s="166">
        <v>9.6543094943656307</v>
      </c>
      <c r="M294" s="204">
        <v>9.7167947310647609</v>
      </c>
      <c r="N294" s="166">
        <v>15.1152707230088</v>
      </c>
      <c r="O294" s="205">
        <v>0.64284622545818304</v>
      </c>
      <c r="P294" s="166">
        <v>2.3799200259375302</v>
      </c>
      <c r="Q294" s="166">
        <v>2.5117043121149898</v>
      </c>
      <c r="R294" s="166">
        <v>0.89063006592456495</v>
      </c>
      <c r="S294" s="166">
        <v>4.7280233437803902</v>
      </c>
      <c r="T294" s="166">
        <v>1.56617313303793</v>
      </c>
      <c r="U294" s="166">
        <v>0.49086782665081602</v>
      </c>
      <c r="V294" s="166">
        <v>1.69581757267913</v>
      </c>
      <c r="W294" s="166">
        <v>0.85213444288338902</v>
      </c>
      <c r="X294" s="166">
        <v>2.0147563534299502E-3</v>
      </c>
      <c r="Y294" s="200">
        <v>9.7188094874181896</v>
      </c>
      <c r="Z294" s="206">
        <v>430</v>
      </c>
      <c r="AA294" s="206">
        <v>331</v>
      </c>
      <c r="AB294" s="166">
        <v>2357.6999999999998</v>
      </c>
      <c r="AC294" s="209"/>
      <c r="AD294" s="210">
        <v>5.9747947032750201E-3</v>
      </c>
      <c r="AE294" s="203">
        <v>4.5992024343814702E-3</v>
      </c>
      <c r="AF294" s="166">
        <v>5.4830232558139498</v>
      </c>
      <c r="AG294" s="211">
        <v>3.2759938306771E-2</v>
      </c>
      <c r="AH294" s="212">
        <v>0.41422375112174697</v>
      </c>
      <c r="AI294" s="212">
        <v>0.27520191444809999</v>
      </c>
      <c r="AJ294" s="166">
        <v>0.55301588183801398</v>
      </c>
      <c r="AK294" s="213">
        <v>0.35349942336283702</v>
      </c>
      <c r="AL294" s="213">
        <v>7.8603287526573903E-2</v>
      </c>
      <c r="AM294" s="214">
        <v>0</v>
      </c>
      <c r="AN294" s="195">
        <v>5.1710000000000003</v>
      </c>
    </row>
    <row r="295" spans="1:40" s="167" customFormat="1" ht="13.95" customHeight="1">
      <c r="A295" s="186">
        <v>43636</v>
      </c>
      <c r="B295" s="187" t="s">
        <v>51</v>
      </c>
      <c r="C295" s="188">
        <v>14043</v>
      </c>
      <c r="D295" s="188">
        <v>71160</v>
      </c>
      <c r="E295" s="189">
        <v>5.0672933133945701</v>
      </c>
      <c r="F295" s="167">
        <v>0.36455569215851602</v>
      </c>
      <c r="G295" s="190">
        <v>8.11</v>
      </c>
      <c r="H295" s="190">
        <v>18.239999999999998</v>
      </c>
      <c r="I295" s="219">
        <v>0.23599999999999999</v>
      </c>
      <c r="J295" s="219">
        <v>0.104</v>
      </c>
      <c r="K295" s="219">
        <v>5.6000000000000001E-2</v>
      </c>
      <c r="L295" s="167">
        <v>9.6122681281618902</v>
      </c>
      <c r="M295" s="220">
        <v>9.7358909499718909</v>
      </c>
      <c r="N295" s="167">
        <v>15.2405737163976</v>
      </c>
      <c r="O295" s="193">
        <v>0.63881394041596395</v>
      </c>
      <c r="P295" s="167">
        <v>2.4011835100532402</v>
      </c>
      <c r="Q295" s="167">
        <v>2.5510801179110398</v>
      </c>
      <c r="R295" s="167">
        <v>0.86583219675304701</v>
      </c>
      <c r="S295" s="167">
        <v>4.7773329226978696</v>
      </c>
      <c r="T295" s="167">
        <v>1.5718245413348599</v>
      </c>
      <c r="U295" s="167">
        <v>0.50299177262528005</v>
      </c>
      <c r="V295" s="167">
        <v>1.7097100620352801</v>
      </c>
      <c r="W295" s="167">
        <v>0.860618592986933</v>
      </c>
      <c r="X295" s="167">
        <v>2.7262507026419298E-3</v>
      </c>
      <c r="Y295" s="189">
        <v>9.7386172006745397</v>
      </c>
      <c r="Z295" s="207">
        <v>521</v>
      </c>
      <c r="AA295" s="207">
        <v>372</v>
      </c>
      <c r="AB295" s="167">
        <v>3084.79</v>
      </c>
      <c r="AC295" s="221"/>
      <c r="AD295" s="195">
        <v>7.3215289488476696E-3</v>
      </c>
      <c r="AE295" s="219">
        <v>5.2276559865092704E-3</v>
      </c>
      <c r="AF295" s="167">
        <v>5.9209021113243798</v>
      </c>
      <c r="AG295" s="222">
        <v>4.3350056211354702E-2</v>
      </c>
      <c r="AH295" s="223">
        <v>0.43630278430534802</v>
      </c>
      <c r="AI295" s="223">
        <v>0.287687815993734</v>
      </c>
      <c r="AJ295" s="167">
        <v>0.538617200674536</v>
      </c>
      <c r="AK295" s="224">
        <v>0.34808881394041602</v>
      </c>
      <c r="AL295" s="224">
        <v>7.6616076447442394E-2</v>
      </c>
      <c r="AM295" s="82">
        <v>2.4761101742552E-2</v>
      </c>
      <c r="AN295" s="195">
        <v>5.3239999999999998</v>
      </c>
    </row>
    <row r="296" spans="1:40" s="167" customFormat="1" ht="13.95" customHeight="1">
      <c r="A296" s="186">
        <v>43637</v>
      </c>
      <c r="B296" s="187" t="s">
        <v>51</v>
      </c>
      <c r="C296" s="188">
        <v>12993</v>
      </c>
      <c r="D296" s="188">
        <v>69207</v>
      </c>
      <c r="E296" s="189">
        <v>5.3264834911105998</v>
      </c>
      <c r="F296" s="167">
        <v>0.36406562625167999</v>
      </c>
      <c r="G296" s="190">
        <v>8.39</v>
      </c>
      <c r="H296" s="190">
        <v>18.77</v>
      </c>
      <c r="I296" s="219">
        <v>0.24199999999999999</v>
      </c>
      <c r="J296" s="219">
        <v>0.11899999999999999</v>
      </c>
      <c r="K296" s="219">
        <v>6.4000000000000001E-2</v>
      </c>
      <c r="L296" s="167">
        <v>9.66380568439609</v>
      </c>
      <c r="M296" s="220">
        <v>9.6893666825610101</v>
      </c>
      <c r="N296" s="167">
        <v>15.1575949367089</v>
      </c>
      <c r="O296" s="193">
        <v>0.63924169520424201</v>
      </c>
      <c r="P296" s="167">
        <v>2.4016274864376101</v>
      </c>
      <c r="Q296" s="167">
        <v>2.56724683544304</v>
      </c>
      <c r="R296" s="167">
        <v>0.85230560578661896</v>
      </c>
      <c r="S296" s="167">
        <v>4.7124095840868003</v>
      </c>
      <c r="T296" s="167">
        <v>1.5820750452079599</v>
      </c>
      <c r="U296" s="167">
        <v>0.50345840867992797</v>
      </c>
      <c r="V296" s="167">
        <v>1.6872061482820999</v>
      </c>
      <c r="W296" s="167">
        <v>0.85126582278481</v>
      </c>
      <c r="X296" s="167">
        <v>2.5286459462193099E-3</v>
      </c>
      <c r="Y296" s="189">
        <v>9.6918953285072291</v>
      </c>
      <c r="Z296" s="207">
        <v>503</v>
      </c>
      <c r="AA296" s="207">
        <v>369</v>
      </c>
      <c r="AB296" s="167">
        <v>2802.97</v>
      </c>
      <c r="AC296" s="221"/>
      <c r="AD296" s="195">
        <v>7.26805091970465E-3</v>
      </c>
      <c r="AE296" s="219">
        <v>5.3318305951710098E-3</v>
      </c>
      <c r="AF296" s="167">
        <v>5.5725049701789304</v>
      </c>
      <c r="AG296" s="222">
        <v>4.05012498735677E-2</v>
      </c>
      <c r="AH296" s="223">
        <v>0.43477256984530099</v>
      </c>
      <c r="AI296" s="223">
        <v>0.29969983837450898</v>
      </c>
      <c r="AJ296" s="167">
        <v>0.54166486049099105</v>
      </c>
      <c r="AK296" s="224">
        <v>0.35409712890314599</v>
      </c>
      <c r="AL296" s="224">
        <v>7.9139393413961007E-2</v>
      </c>
      <c r="AM296" s="82">
        <v>1.7902813299232701E-2</v>
      </c>
      <c r="AN296" s="195">
        <v>5.6669999999999998</v>
      </c>
    </row>
    <row r="297" spans="1:40" s="167" customFormat="1" ht="13.95" customHeight="1">
      <c r="A297" s="186">
        <v>43638</v>
      </c>
      <c r="B297" s="185" t="s">
        <v>51</v>
      </c>
      <c r="C297" s="188">
        <v>9394</v>
      </c>
      <c r="D297" s="188">
        <v>63888</v>
      </c>
      <c r="E297" s="189">
        <v>6.8009367681498798</v>
      </c>
      <c r="F297" s="167">
        <v>0.39311300103305802</v>
      </c>
      <c r="G297" s="190">
        <v>8.6</v>
      </c>
      <c r="H297" s="190">
        <v>19.100000000000001</v>
      </c>
      <c r="I297" s="219">
        <v>0.24299999999999999</v>
      </c>
      <c r="J297" s="219">
        <v>0.12</v>
      </c>
      <c r="K297" s="219">
        <v>6.2E-2</v>
      </c>
      <c r="L297" s="167">
        <v>9.5841159529175997</v>
      </c>
      <c r="M297" s="220">
        <v>9.7152986476333592</v>
      </c>
      <c r="N297" s="167">
        <v>14.963621022179399</v>
      </c>
      <c r="O297" s="193">
        <v>0.64926120711244695</v>
      </c>
      <c r="P297" s="167">
        <v>2.3500964320154298</v>
      </c>
      <c r="Q297" s="167">
        <v>2.5310028929604602</v>
      </c>
      <c r="R297" s="167">
        <v>0.84074252651880399</v>
      </c>
      <c r="S297" s="167">
        <v>4.6551350048215996</v>
      </c>
      <c r="T297" s="167">
        <v>1.56752651880424</v>
      </c>
      <c r="U297" s="167">
        <v>0.492984570877531</v>
      </c>
      <c r="V297" s="167">
        <v>1.67478302796528</v>
      </c>
      <c r="W297" s="167">
        <v>0.85135004821600802</v>
      </c>
      <c r="X297" s="167">
        <v>2.7861257200100199E-3</v>
      </c>
      <c r="Y297" s="189">
        <v>9.71808477335337</v>
      </c>
      <c r="Z297" s="207">
        <v>492</v>
      </c>
      <c r="AA297" s="207">
        <v>353</v>
      </c>
      <c r="AB297" s="167">
        <v>3158.08</v>
      </c>
      <c r="AC297" s="221"/>
      <c r="AD297" s="195">
        <v>7.7009767092411701E-3</v>
      </c>
      <c r="AE297" s="219">
        <v>5.5252942649636899E-3</v>
      </c>
      <c r="AF297" s="167">
        <v>6.41886178861788</v>
      </c>
      <c r="AG297" s="222">
        <v>4.9431505133984498E-2</v>
      </c>
      <c r="AH297" s="223">
        <v>0.465722801788376</v>
      </c>
      <c r="AI297" s="223">
        <v>0.34671066638279802</v>
      </c>
      <c r="AJ297" s="167">
        <v>0.53728399699474105</v>
      </c>
      <c r="AK297" s="224">
        <v>0.36612509391435</v>
      </c>
      <c r="AL297" s="224">
        <v>8.2331580265464596E-2</v>
      </c>
      <c r="AM297" s="82">
        <v>1.52767342849987E-2</v>
      </c>
      <c r="AN297" s="195">
        <v>5.5830000000000002</v>
      </c>
    </row>
    <row r="298" spans="1:40" s="167" customFormat="1" ht="13.95" customHeight="1">
      <c r="A298" s="186">
        <v>43639</v>
      </c>
      <c r="B298" s="185" t="s">
        <v>51</v>
      </c>
      <c r="C298" s="188">
        <v>9241</v>
      </c>
      <c r="D298" s="188">
        <v>61841</v>
      </c>
      <c r="E298" s="189">
        <v>6.6920246726544699</v>
      </c>
      <c r="F298" s="167">
        <v>0.36120556756844202</v>
      </c>
      <c r="G298" s="190">
        <v>7.81</v>
      </c>
      <c r="H298" s="190">
        <v>17.899999999999999</v>
      </c>
      <c r="I298" s="219">
        <v>0.249</v>
      </c>
      <c r="J298" s="219">
        <v>0.11899999999999999</v>
      </c>
      <c r="K298" s="219">
        <v>6.7000000000000004E-2</v>
      </c>
      <c r="L298" s="167">
        <v>9.6897365825261605</v>
      </c>
      <c r="M298" s="220">
        <v>10.0137125855015</v>
      </c>
      <c r="N298" s="167">
        <v>15.418235235534301</v>
      </c>
      <c r="O298" s="193">
        <v>0.64947203311718804</v>
      </c>
      <c r="P298" s="167">
        <v>2.3626879792849298</v>
      </c>
      <c r="Q298" s="167">
        <v>2.5949357633701799</v>
      </c>
      <c r="R298" s="167">
        <v>0.86189124589184296</v>
      </c>
      <c r="S298" s="167">
        <v>4.9093964744547396</v>
      </c>
      <c r="T298" s="167">
        <v>1.56906682601335</v>
      </c>
      <c r="U298" s="167">
        <v>0.48887063041529699</v>
      </c>
      <c r="V298" s="167">
        <v>1.74905387909571</v>
      </c>
      <c r="W298" s="167">
        <v>0.88233243700826602</v>
      </c>
      <c r="X298" s="167">
        <v>1.4715156611309599E-3</v>
      </c>
      <c r="Y298" s="189">
        <v>10.015184101162699</v>
      </c>
      <c r="Z298" s="207">
        <v>455</v>
      </c>
      <c r="AA298" s="207">
        <v>339</v>
      </c>
      <c r="AB298" s="167">
        <v>2716.45</v>
      </c>
      <c r="AC298" s="221"/>
      <c r="AD298" s="195">
        <v>7.3575783056548201E-3</v>
      </c>
      <c r="AE298" s="219">
        <v>5.4818001002571101E-3</v>
      </c>
      <c r="AF298" s="167">
        <v>5.9702197802197796</v>
      </c>
      <c r="AG298" s="222">
        <v>4.3926359534936399E-2</v>
      </c>
      <c r="AH298" s="223">
        <v>0.45687696136781702</v>
      </c>
      <c r="AI298" s="223">
        <v>0.32983443350286801</v>
      </c>
      <c r="AJ298" s="167">
        <v>0.55435714170210704</v>
      </c>
      <c r="AK298" s="224">
        <v>0.361831147620511</v>
      </c>
      <c r="AL298" s="224">
        <v>8.0351223298459007E-2</v>
      </c>
      <c r="AM298" s="82">
        <v>1.3405345967885399E-2</v>
      </c>
      <c r="AN298" s="195">
        <v>5.8150000000000004</v>
      </c>
    </row>
    <row r="299" spans="1:40" s="167" customFormat="1" ht="15" customHeight="1">
      <c r="A299" s="186">
        <v>43640</v>
      </c>
      <c r="B299" s="185" t="s">
        <v>51</v>
      </c>
      <c r="C299" s="188">
        <v>9648</v>
      </c>
      <c r="D299" s="188">
        <v>62482</v>
      </c>
      <c r="E299" s="189">
        <v>6.4761608623548899</v>
      </c>
      <c r="F299" s="167">
        <v>0.64650003653852295</v>
      </c>
      <c r="G299" s="190">
        <v>6.83</v>
      </c>
      <c r="H299" s="190">
        <v>14.46</v>
      </c>
      <c r="I299" s="219">
        <v>0.25700000000000001</v>
      </c>
      <c r="J299" s="219">
        <v>0.124</v>
      </c>
      <c r="K299" s="219">
        <v>7.0000000000000007E-2</v>
      </c>
      <c r="L299" s="167">
        <v>13.383406421049299</v>
      </c>
      <c r="M299" s="220">
        <v>15.060993566147101</v>
      </c>
      <c r="N299" s="167">
        <v>22.2673623435319</v>
      </c>
      <c r="O299" s="193">
        <v>0.67637079478889905</v>
      </c>
      <c r="P299" s="167">
        <v>2.9791060315657498</v>
      </c>
      <c r="Q299" s="167">
        <v>3.5921771846383201</v>
      </c>
      <c r="R299" s="167">
        <v>1.28979437306263</v>
      </c>
      <c r="S299" s="167">
        <v>8.3847755613922992</v>
      </c>
      <c r="T299" s="167">
        <v>2.0527673268498101</v>
      </c>
      <c r="U299" s="167">
        <v>0.428243534227775</v>
      </c>
      <c r="V299" s="167">
        <v>2.5140910058919599</v>
      </c>
      <c r="W299" s="167">
        <v>1.02640732590332</v>
      </c>
      <c r="X299" s="167">
        <v>4.3212445184213103E-3</v>
      </c>
      <c r="Y299" s="189">
        <v>15.0653148106655</v>
      </c>
      <c r="Z299" s="207">
        <v>713</v>
      </c>
      <c r="AA299" s="207">
        <v>467</v>
      </c>
      <c r="AB299" s="167">
        <v>5239.87</v>
      </c>
      <c r="AC299" s="221"/>
      <c r="AD299" s="195">
        <v>1.14112864504977E-2</v>
      </c>
      <c r="AE299" s="219">
        <v>7.47415255593611E-3</v>
      </c>
      <c r="AF299" s="167">
        <v>7.3490462833099599</v>
      </c>
      <c r="AG299" s="222">
        <v>8.3862072276815705E-2</v>
      </c>
      <c r="AH299" s="223">
        <v>0.45149253731343297</v>
      </c>
      <c r="AI299" s="223">
        <v>0.32213930348258701</v>
      </c>
      <c r="AJ299" s="167">
        <v>0.45100989084856402</v>
      </c>
      <c r="AK299" s="224">
        <v>0.335328574629493</v>
      </c>
      <c r="AL299" s="224">
        <v>7.2788963221407793E-2</v>
      </c>
      <c r="AM299" s="82">
        <v>0.36757786242437801</v>
      </c>
      <c r="AN299" s="195">
        <v>4.1139999999999999</v>
      </c>
    </row>
    <row r="300" spans="1:40" s="167" customFormat="1" ht="15" customHeight="1">
      <c r="A300" s="186">
        <v>43641</v>
      </c>
      <c r="B300" s="185" t="s">
        <v>51</v>
      </c>
      <c r="C300" s="188">
        <v>11882</v>
      </c>
      <c r="D300" s="188">
        <v>65265</v>
      </c>
      <c r="E300" s="189">
        <v>5.4927621612523101</v>
      </c>
      <c r="F300" s="167">
        <v>0.456280292254654</v>
      </c>
      <c r="G300" s="190">
        <v>6.84</v>
      </c>
      <c r="H300" s="190">
        <v>16.329999999999998</v>
      </c>
      <c r="I300" s="219">
        <v>0.25700000000000001</v>
      </c>
      <c r="J300" s="219">
        <v>0.111</v>
      </c>
      <c r="K300" s="219">
        <v>5.8000000000000003E-2</v>
      </c>
      <c r="L300" s="167">
        <v>12.453535585689099</v>
      </c>
      <c r="M300" s="220">
        <v>13.8598942771777</v>
      </c>
      <c r="N300" s="167">
        <v>20.808014354067002</v>
      </c>
      <c r="O300" s="193">
        <v>0.66608442503638998</v>
      </c>
      <c r="P300" s="167">
        <v>2.90426021347074</v>
      </c>
      <c r="Q300" s="167">
        <v>3.5814087228560898</v>
      </c>
      <c r="R300" s="167">
        <v>1.3032296650717701</v>
      </c>
      <c r="S300" s="167">
        <v>7.2011639676113397</v>
      </c>
      <c r="T300" s="167">
        <v>2.0451094957673899</v>
      </c>
      <c r="U300" s="167">
        <v>0.43478560912771402</v>
      </c>
      <c r="V300" s="167">
        <v>2.3153984173721001</v>
      </c>
      <c r="W300" s="167">
        <v>1.02265826278984</v>
      </c>
      <c r="X300" s="167">
        <v>4.07569141193595E-3</v>
      </c>
      <c r="Y300" s="189">
        <v>13.863969968589601</v>
      </c>
      <c r="Z300" s="207">
        <v>658</v>
      </c>
      <c r="AA300" s="207">
        <v>432</v>
      </c>
      <c r="AB300" s="167">
        <v>4065.42</v>
      </c>
      <c r="AC300" s="221"/>
      <c r="AD300" s="195">
        <v>1.00819734926837E-2</v>
      </c>
      <c r="AE300" s="219">
        <v>6.6191680073546299E-3</v>
      </c>
      <c r="AF300" s="167">
        <v>6.1784498480243197</v>
      </c>
      <c r="AG300" s="222">
        <v>6.2290967593656599E-2</v>
      </c>
      <c r="AH300" s="223">
        <v>0.41769062447399402</v>
      </c>
      <c r="AI300" s="223">
        <v>0.266369298097963</v>
      </c>
      <c r="AJ300" s="167">
        <v>0.43116524936796102</v>
      </c>
      <c r="AK300" s="224">
        <v>0.32173446717229798</v>
      </c>
      <c r="AL300" s="224">
        <v>7.3960009193288906E-2</v>
      </c>
      <c r="AM300" s="82">
        <v>0.36330345514441098</v>
      </c>
      <c r="AN300" s="195">
        <v>4.4429999999999996</v>
      </c>
    </row>
    <row r="301" spans="1:40" s="166" customFormat="1" ht="15" customHeight="1">
      <c r="A301" s="196">
        <v>43642</v>
      </c>
      <c r="B301" s="197" t="s">
        <v>51</v>
      </c>
      <c r="C301" s="198">
        <v>15223</v>
      </c>
      <c r="D301" s="198">
        <v>67792</v>
      </c>
      <c r="E301" s="200">
        <v>4.4532615121855104</v>
      </c>
      <c r="F301" s="166">
        <v>0.42460393239615302</v>
      </c>
      <c r="G301" s="217">
        <v>7.14</v>
      </c>
      <c r="H301" s="217">
        <v>15.99</v>
      </c>
      <c r="I301" s="203">
        <v>0.25600000000000001</v>
      </c>
      <c r="J301" s="203">
        <v>0.11</v>
      </c>
      <c r="K301" s="203">
        <v>5.6000000000000001E-2</v>
      </c>
      <c r="L301" s="166">
        <v>11.947678192117101</v>
      </c>
      <c r="M301" s="204">
        <v>12.653159664857199</v>
      </c>
      <c r="N301" s="166">
        <v>19.390184908901801</v>
      </c>
      <c r="O301" s="205">
        <v>0.65255487373141396</v>
      </c>
      <c r="P301" s="166">
        <v>2.7791265427912699</v>
      </c>
      <c r="Q301" s="166">
        <v>3.43189113431891</v>
      </c>
      <c r="R301" s="166">
        <v>1.1828518468285201</v>
      </c>
      <c r="S301" s="166">
        <v>6.4250870292508697</v>
      </c>
      <c r="T301" s="166">
        <v>1.95865545458655</v>
      </c>
      <c r="U301" s="166">
        <v>0.44247027442470299</v>
      </c>
      <c r="V301" s="166">
        <v>2.1793480717934801</v>
      </c>
      <c r="W301" s="166">
        <v>0.99073194990731905</v>
      </c>
      <c r="X301" s="166">
        <v>2.0798914326174201E-3</v>
      </c>
      <c r="Y301" s="200">
        <v>12.6552395562898</v>
      </c>
      <c r="Z301" s="206">
        <v>571</v>
      </c>
      <c r="AA301" s="206">
        <v>404</v>
      </c>
      <c r="AB301" s="166">
        <v>3699.29</v>
      </c>
      <c r="AC301" s="209"/>
      <c r="AD301" s="210">
        <v>8.4228227519471295E-3</v>
      </c>
      <c r="AE301" s="203">
        <v>5.9594052395562898E-3</v>
      </c>
      <c r="AF301" s="166">
        <v>6.4786164623467597</v>
      </c>
      <c r="AG301" s="211">
        <v>5.4568238140193501E-2</v>
      </c>
      <c r="AH301" s="212">
        <v>0.43979504696840299</v>
      </c>
      <c r="AI301" s="212">
        <v>0.26788412270905898</v>
      </c>
      <c r="AJ301" s="166">
        <v>0.42856089214066601</v>
      </c>
      <c r="AK301" s="213">
        <v>0.303590394146802</v>
      </c>
      <c r="AL301" s="213">
        <v>6.7633349067736603E-2</v>
      </c>
      <c r="AM301" s="214">
        <v>0.34207576115175797</v>
      </c>
      <c r="AN301" s="195">
        <v>4.8579999999999997</v>
      </c>
    </row>
    <row r="302" spans="1:40" s="167" customFormat="1" ht="15" customHeight="1">
      <c r="A302" s="186">
        <v>43643</v>
      </c>
      <c r="B302" s="187" t="s">
        <v>51</v>
      </c>
      <c r="C302" s="188">
        <v>17363</v>
      </c>
      <c r="D302" s="188">
        <v>69684</v>
      </c>
      <c r="E302" s="189">
        <v>4.0133617462420101</v>
      </c>
      <c r="F302" s="167">
        <v>0.32510187919751998</v>
      </c>
      <c r="G302" s="190">
        <v>8.5</v>
      </c>
      <c r="H302" s="190">
        <v>17.46</v>
      </c>
      <c r="I302" s="219">
        <v>0.26200000000000001</v>
      </c>
      <c r="J302" s="219">
        <v>0.112</v>
      </c>
      <c r="K302" s="219">
        <v>5.3999999999999999E-2</v>
      </c>
      <c r="L302" s="167">
        <v>9.3903765570288709</v>
      </c>
      <c r="M302" s="220">
        <v>9.1805722978015005</v>
      </c>
      <c r="N302" s="167">
        <v>14.6390013958491</v>
      </c>
      <c r="O302" s="193">
        <v>0.62713104873428605</v>
      </c>
      <c r="P302" s="167">
        <v>2.3267659778952399</v>
      </c>
      <c r="Q302" s="167">
        <v>2.45358229788792</v>
      </c>
      <c r="R302" s="167">
        <v>0.82494679755611999</v>
      </c>
      <c r="S302" s="167">
        <v>4.52774536051807</v>
      </c>
      <c r="T302" s="167">
        <v>1.53232191483032</v>
      </c>
      <c r="U302" s="167">
        <v>0.49959955149767699</v>
      </c>
      <c r="V302" s="167">
        <v>1.6454085718862299</v>
      </c>
      <c r="W302" s="167">
        <v>0.82863092377748804</v>
      </c>
      <c r="X302" s="167">
        <v>1.7364100797887601E-3</v>
      </c>
      <c r="Y302" s="189">
        <v>9.1823087078812904</v>
      </c>
      <c r="Z302" s="207">
        <v>416</v>
      </c>
      <c r="AA302" s="207">
        <v>311</v>
      </c>
      <c r="AB302" s="167">
        <v>2038.84</v>
      </c>
      <c r="AC302" s="221"/>
      <c r="AD302" s="195">
        <v>5.9698065553068103E-3</v>
      </c>
      <c r="AE302" s="219">
        <v>4.4630044199529297E-3</v>
      </c>
      <c r="AF302" s="167">
        <v>4.9010576923076901</v>
      </c>
      <c r="AG302" s="222">
        <v>2.9258366339475299E-2</v>
      </c>
      <c r="AH302" s="223">
        <v>0.43016759776536301</v>
      </c>
      <c r="AI302" s="223">
        <v>0.263606519610666</v>
      </c>
      <c r="AJ302" s="167">
        <v>0.50509442626714895</v>
      </c>
      <c r="AK302" s="224">
        <v>0.31601228402502701</v>
      </c>
      <c r="AL302" s="224">
        <v>7.0877102347741194E-2</v>
      </c>
      <c r="AM302" s="82">
        <v>9.6162677228632101E-2</v>
      </c>
      <c r="AN302" s="195">
        <v>6.1929999999999996</v>
      </c>
    </row>
    <row r="303" spans="1:40" s="167" customFormat="1" ht="15" customHeight="1">
      <c r="A303" s="186">
        <v>43644</v>
      </c>
      <c r="B303" s="187" t="s">
        <v>51</v>
      </c>
      <c r="C303" s="188">
        <v>18239</v>
      </c>
      <c r="D303" s="188">
        <v>69699</v>
      </c>
      <c r="E303" s="189">
        <v>3.8214266133011701</v>
      </c>
      <c r="F303" s="167">
        <v>0.32032401403176503</v>
      </c>
      <c r="G303" s="190">
        <v>7.82</v>
      </c>
      <c r="H303" s="190">
        <v>17.09</v>
      </c>
      <c r="I303" s="219">
        <v>0.246</v>
      </c>
      <c r="J303" s="219">
        <v>0.109</v>
      </c>
      <c r="K303" s="219">
        <v>5.3999999999999999E-2</v>
      </c>
      <c r="L303" s="167">
        <v>9.3749551643495597</v>
      </c>
      <c r="M303" s="220">
        <v>8.96136242987704</v>
      </c>
      <c r="N303" s="167">
        <v>14.578424050042001</v>
      </c>
      <c r="O303" s="193">
        <v>0.61470035438098103</v>
      </c>
      <c r="P303" s="167">
        <v>2.3273270469610701</v>
      </c>
      <c r="Q303" s="167">
        <v>2.5007468957146899</v>
      </c>
      <c r="R303" s="167">
        <v>0.77702828867519402</v>
      </c>
      <c r="S303" s="167">
        <v>4.4609980393987501</v>
      </c>
      <c r="T303" s="167">
        <v>1.519465969564</v>
      </c>
      <c r="U303" s="167">
        <v>0.51094669031836404</v>
      </c>
      <c r="V303" s="167">
        <v>1.6439408085146101</v>
      </c>
      <c r="W303" s="167">
        <v>0.83797031089534102</v>
      </c>
      <c r="X303" s="167">
        <v>1.9082052827156799E-3</v>
      </c>
      <c r="Y303" s="189">
        <v>8.9632706351597609</v>
      </c>
      <c r="Z303" s="207">
        <v>468</v>
      </c>
      <c r="AA303" s="207">
        <v>352</v>
      </c>
      <c r="AB303" s="167">
        <v>2696.32</v>
      </c>
      <c r="AC303" s="221"/>
      <c r="AD303" s="195">
        <v>6.7145870098566703E-3</v>
      </c>
      <c r="AE303" s="219">
        <v>5.0502876655332202E-3</v>
      </c>
      <c r="AF303" s="167">
        <v>5.7613675213675197</v>
      </c>
      <c r="AG303" s="222">
        <v>3.8685203517984497E-2</v>
      </c>
      <c r="AH303" s="223">
        <v>0.43894950381051601</v>
      </c>
      <c r="AI303" s="223">
        <v>0.28696748725259102</v>
      </c>
      <c r="AJ303" s="167">
        <v>0.48873011090546498</v>
      </c>
      <c r="AK303" s="224">
        <v>0.314366059771302</v>
      </c>
      <c r="AL303" s="224">
        <v>6.9498845033644702E-2</v>
      </c>
      <c r="AM303" s="82">
        <v>2.4089298268267799E-2</v>
      </c>
      <c r="AN303" s="195">
        <v>5.39</v>
      </c>
    </row>
    <row r="304" spans="1:40" s="167" customFormat="1" ht="13.95" customHeight="1">
      <c r="A304" s="186">
        <v>43645</v>
      </c>
      <c r="B304" s="185" t="s">
        <v>51</v>
      </c>
      <c r="C304" s="188">
        <v>14117</v>
      </c>
      <c r="D304" s="188">
        <v>64951</v>
      </c>
      <c r="E304" s="189">
        <v>4.6009067082241302</v>
      </c>
      <c r="F304" s="167">
        <v>0.48788341950085401</v>
      </c>
      <c r="G304" s="190">
        <v>6.92</v>
      </c>
      <c r="H304" s="190">
        <v>15.06</v>
      </c>
      <c r="I304" s="219">
        <v>0.23300000000000001</v>
      </c>
      <c r="J304" s="219">
        <v>0.104</v>
      </c>
      <c r="K304" s="219">
        <v>5.6000000000000001E-2</v>
      </c>
      <c r="L304" s="167">
        <v>12.3936967868085</v>
      </c>
      <c r="M304" s="220">
        <v>13.0365968191406</v>
      </c>
      <c r="N304" s="167">
        <v>20.2211396093041</v>
      </c>
      <c r="O304" s="193">
        <v>0.644701390278826</v>
      </c>
      <c r="P304" s="167">
        <v>2.80424607154798</v>
      </c>
      <c r="Q304" s="167">
        <v>3.26730190571715</v>
      </c>
      <c r="R304" s="167">
        <v>1.3359602617375901</v>
      </c>
      <c r="S304" s="167">
        <v>7.2537374026842398</v>
      </c>
      <c r="T304" s="167">
        <v>1.9217652958876601</v>
      </c>
      <c r="U304" s="167">
        <v>0.44994507331518402</v>
      </c>
      <c r="V304" s="167">
        <v>2.2472178440082198</v>
      </c>
      <c r="W304" s="167">
        <v>0.94096575440607499</v>
      </c>
      <c r="X304" s="167">
        <v>3.9722252159320104E-3</v>
      </c>
      <c r="Y304" s="189">
        <v>13.0405690443565</v>
      </c>
      <c r="Z304" s="207">
        <v>785</v>
      </c>
      <c r="AA304" s="207">
        <v>516</v>
      </c>
      <c r="AB304" s="167">
        <v>5323.15</v>
      </c>
      <c r="AC304" s="221"/>
      <c r="AD304" s="195">
        <v>1.2086034087234999E-2</v>
      </c>
      <c r="AE304" s="219">
        <v>7.9444504318640207E-3</v>
      </c>
      <c r="AF304" s="167">
        <v>6.7810828025477701</v>
      </c>
      <c r="AG304" s="222">
        <v>8.1956397899955305E-2</v>
      </c>
      <c r="AH304" s="223">
        <v>0.46461712828504598</v>
      </c>
      <c r="AI304" s="223">
        <v>0.316781185804349</v>
      </c>
      <c r="AJ304" s="167">
        <v>0.41825376052716701</v>
      </c>
      <c r="AK304" s="224">
        <v>0.29483764684146502</v>
      </c>
      <c r="AL304" s="224">
        <v>6.4895074748656703E-2</v>
      </c>
      <c r="AM304" s="82">
        <v>0.32415205308617301</v>
      </c>
      <c r="AN304" s="195">
        <v>7.2370000000000001</v>
      </c>
    </row>
    <row r="305" spans="1:40" s="167" customFormat="1" ht="13.95" customHeight="1">
      <c r="A305" s="186">
        <v>43646</v>
      </c>
      <c r="B305" s="185" t="s">
        <v>51</v>
      </c>
      <c r="C305" s="188">
        <v>14934</v>
      </c>
      <c r="D305" s="188">
        <v>66234</v>
      </c>
      <c r="E305" s="189">
        <v>4.4351145038167896</v>
      </c>
      <c r="F305" s="167">
        <v>0.45844560245493199</v>
      </c>
      <c r="G305" s="190">
        <v>6.85</v>
      </c>
      <c r="H305" s="190">
        <v>15.06</v>
      </c>
      <c r="I305" s="219">
        <v>0.24399999999999999</v>
      </c>
      <c r="J305" s="219">
        <v>0.111</v>
      </c>
      <c r="K305" s="219">
        <v>6.0999999999999999E-2</v>
      </c>
      <c r="L305" s="167">
        <v>12.0540658876106</v>
      </c>
      <c r="M305" s="220">
        <v>12.834782739982501</v>
      </c>
      <c r="N305" s="167">
        <v>19.9976240884498</v>
      </c>
      <c r="O305" s="193">
        <v>0.64181538182806397</v>
      </c>
      <c r="P305" s="167">
        <v>2.7292401787814602</v>
      </c>
      <c r="Q305" s="167">
        <v>3.3898847330040001</v>
      </c>
      <c r="R305" s="167">
        <v>1.3426252646436101</v>
      </c>
      <c r="S305" s="167">
        <v>7.1247471183251001</v>
      </c>
      <c r="T305" s="167">
        <v>1.8857210068219199</v>
      </c>
      <c r="U305" s="167">
        <v>0.43693248647377098</v>
      </c>
      <c r="V305" s="167">
        <v>2.14892966360856</v>
      </c>
      <c r="W305" s="167">
        <v>0.93954363679134301</v>
      </c>
      <c r="X305" s="167">
        <v>2.2797958752302401E-3</v>
      </c>
      <c r="Y305" s="189">
        <v>12.837062535857701</v>
      </c>
      <c r="Z305" s="207">
        <v>696</v>
      </c>
      <c r="AA305" s="207">
        <v>474</v>
      </c>
      <c r="AB305" s="167">
        <v>4656.04</v>
      </c>
      <c r="AC305" s="221"/>
      <c r="AD305" s="195">
        <v>1.0508198206359299E-2</v>
      </c>
      <c r="AE305" s="219">
        <v>7.1564453301929502E-3</v>
      </c>
      <c r="AF305" s="167">
        <v>6.6897126436781598</v>
      </c>
      <c r="AG305" s="222">
        <v>7.0296826403357798E-2</v>
      </c>
      <c r="AH305" s="223">
        <v>0.46571581625820302</v>
      </c>
      <c r="AI305" s="223">
        <v>0.30982991830721801</v>
      </c>
      <c r="AJ305" s="167">
        <v>0.41122384273937901</v>
      </c>
      <c r="AK305" s="224">
        <v>0.28239272880997701</v>
      </c>
      <c r="AL305" s="224">
        <v>6.22942899417218E-2</v>
      </c>
      <c r="AM305" s="82">
        <v>0.33887429416915799</v>
      </c>
      <c r="AN305" s="195">
        <v>6.7249999999999996</v>
      </c>
    </row>
    <row r="306" spans="1:40" s="167" customFormat="1" ht="15" customHeight="1">
      <c r="A306" s="186">
        <v>43647</v>
      </c>
      <c r="B306" s="185" t="s">
        <v>51</v>
      </c>
      <c r="C306" s="188">
        <v>18412</v>
      </c>
      <c r="D306" s="188">
        <v>71123</v>
      </c>
      <c r="E306" s="189">
        <v>3.86286117749294</v>
      </c>
      <c r="F306" s="167">
        <v>0.40244744175583103</v>
      </c>
      <c r="G306" s="190">
        <v>6.57</v>
      </c>
      <c r="H306" s="190">
        <v>14.87</v>
      </c>
      <c r="I306" s="219">
        <v>0.253</v>
      </c>
      <c r="J306" s="219">
        <v>0.114</v>
      </c>
      <c r="K306" s="219">
        <v>5.6000000000000001E-2</v>
      </c>
      <c r="L306" s="167">
        <v>11.4994868045499</v>
      </c>
      <c r="M306" s="220">
        <v>11.946205868706301</v>
      </c>
      <c r="N306" s="167">
        <v>18.807969009407898</v>
      </c>
      <c r="O306" s="193">
        <v>0.635167245476147</v>
      </c>
      <c r="P306" s="167">
        <v>2.6517542888765901</v>
      </c>
      <c r="Q306" s="167">
        <v>3.3053016048699502</v>
      </c>
      <c r="R306" s="167">
        <v>1.21232982844494</v>
      </c>
      <c r="S306" s="167">
        <v>6.3631654676259002</v>
      </c>
      <c r="T306" s="167">
        <v>1.8325179856115099</v>
      </c>
      <c r="U306" s="167">
        <v>0.44139457664637499</v>
      </c>
      <c r="V306" s="167">
        <v>2.0772551189817401</v>
      </c>
      <c r="W306" s="167">
        <v>0.92425013835085801</v>
      </c>
      <c r="X306" s="167">
        <v>2.62924792261294E-3</v>
      </c>
      <c r="Y306" s="189">
        <v>11.948835116628899</v>
      </c>
      <c r="Z306" s="207">
        <v>696</v>
      </c>
      <c r="AA306" s="207">
        <v>452</v>
      </c>
      <c r="AB306" s="167">
        <v>4380.04</v>
      </c>
      <c r="AC306" s="221"/>
      <c r="AD306" s="195">
        <v>9.7858639258748895E-3</v>
      </c>
      <c r="AE306" s="219">
        <v>6.3551874920911699E-3</v>
      </c>
      <c r="AF306" s="167">
        <v>6.29316091954023</v>
      </c>
      <c r="AG306" s="222">
        <v>6.1584016422254403E-2</v>
      </c>
      <c r="AH306" s="223">
        <v>0.437214859873995</v>
      </c>
      <c r="AI306" s="223">
        <v>0.27194221160113002</v>
      </c>
      <c r="AJ306" s="167">
        <v>0.41296064564205698</v>
      </c>
      <c r="AK306" s="224">
        <v>0.27289343812831302</v>
      </c>
      <c r="AL306" s="224">
        <v>5.9952476695302501E-2</v>
      </c>
      <c r="AM306" s="82">
        <v>0.328079524204547</v>
      </c>
      <c r="AN306" s="195">
        <v>4.601</v>
      </c>
    </row>
    <row r="307" spans="1:40" s="167" customFormat="1" ht="15" customHeight="1">
      <c r="A307" s="186">
        <v>43648</v>
      </c>
      <c r="B307" s="185" t="s">
        <v>51</v>
      </c>
      <c r="C307" s="188">
        <v>21846</v>
      </c>
      <c r="D307" s="188">
        <v>75300</v>
      </c>
      <c r="E307" s="189">
        <v>3.4468552595440798</v>
      </c>
      <c r="F307" s="167">
        <v>0.37887892597609601</v>
      </c>
      <c r="G307" s="190">
        <v>7.4</v>
      </c>
      <c r="H307" s="190">
        <v>15.49</v>
      </c>
      <c r="I307" s="219">
        <v>0.24</v>
      </c>
      <c r="J307" s="219">
        <v>0.104</v>
      </c>
      <c r="K307" s="219">
        <v>5.2999999999999999E-2</v>
      </c>
      <c r="L307" s="167">
        <v>10.453625498008</v>
      </c>
      <c r="M307" s="220">
        <v>10.4344488711819</v>
      </c>
      <c r="N307" s="167">
        <v>16.906164604626099</v>
      </c>
      <c r="O307" s="193">
        <v>0.617197875166003</v>
      </c>
      <c r="P307" s="167">
        <v>2.48901559978483</v>
      </c>
      <c r="Q307" s="167">
        <v>2.9591823561054298</v>
      </c>
      <c r="R307" s="167">
        <v>1.05654653039268</v>
      </c>
      <c r="S307" s="167">
        <v>5.5023130715438402</v>
      </c>
      <c r="T307" s="167">
        <v>1.6693275954814399</v>
      </c>
      <c r="U307" s="167">
        <v>0.47182356105432999</v>
      </c>
      <c r="V307" s="167">
        <v>1.8752877891339399</v>
      </c>
      <c r="W307" s="167">
        <v>0.88264658418504505</v>
      </c>
      <c r="X307" s="167">
        <v>6.3745019920318701E-3</v>
      </c>
      <c r="Y307" s="189">
        <v>10.440823373174</v>
      </c>
      <c r="Z307" s="207">
        <v>661</v>
      </c>
      <c r="AA307" s="207">
        <v>450</v>
      </c>
      <c r="AB307" s="167">
        <v>4796.3900000000003</v>
      </c>
      <c r="AC307" s="221"/>
      <c r="AD307" s="195">
        <v>8.7782204515272303E-3</v>
      </c>
      <c r="AE307" s="219">
        <v>5.9760956175298804E-3</v>
      </c>
      <c r="AF307" s="167">
        <v>7.25626323751891</v>
      </c>
      <c r="AG307" s="222">
        <v>6.3697078353253694E-2</v>
      </c>
      <c r="AH307" s="223">
        <v>0.42515792364735</v>
      </c>
      <c r="AI307" s="223">
        <v>0.27469559644786201</v>
      </c>
      <c r="AJ307" s="167">
        <v>0.44795484727755602</v>
      </c>
      <c r="AK307" s="224">
        <v>0.275285524568393</v>
      </c>
      <c r="AL307" s="224">
        <v>6.2377158034528597E-2</v>
      </c>
      <c r="AM307" s="82">
        <v>0.27136786188578998</v>
      </c>
      <c r="AN307" s="195">
        <v>4.282</v>
      </c>
    </row>
    <row r="308" spans="1:40" s="166" customFormat="1" ht="15" customHeight="1">
      <c r="A308" s="196">
        <v>43649</v>
      </c>
      <c r="B308" s="197" t="s">
        <v>51</v>
      </c>
      <c r="C308" s="198">
        <v>19390</v>
      </c>
      <c r="D308" s="198">
        <v>71809</v>
      </c>
      <c r="E308" s="200">
        <v>3.7034038164002099</v>
      </c>
      <c r="F308" s="166">
        <v>0.31275407472600902</v>
      </c>
      <c r="G308" s="217">
        <v>7.88</v>
      </c>
      <c r="H308" s="217">
        <v>17.23</v>
      </c>
      <c r="I308" s="203">
        <v>0.23499999999999999</v>
      </c>
      <c r="J308" s="203">
        <v>0.104</v>
      </c>
      <c r="K308" s="203">
        <v>5.2999999999999999E-2</v>
      </c>
      <c r="L308" s="166">
        <v>9.1720118648080309</v>
      </c>
      <c r="M308" s="204">
        <v>8.6763776128340506</v>
      </c>
      <c r="N308" s="166">
        <v>14.132102433824</v>
      </c>
      <c r="O308" s="205">
        <v>0.61394811235360502</v>
      </c>
      <c r="P308" s="166">
        <v>2.2366457232290702</v>
      </c>
      <c r="Q308" s="166">
        <v>2.4237530337741302</v>
      </c>
      <c r="R308" s="166">
        <v>0.78712545648377097</v>
      </c>
      <c r="S308" s="166">
        <v>4.34318506589244</v>
      </c>
      <c r="T308" s="166">
        <v>1.44110508766757</v>
      </c>
      <c r="U308" s="166">
        <v>0.49812870007031601</v>
      </c>
      <c r="V308" s="166">
        <v>1.5857055367795501</v>
      </c>
      <c r="W308" s="166">
        <v>0.81645382992718996</v>
      </c>
      <c r="X308" s="166">
        <v>2.08887465359495E-3</v>
      </c>
      <c r="Y308" s="200">
        <v>8.6784664874876398</v>
      </c>
      <c r="Z308" s="206">
        <v>495</v>
      </c>
      <c r="AA308" s="206">
        <v>347</v>
      </c>
      <c r="AB308" s="166">
        <v>2762.05</v>
      </c>
      <c r="AC308" s="209"/>
      <c r="AD308" s="210">
        <v>6.8932863568633498E-3</v>
      </c>
      <c r="AE308" s="203">
        <v>4.83226336531633E-3</v>
      </c>
      <c r="AF308" s="166">
        <v>5.5798989898989904</v>
      </c>
      <c r="AG308" s="211">
        <v>3.8463841579746298E-2</v>
      </c>
      <c r="AH308" s="212">
        <v>0.42336255801959799</v>
      </c>
      <c r="AI308" s="212">
        <v>0.28416709644146498</v>
      </c>
      <c r="AJ308" s="166">
        <v>0.50339093985433603</v>
      </c>
      <c r="AK308" s="213">
        <v>0.30297037975741198</v>
      </c>
      <c r="AL308" s="213">
        <v>6.5228592516258399E-2</v>
      </c>
      <c r="AM308" s="214">
        <v>4.9603810107368203E-2</v>
      </c>
      <c r="AN308" s="195">
        <v>5.1550000000000002</v>
      </c>
    </row>
    <row r="309" spans="1:40" s="167" customFormat="1" ht="15" customHeight="1">
      <c r="A309" s="186">
        <v>43650</v>
      </c>
      <c r="B309" s="187" t="s">
        <v>51</v>
      </c>
      <c r="C309" s="188">
        <v>18975</v>
      </c>
      <c r="D309" s="188">
        <v>71123</v>
      </c>
      <c r="E309" s="189">
        <v>3.7482476943346499</v>
      </c>
      <c r="F309" s="167">
        <v>0.28517808441713599</v>
      </c>
      <c r="G309" s="190">
        <v>7.34</v>
      </c>
      <c r="H309" s="190">
        <v>16.79</v>
      </c>
      <c r="I309" s="219">
        <v>0.222</v>
      </c>
      <c r="J309" s="219">
        <v>9.6000000000000002E-2</v>
      </c>
      <c r="K309" s="219">
        <v>5.0999999999999997E-2</v>
      </c>
      <c r="L309" s="167">
        <v>9.1612980329851101</v>
      </c>
      <c r="M309" s="220">
        <v>8.6988316015916105</v>
      </c>
      <c r="N309" s="167">
        <v>14.2515203169631</v>
      </c>
      <c r="O309" s="193">
        <v>0.61037920222712805</v>
      </c>
      <c r="P309" s="167">
        <v>2.2296600018428099</v>
      </c>
      <c r="Q309" s="167">
        <v>2.4719662766055501</v>
      </c>
      <c r="R309" s="167">
        <v>0.788791117663319</v>
      </c>
      <c r="S309" s="167">
        <v>4.4016400995116598</v>
      </c>
      <c r="T309" s="167">
        <v>1.4478715562517299</v>
      </c>
      <c r="U309" s="167">
        <v>0.50373168709112703</v>
      </c>
      <c r="V309" s="167">
        <v>1.5950658804017299</v>
      </c>
      <c r="W309" s="167">
        <v>0.81279369759513498</v>
      </c>
      <c r="X309" s="167">
        <v>2.9807516555825802E-3</v>
      </c>
      <c r="Y309" s="189">
        <v>8.70181235324719</v>
      </c>
      <c r="Z309" s="207">
        <v>433</v>
      </c>
      <c r="AA309" s="207">
        <v>307</v>
      </c>
      <c r="AB309" s="167">
        <v>2257.67</v>
      </c>
      <c r="AC309" s="221"/>
      <c r="AD309" s="195">
        <v>6.0880446550342403E-3</v>
      </c>
      <c r="AE309" s="219">
        <v>4.3164658408672302E-3</v>
      </c>
      <c r="AF309" s="167">
        <v>5.2140184757505796</v>
      </c>
      <c r="AG309" s="222">
        <v>3.17431773125431E-2</v>
      </c>
      <c r="AH309" s="223">
        <v>0.41438735177865599</v>
      </c>
      <c r="AI309" s="223">
        <v>0.27725955204216102</v>
      </c>
      <c r="AJ309" s="167">
        <v>0.49443921094442</v>
      </c>
      <c r="AK309" s="224">
        <v>0.30703148067432501</v>
      </c>
      <c r="AL309" s="224">
        <v>6.6321724336712504E-2</v>
      </c>
      <c r="AM309" s="82">
        <v>2.1722930697523998E-2</v>
      </c>
      <c r="AN309" s="195">
        <v>4.6929999999999996</v>
      </c>
    </row>
    <row r="310" spans="1:40" s="167" customFormat="1" ht="15" customHeight="1">
      <c r="A310" s="186">
        <v>43651</v>
      </c>
      <c r="B310" s="187" t="s">
        <v>51</v>
      </c>
      <c r="C310" s="188">
        <v>19487</v>
      </c>
      <c r="D310" s="188">
        <v>69011</v>
      </c>
      <c r="E310" s="189">
        <v>3.54138656540258</v>
      </c>
      <c r="F310" s="167">
        <v>0.27489688394603801</v>
      </c>
      <c r="G310" s="190">
        <v>7.02</v>
      </c>
      <c r="H310" s="190">
        <v>16.07</v>
      </c>
      <c r="I310" s="219">
        <v>0.22500000000000001</v>
      </c>
      <c r="J310" s="219">
        <v>0.106</v>
      </c>
      <c r="K310" s="219">
        <v>5.0999999999999997E-2</v>
      </c>
      <c r="L310" s="167">
        <v>8.9848140151569993</v>
      </c>
      <c r="M310" s="220">
        <v>8.6750083320050404</v>
      </c>
      <c r="N310" s="167">
        <v>14.4707887167339</v>
      </c>
      <c r="O310" s="193">
        <v>0.599484140209532</v>
      </c>
      <c r="P310" s="167">
        <v>2.33588745739769</v>
      </c>
      <c r="Q310" s="167">
        <v>2.5043146165188199</v>
      </c>
      <c r="R310" s="167">
        <v>0.78608203814265998</v>
      </c>
      <c r="S310" s="167">
        <v>4.4453602765221998</v>
      </c>
      <c r="T310" s="167">
        <v>1.46929008242489</v>
      </c>
      <c r="U310" s="167">
        <v>0.50603079451789901</v>
      </c>
      <c r="V310" s="167">
        <v>1.60218510550869</v>
      </c>
      <c r="W310" s="167">
        <v>0.82163834570109495</v>
      </c>
      <c r="X310" s="167">
        <v>2.4923562910260698E-3</v>
      </c>
      <c r="Y310" s="189">
        <v>8.6775006882960692</v>
      </c>
      <c r="Z310" s="207">
        <v>451</v>
      </c>
      <c r="AA310" s="207">
        <v>323</v>
      </c>
      <c r="AB310" s="167">
        <v>2174.4899999999998</v>
      </c>
      <c r="AC310" s="221"/>
      <c r="AD310" s="195">
        <v>6.5351900421671896E-3</v>
      </c>
      <c r="AE310" s="219">
        <v>4.6804132674501198E-3</v>
      </c>
      <c r="AF310" s="167">
        <v>4.8214855875831502</v>
      </c>
      <c r="AG310" s="222">
        <v>3.1509324600425999E-2</v>
      </c>
      <c r="AH310" s="223">
        <v>0.40072869092215302</v>
      </c>
      <c r="AI310" s="223">
        <v>0.254323395083902</v>
      </c>
      <c r="AJ310" s="167">
        <v>0.47377954239179298</v>
      </c>
      <c r="AK310" s="224">
        <v>0.299807277100752</v>
      </c>
      <c r="AL310" s="224">
        <v>6.3540594977612302E-2</v>
      </c>
      <c r="AM310" s="82">
        <v>0</v>
      </c>
      <c r="AN310" s="195">
        <v>5.3689999999999998</v>
      </c>
    </row>
    <row r="311" spans="1:40" s="167" customFormat="1" ht="13.95" customHeight="1">
      <c r="A311" s="186">
        <v>43652</v>
      </c>
      <c r="B311" s="185" t="s">
        <v>51</v>
      </c>
      <c r="C311" s="188">
        <v>18237</v>
      </c>
      <c r="D311" s="188">
        <v>68258</v>
      </c>
      <c r="E311" s="189">
        <v>3.74283050940396</v>
      </c>
      <c r="F311" s="167">
        <v>0.485454760877846</v>
      </c>
      <c r="G311" s="190">
        <v>6.4</v>
      </c>
      <c r="H311" s="190">
        <v>14.06</v>
      </c>
      <c r="I311" s="219">
        <v>0.219</v>
      </c>
      <c r="J311" s="219">
        <v>9.7000000000000003E-2</v>
      </c>
      <c r="K311" s="219">
        <v>5.0999999999999997E-2</v>
      </c>
      <c r="L311" s="167">
        <v>11.906018342172301</v>
      </c>
      <c r="M311" s="220">
        <v>12.7048697588561</v>
      </c>
      <c r="N311" s="167">
        <v>20.459798046524799</v>
      </c>
      <c r="O311" s="193">
        <v>0.62096750564036496</v>
      </c>
      <c r="P311" s="167">
        <v>2.8230075968480199</v>
      </c>
      <c r="Q311" s="167">
        <v>3.2499882036521499</v>
      </c>
      <c r="R311" s="167">
        <v>1.2467795970367599</v>
      </c>
      <c r="S311" s="167">
        <v>7.6716840466191698</v>
      </c>
      <c r="T311" s="167">
        <v>1.8816118529703201</v>
      </c>
      <c r="U311" s="167">
        <v>0.44307082527249603</v>
      </c>
      <c r="V311" s="167">
        <v>2.2196715896758401</v>
      </c>
      <c r="W311" s="167">
        <v>0.92398433445005401</v>
      </c>
      <c r="X311" s="167">
        <v>3.56002226845205E-3</v>
      </c>
      <c r="Y311" s="189">
        <v>12.7084297811246</v>
      </c>
      <c r="Z311" s="207">
        <v>866</v>
      </c>
      <c r="AA311" s="207">
        <v>538</v>
      </c>
      <c r="AB311" s="167">
        <v>6366.34</v>
      </c>
      <c r="AC311" s="221"/>
      <c r="AD311" s="195">
        <v>1.2687157549298301E-2</v>
      </c>
      <c r="AE311" s="219">
        <v>7.8818600017580408E-3</v>
      </c>
      <c r="AF311" s="167">
        <v>7.3514318706697503</v>
      </c>
      <c r="AG311" s="222">
        <v>9.3268774356119397E-2</v>
      </c>
      <c r="AH311" s="223">
        <v>0.41591270494050597</v>
      </c>
      <c r="AI311" s="223">
        <v>0.26819104019301399</v>
      </c>
      <c r="AJ311" s="167">
        <v>0.38779337220545601</v>
      </c>
      <c r="AK311" s="224">
        <v>0.27129420727240799</v>
      </c>
      <c r="AL311" s="224">
        <v>5.8879545254768698E-2</v>
      </c>
      <c r="AM311" s="82">
        <v>0.31046910252278098</v>
      </c>
      <c r="AN311" s="195">
        <v>4.6180000000000003</v>
      </c>
    </row>
    <row r="312" spans="1:40" s="167" customFormat="1" ht="13.95" customHeight="1">
      <c r="A312" s="186">
        <v>43653</v>
      </c>
      <c r="B312" s="185" t="s">
        <v>51</v>
      </c>
      <c r="C312" s="188">
        <v>17824</v>
      </c>
      <c r="D312" s="188">
        <v>68235</v>
      </c>
      <c r="E312" s="189">
        <v>3.8282652603231599</v>
      </c>
      <c r="F312" s="167">
        <v>0.40225107825895801</v>
      </c>
      <c r="G312" s="190">
        <v>6.1</v>
      </c>
      <c r="H312" s="190">
        <v>13.55</v>
      </c>
      <c r="I312" s="219">
        <v>0.21299999999999999</v>
      </c>
      <c r="J312" s="219">
        <v>9.0999999999999998E-2</v>
      </c>
      <c r="K312" s="219">
        <v>4.7E-2</v>
      </c>
      <c r="L312" s="167">
        <v>11.421381988715501</v>
      </c>
      <c r="M312" s="220">
        <v>12.208177621455301</v>
      </c>
      <c r="N312" s="167">
        <v>19.461382113821099</v>
      </c>
      <c r="O312" s="193">
        <v>0.62730270389096499</v>
      </c>
      <c r="P312" s="167">
        <v>2.7128773011868001</v>
      </c>
      <c r="Q312" s="167">
        <v>3.3527941313895901</v>
      </c>
      <c r="R312" s="167">
        <v>1.18012335295767</v>
      </c>
      <c r="S312" s="167">
        <v>6.8665778899168304</v>
      </c>
      <c r="T312" s="167">
        <v>1.8529810298103</v>
      </c>
      <c r="U312" s="167">
        <v>0.43486590038314199</v>
      </c>
      <c r="V312" s="167">
        <v>2.1201990468180498</v>
      </c>
      <c r="W312" s="167">
        <v>0.94096346135875197</v>
      </c>
      <c r="X312" s="167">
        <v>4.17674214112992E-3</v>
      </c>
      <c r="Y312" s="189">
        <v>12.2123543635964</v>
      </c>
      <c r="Z312" s="207">
        <v>684</v>
      </c>
      <c r="AA312" s="207">
        <v>444</v>
      </c>
      <c r="AB312" s="167">
        <v>4587.16</v>
      </c>
      <c r="AC312" s="221"/>
      <c r="AD312" s="195">
        <v>1.0024181138711801E-2</v>
      </c>
      <c r="AE312" s="219">
        <v>6.5069245988129297E-3</v>
      </c>
      <c r="AF312" s="167">
        <v>6.7063742690058499</v>
      </c>
      <c r="AG312" s="222">
        <v>6.7225910456510607E-2</v>
      </c>
      <c r="AH312" s="223">
        <v>0.41528276481149001</v>
      </c>
      <c r="AI312" s="223">
        <v>0.27339542190305199</v>
      </c>
      <c r="AJ312" s="167">
        <v>0.393493075401187</v>
      </c>
      <c r="AK312" s="224">
        <v>0.26798563786912899</v>
      </c>
      <c r="AL312" s="224">
        <v>5.7683007254341598E-2</v>
      </c>
      <c r="AM312" s="82">
        <v>0.32893676265846</v>
      </c>
      <c r="AN312" s="195">
        <v>5.0640000000000001</v>
      </c>
    </row>
    <row r="313" spans="1:40" s="167" customFormat="1" ht="15" customHeight="1">
      <c r="A313" s="186">
        <v>43654</v>
      </c>
      <c r="B313" s="185" t="s">
        <v>51</v>
      </c>
      <c r="C313" s="188">
        <v>17701</v>
      </c>
      <c r="D313" s="188">
        <v>69444</v>
      </c>
      <c r="E313" s="189">
        <v>3.92316818258855</v>
      </c>
      <c r="F313" s="167">
        <v>0.38247500673924301</v>
      </c>
      <c r="G313" s="190">
        <v>6.1</v>
      </c>
      <c r="H313" s="190">
        <v>13.79</v>
      </c>
      <c r="I313" s="219">
        <v>0.214</v>
      </c>
      <c r="J313" s="219">
        <v>9.7000000000000003E-2</v>
      </c>
      <c r="K313" s="219">
        <v>4.8000000000000001E-2</v>
      </c>
      <c r="L313" s="167">
        <v>11.2581504521629</v>
      </c>
      <c r="M313" s="220">
        <v>11.8034819422844</v>
      </c>
      <c r="N313" s="167">
        <v>18.800885361713799</v>
      </c>
      <c r="O313" s="193">
        <v>0.62781521801739504</v>
      </c>
      <c r="P313" s="167">
        <v>2.7006055323638698</v>
      </c>
      <c r="Q313" s="167">
        <v>3.35708060002752</v>
      </c>
      <c r="R313" s="167">
        <v>1.11048671957429</v>
      </c>
      <c r="S313" s="167">
        <v>6.30561034909858</v>
      </c>
      <c r="T313" s="167">
        <v>1.86322767099408</v>
      </c>
      <c r="U313" s="167">
        <v>0.43320794531859202</v>
      </c>
      <c r="V313" s="167">
        <v>2.0919537593467599</v>
      </c>
      <c r="W313" s="167">
        <v>0.93868984815817202</v>
      </c>
      <c r="X313" s="167">
        <v>1.80001152007373E-3</v>
      </c>
      <c r="Y313" s="189">
        <v>11.805281953804499</v>
      </c>
      <c r="Z313" s="207">
        <v>610</v>
      </c>
      <c r="AA313" s="207">
        <v>404</v>
      </c>
      <c r="AB313" s="167">
        <v>4284.8999999999996</v>
      </c>
      <c r="AC313" s="221"/>
      <c r="AD313" s="195">
        <v>8.7840562179597893E-3</v>
      </c>
      <c r="AE313" s="219">
        <v>5.8176372328782901E-3</v>
      </c>
      <c r="AF313" s="167">
        <v>7.0244262295082001</v>
      </c>
      <c r="AG313" s="222">
        <v>6.1702954898911297E-2</v>
      </c>
      <c r="AH313" s="223">
        <v>0.41545675385571401</v>
      </c>
      <c r="AI313" s="223">
        <v>0.276877012598158</v>
      </c>
      <c r="AJ313" s="167">
        <v>0.40841541385864899</v>
      </c>
      <c r="AK313" s="224">
        <v>0.27603536662634598</v>
      </c>
      <c r="AL313" s="224">
        <v>6.0336386152871402E-2</v>
      </c>
      <c r="AM313" s="82">
        <v>0.32781809803582701</v>
      </c>
      <c r="AN313" s="195">
        <v>4.3840000000000003</v>
      </c>
    </row>
    <row r="314" spans="1:40" s="167" customFormat="1" ht="15" customHeight="1">
      <c r="A314" s="186">
        <v>43655</v>
      </c>
      <c r="B314" s="185" t="s">
        <v>51</v>
      </c>
      <c r="C314" s="188">
        <v>7638</v>
      </c>
      <c r="D314" s="188">
        <v>58312</v>
      </c>
      <c r="E314" s="189">
        <v>7.6344592825346904</v>
      </c>
      <c r="F314" s="167">
        <v>0.37013998790986402</v>
      </c>
      <c r="G314" s="190">
        <v>6.2</v>
      </c>
      <c r="H314" s="190">
        <v>14.03</v>
      </c>
      <c r="I314" s="219">
        <v>0.22900000000000001</v>
      </c>
      <c r="J314" s="219">
        <v>0.111</v>
      </c>
      <c r="K314" s="219">
        <v>5.8000000000000003E-2</v>
      </c>
      <c r="L314" s="167">
        <v>11.327942790506199</v>
      </c>
      <c r="M314" s="220">
        <v>12.0346240910962</v>
      </c>
      <c r="N314" s="167">
        <v>17.815313142596001</v>
      </c>
      <c r="O314" s="193">
        <v>0.67552133351625698</v>
      </c>
      <c r="P314" s="167">
        <v>2.5383463227640801</v>
      </c>
      <c r="Q314" s="167">
        <v>3.1966439034297198</v>
      </c>
      <c r="R314" s="167">
        <v>1.0615622858013301</v>
      </c>
      <c r="S314" s="167">
        <v>5.8514127592597296</v>
      </c>
      <c r="T314" s="167">
        <v>1.79134827752532</v>
      </c>
      <c r="U314" s="167">
        <v>0.44718336675890402</v>
      </c>
      <c r="V314" s="167">
        <v>1.9954812012896299</v>
      </c>
      <c r="W314" s="167">
        <v>0.93333502576730698</v>
      </c>
      <c r="X314" s="167">
        <v>2.4866236795170801E-3</v>
      </c>
      <c r="Y314" s="189">
        <v>12.0371107147757</v>
      </c>
      <c r="Z314" s="207">
        <v>519</v>
      </c>
      <c r="AA314" s="207">
        <v>372</v>
      </c>
      <c r="AB314" s="167">
        <v>3077.81</v>
      </c>
      <c r="AC314" s="221"/>
      <c r="AD314" s="195">
        <v>8.9003978597887203E-3</v>
      </c>
      <c r="AE314" s="219">
        <v>6.3794759226231297E-3</v>
      </c>
      <c r="AF314" s="167">
        <v>5.9302697495182999</v>
      </c>
      <c r="AG314" s="222">
        <v>5.2781760186582503E-2</v>
      </c>
      <c r="AH314" s="223">
        <v>0.52003142183817797</v>
      </c>
      <c r="AI314" s="223">
        <v>0.44763026970411102</v>
      </c>
      <c r="AJ314" s="167">
        <v>0.51183289888873595</v>
      </c>
      <c r="AK314" s="224">
        <v>0.334802442035945</v>
      </c>
      <c r="AL314" s="224">
        <v>7.7737000960351202E-2</v>
      </c>
      <c r="AM314" s="82">
        <v>0.32778844834682402</v>
      </c>
      <c r="AN314" s="195">
        <v>4.024</v>
      </c>
    </row>
    <row r="315" spans="1:40" s="166" customFormat="1" ht="15" customHeight="1">
      <c r="A315" s="196">
        <v>43656</v>
      </c>
      <c r="B315" s="197" t="s">
        <v>51</v>
      </c>
      <c r="C315" s="198">
        <v>4404</v>
      </c>
      <c r="D315" s="198">
        <v>50957</v>
      </c>
      <c r="E315" s="200">
        <v>11.5706176203451</v>
      </c>
      <c r="F315" s="166">
        <v>0.29287725366485501</v>
      </c>
      <c r="G315" s="217">
        <v>6.53</v>
      </c>
      <c r="H315" s="217">
        <v>14.96</v>
      </c>
      <c r="I315" s="203">
        <v>0.217</v>
      </c>
      <c r="J315" s="203">
        <v>0.11</v>
      </c>
      <c r="K315" s="203">
        <v>5.5E-2</v>
      </c>
      <c r="L315" s="166">
        <v>9.9367702180269593</v>
      </c>
      <c r="M315" s="204">
        <v>10.0528092313127</v>
      </c>
      <c r="N315" s="166">
        <v>14.977078034090599</v>
      </c>
      <c r="O315" s="205">
        <v>0.67121298349588898</v>
      </c>
      <c r="P315" s="166">
        <v>2.2779873110545901</v>
      </c>
      <c r="Q315" s="166">
        <v>2.5556530128936101</v>
      </c>
      <c r="R315" s="166">
        <v>0.89764055784580299</v>
      </c>
      <c r="S315" s="166">
        <v>4.6850568663567502</v>
      </c>
      <c r="T315" s="166">
        <v>1.5717627108733101</v>
      </c>
      <c r="U315" s="166">
        <v>0.46659649738327003</v>
      </c>
      <c r="V315" s="166">
        <v>1.6768412127591099</v>
      </c>
      <c r="W315" s="166">
        <v>0.84553986492412903</v>
      </c>
      <c r="X315" s="166">
        <v>2.4334242596699201E-3</v>
      </c>
      <c r="Y315" s="200">
        <v>10.0552426555723</v>
      </c>
      <c r="Z315" s="206">
        <v>363</v>
      </c>
      <c r="AA315" s="206">
        <v>274</v>
      </c>
      <c r="AB315" s="166">
        <v>1667.37</v>
      </c>
      <c r="AC315" s="209"/>
      <c r="AD315" s="210">
        <v>7.12365327629178E-3</v>
      </c>
      <c r="AE315" s="203">
        <v>5.3770826383028802E-3</v>
      </c>
      <c r="AF315" s="166">
        <v>4.5933057851239703</v>
      </c>
      <c r="AG315" s="211">
        <v>3.2721117805208297E-2</v>
      </c>
      <c r="AH315" s="212">
        <v>0.56312443233424203</v>
      </c>
      <c r="AI315" s="212">
        <v>0.500681198910082</v>
      </c>
      <c r="AJ315" s="166">
        <v>0.60480405047392904</v>
      </c>
      <c r="AK315" s="213">
        <v>0.389406754714759</v>
      </c>
      <c r="AL315" s="213">
        <v>8.8996604980669997E-2</v>
      </c>
      <c r="AM315" s="214">
        <v>6.4976352611024996E-2</v>
      </c>
      <c r="AN315" s="195">
        <v>3.75</v>
      </c>
    </row>
    <row r="316" spans="1:40" s="167" customFormat="1" ht="16.05" customHeight="1">
      <c r="A316" s="186">
        <v>43657</v>
      </c>
      <c r="B316" s="187" t="s">
        <v>51</v>
      </c>
      <c r="C316" s="188">
        <v>3730</v>
      </c>
      <c r="D316" s="188">
        <v>47128</v>
      </c>
      <c r="E316" s="189">
        <v>12.6348525469169</v>
      </c>
      <c r="F316" s="167">
        <v>0.35046938925903898</v>
      </c>
      <c r="G316" s="190">
        <v>7.98</v>
      </c>
      <c r="H316" s="190">
        <v>16.559999999999999</v>
      </c>
      <c r="I316" s="219">
        <v>0.27700000000000002</v>
      </c>
      <c r="J316" s="219">
        <v>0.129</v>
      </c>
      <c r="K316" s="225">
        <v>7.1999999999999995E-2</v>
      </c>
      <c r="L316" s="167">
        <v>10.002270412493599</v>
      </c>
      <c r="M316" s="220">
        <v>10.0794219996605</v>
      </c>
      <c r="N316" s="167">
        <v>15.0323734177215</v>
      </c>
      <c r="O316" s="193">
        <v>0.67051434391444598</v>
      </c>
      <c r="P316" s="167">
        <v>2.3508544303797501</v>
      </c>
      <c r="Q316" s="167">
        <v>2.5508860759493701</v>
      </c>
      <c r="R316" s="167">
        <v>0.86990506329113904</v>
      </c>
      <c r="S316" s="167">
        <v>4.6597151898734204</v>
      </c>
      <c r="T316" s="167">
        <v>1.62189873417722</v>
      </c>
      <c r="U316" s="167">
        <v>0.47041139240506302</v>
      </c>
      <c r="V316" s="167">
        <v>1.6745253164556999</v>
      </c>
      <c r="W316" s="167">
        <v>0.83417721518987398</v>
      </c>
      <c r="X316" s="167">
        <v>3.3313529112205102E-3</v>
      </c>
      <c r="Y316" s="189">
        <v>10.0827533525717</v>
      </c>
      <c r="Z316" s="207">
        <v>301</v>
      </c>
      <c r="AA316" s="207">
        <v>244</v>
      </c>
      <c r="AB316" s="167">
        <v>1700.99</v>
      </c>
      <c r="AC316" s="221"/>
      <c r="AD316" s="195">
        <v>6.3868613138686097E-3</v>
      </c>
      <c r="AE316" s="219">
        <v>5.1773892378203998E-3</v>
      </c>
      <c r="AF316" s="167">
        <v>5.6511295681063096</v>
      </c>
      <c r="AG316" s="222">
        <v>3.6092980818197298E-2</v>
      </c>
      <c r="AH316" s="223">
        <v>0.55093833780160895</v>
      </c>
      <c r="AI316" s="223">
        <v>0.48525469168900798</v>
      </c>
      <c r="AJ316" s="167">
        <v>0.60168052962145602</v>
      </c>
      <c r="AK316" s="224">
        <v>0.40186301137328101</v>
      </c>
      <c r="AL316" s="224">
        <v>9.5039042607367202E-2</v>
      </c>
      <c r="AM316" s="82">
        <v>2.97699881174673E-2</v>
      </c>
      <c r="AN316" s="195">
        <v>4.8250000000000002</v>
      </c>
    </row>
    <row r="317" spans="1:40" s="167" customFormat="1" ht="16.05" customHeight="1">
      <c r="A317" s="186">
        <v>43658</v>
      </c>
      <c r="B317" s="187" t="s">
        <v>51</v>
      </c>
      <c r="C317" s="188">
        <v>8813</v>
      </c>
      <c r="D317" s="188">
        <v>50570</v>
      </c>
      <c r="E317" s="189">
        <v>5.7381141495517998</v>
      </c>
      <c r="F317" s="167">
        <v>0.346837326952739</v>
      </c>
      <c r="G317" s="190">
        <v>8.2200000000000006</v>
      </c>
      <c r="H317" s="190">
        <v>17.41</v>
      </c>
      <c r="I317" s="219">
        <v>0.22600000000000001</v>
      </c>
      <c r="J317" s="219">
        <v>0.10299999999999999</v>
      </c>
      <c r="K317" s="219">
        <v>5.3999999999999999E-2</v>
      </c>
      <c r="L317" s="167">
        <v>9.2288313229187295</v>
      </c>
      <c r="M317" s="220">
        <v>9.3842989914969408</v>
      </c>
      <c r="N317" s="167">
        <v>15.0121472858408</v>
      </c>
      <c r="O317" s="193">
        <v>0.62511370377694297</v>
      </c>
      <c r="P317" s="167">
        <v>2.41240668100721</v>
      </c>
      <c r="Q317" s="167">
        <v>2.53770719979754</v>
      </c>
      <c r="R317" s="167">
        <v>0.84518537264329996</v>
      </c>
      <c r="S317" s="167">
        <v>4.6355814247753999</v>
      </c>
      <c r="T317" s="167">
        <v>1.62349740604834</v>
      </c>
      <c r="U317" s="167">
        <v>0.47924838668859898</v>
      </c>
      <c r="V317" s="167">
        <v>1.64826648108313</v>
      </c>
      <c r="W317" s="167">
        <v>0.83025433379729197</v>
      </c>
      <c r="X317" s="167">
        <v>1.2853470437018E-3</v>
      </c>
      <c r="Y317" s="189">
        <v>9.3855843385406406</v>
      </c>
      <c r="Z317" s="207">
        <v>375</v>
      </c>
      <c r="AA317" s="207">
        <v>275</v>
      </c>
      <c r="AB317" s="167">
        <v>1986.25</v>
      </c>
      <c r="AC317" s="221"/>
      <c r="AD317" s="195">
        <v>7.4154637136642299E-3</v>
      </c>
      <c r="AE317" s="219">
        <v>5.4380067233537697E-3</v>
      </c>
      <c r="AF317" s="167">
        <v>5.2966666666666704</v>
      </c>
      <c r="AG317" s="222">
        <v>3.9277239470041497E-2</v>
      </c>
      <c r="AH317" s="223">
        <v>0.42970611596505198</v>
      </c>
      <c r="AI317" s="223">
        <v>0.28367184840576398</v>
      </c>
      <c r="AJ317" s="167">
        <v>0.551315008898556</v>
      </c>
      <c r="AK317" s="224">
        <v>0.366205260035594</v>
      </c>
      <c r="AL317" s="224">
        <v>8.8352778327071405E-2</v>
      </c>
      <c r="AM317" s="82">
        <v>1.8034407751631398E-2</v>
      </c>
      <c r="AN317" s="195">
        <v>4.28</v>
      </c>
    </row>
    <row r="318" spans="1:40" s="167" customFormat="1" ht="13.95" customHeight="1">
      <c r="A318" s="186">
        <v>43659</v>
      </c>
      <c r="B318" s="185" t="s">
        <v>51</v>
      </c>
      <c r="C318" s="188">
        <v>5103</v>
      </c>
      <c r="D318" s="188">
        <v>47077</v>
      </c>
      <c r="E318" s="189">
        <v>9.2253576327650393</v>
      </c>
      <c r="F318" s="167">
        <v>0.64191440176731696</v>
      </c>
      <c r="G318" s="190">
        <v>7.35</v>
      </c>
      <c r="H318" s="190">
        <v>14.93</v>
      </c>
      <c r="I318" s="219">
        <v>0.214</v>
      </c>
      <c r="J318" s="219">
        <v>0.1</v>
      </c>
      <c r="K318" s="219">
        <v>5.3999999999999999E-2</v>
      </c>
      <c r="L318" s="167">
        <v>13.7162096140366</v>
      </c>
      <c r="M318" s="220">
        <v>15.759479151177899</v>
      </c>
      <c r="N318" s="167">
        <v>23.188279418659199</v>
      </c>
      <c r="O318" s="193">
        <v>0.67963124243260997</v>
      </c>
      <c r="P318" s="167">
        <v>3.0401625253945901</v>
      </c>
      <c r="Q318" s="167">
        <v>3.5731520550085998</v>
      </c>
      <c r="R318" s="167">
        <v>1.5026097827785601</v>
      </c>
      <c r="S318" s="167">
        <v>8.9521487732458205</v>
      </c>
      <c r="T318" s="167">
        <v>2.21306454133458</v>
      </c>
      <c r="U318" s="167">
        <v>0.40790748554461598</v>
      </c>
      <c r="V318" s="167">
        <v>2.4999531176746399</v>
      </c>
      <c r="W318" s="167">
        <v>0.99928113767776205</v>
      </c>
      <c r="X318" s="167">
        <v>3.1650275081249899E-3</v>
      </c>
      <c r="Y318" s="189">
        <v>15.762644178685999</v>
      </c>
      <c r="Z318" s="207">
        <v>765</v>
      </c>
      <c r="AA318" s="207">
        <v>481</v>
      </c>
      <c r="AB318" s="167">
        <v>5281.35</v>
      </c>
      <c r="AC318" s="221"/>
      <c r="AD318" s="195">
        <v>1.6249973447755799E-2</v>
      </c>
      <c r="AE318" s="219">
        <v>1.02173035664974E-2</v>
      </c>
      <c r="AF318" s="167">
        <v>6.9037254901960798</v>
      </c>
      <c r="AG318" s="222">
        <v>0.112185355906281</v>
      </c>
      <c r="AH318" s="223">
        <v>0.51753870272388802</v>
      </c>
      <c r="AI318" s="223">
        <v>0.42465216539290601</v>
      </c>
      <c r="AJ318" s="167">
        <v>0.46842407120249802</v>
      </c>
      <c r="AK318" s="224">
        <v>0.35422817936571999</v>
      </c>
      <c r="AL318" s="224">
        <v>8.5944304012575107E-2</v>
      </c>
      <c r="AM318" s="82">
        <v>0.38065297278926002</v>
      </c>
      <c r="AN318" s="195">
        <v>3.782</v>
      </c>
    </row>
    <row r="319" spans="1:40" s="167" customFormat="1" ht="13.95" customHeight="1">
      <c r="A319" s="186">
        <v>43660</v>
      </c>
      <c r="B319" s="185" t="s">
        <v>51</v>
      </c>
      <c r="C319" s="188">
        <v>6667</v>
      </c>
      <c r="D319" s="188">
        <v>47937</v>
      </c>
      <c r="E319" s="189">
        <v>7.1901904904754801</v>
      </c>
      <c r="F319" s="167">
        <v>0.538869525502222</v>
      </c>
      <c r="G319" s="190">
        <v>7.16</v>
      </c>
      <c r="H319" s="190">
        <v>14.96</v>
      </c>
      <c r="I319" s="219">
        <v>0.251</v>
      </c>
      <c r="J319" s="219">
        <v>0.114</v>
      </c>
      <c r="K319" s="225">
        <v>6.4000000000000001E-2</v>
      </c>
      <c r="L319" s="167">
        <v>13.0084694494858</v>
      </c>
      <c r="M319" s="220">
        <v>14.9677284769593</v>
      </c>
      <c r="N319" s="167">
        <v>22.1459921602519</v>
      </c>
      <c r="O319" s="193">
        <v>0.67586624110812099</v>
      </c>
      <c r="P319" s="167">
        <v>3.0065125466835401</v>
      </c>
      <c r="Q319" s="167">
        <v>3.6800209883021102</v>
      </c>
      <c r="R319" s="167">
        <v>1.40964227290966</v>
      </c>
      <c r="S319" s="167">
        <v>8.0680885212506599</v>
      </c>
      <c r="T319" s="167">
        <v>2.18330812679404</v>
      </c>
      <c r="U319" s="167">
        <v>0.40837680175314101</v>
      </c>
      <c r="V319" s="167">
        <v>2.3776351121948198</v>
      </c>
      <c r="W319" s="167">
        <v>1.0124077903638999</v>
      </c>
      <c r="X319" s="167">
        <v>3.4628783611823899E-3</v>
      </c>
      <c r="Y319" s="189">
        <v>14.971191355320499</v>
      </c>
      <c r="Z319" s="207">
        <v>574</v>
      </c>
      <c r="AA319" s="207">
        <v>407</v>
      </c>
      <c r="AB319" s="167">
        <v>3792.26</v>
      </c>
      <c r="AC319" s="221"/>
      <c r="AD319" s="195">
        <v>1.19740492730042E-2</v>
      </c>
      <c r="AE319" s="219">
        <v>8.4903101988026003E-3</v>
      </c>
      <c r="AF319" s="167">
        <v>6.6067247386759602</v>
      </c>
      <c r="AG319" s="222">
        <v>7.9109247554081399E-2</v>
      </c>
      <c r="AH319" s="223">
        <v>0.47007649617519098</v>
      </c>
      <c r="AI319" s="223">
        <v>0.325783710814459</v>
      </c>
      <c r="AJ319" s="167">
        <v>0.44454179443853398</v>
      </c>
      <c r="AK319" s="224">
        <v>0.33195652627406802</v>
      </c>
      <c r="AL319" s="224">
        <v>7.9249848759830599E-2</v>
      </c>
      <c r="AM319" s="82">
        <v>0.395039322444041</v>
      </c>
      <c r="AN319" s="195">
        <v>4.7960000000000003</v>
      </c>
    </row>
    <row r="320" spans="1:40" s="167" customFormat="1" ht="15" customHeight="1">
      <c r="A320" s="186">
        <v>43661</v>
      </c>
      <c r="B320" s="185" t="s">
        <v>51</v>
      </c>
      <c r="C320" s="188">
        <v>6550</v>
      </c>
      <c r="D320" s="188">
        <v>48707</v>
      </c>
      <c r="E320" s="189">
        <v>7.43618320610687</v>
      </c>
      <c r="F320" s="167">
        <v>0.49619753474859901</v>
      </c>
      <c r="G320" s="190">
        <v>7.13</v>
      </c>
      <c r="H320" s="190">
        <v>14.38</v>
      </c>
      <c r="I320" s="219">
        <v>0.247</v>
      </c>
      <c r="J320" s="219">
        <v>0.11600000000000001</v>
      </c>
      <c r="K320" s="219">
        <v>6.0999999999999999E-2</v>
      </c>
      <c r="L320" s="167">
        <v>12.3865768780668</v>
      </c>
      <c r="M320" s="220">
        <v>14.0913010450243</v>
      </c>
      <c r="N320" s="167">
        <v>20.7712677420331</v>
      </c>
      <c r="O320" s="193">
        <v>0.67840351489519002</v>
      </c>
      <c r="P320" s="167">
        <v>2.9032170202463501</v>
      </c>
      <c r="Q320" s="167">
        <v>3.5837847653058099</v>
      </c>
      <c r="R320" s="167">
        <v>1.2681051962594201</v>
      </c>
      <c r="S320" s="167">
        <v>7.2166873467905504</v>
      </c>
      <c r="T320" s="167">
        <v>2.1133371667221499</v>
      </c>
      <c r="U320" s="167">
        <v>0.40480585903216998</v>
      </c>
      <c r="V320" s="167">
        <v>2.2861120358321001</v>
      </c>
      <c r="W320" s="167">
        <v>0.99521835184456597</v>
      </c>
      <c r="X320" s="167">
        <v>3.7982220214753501E-3</v>
      </c>
      <c r="Y320" s="189">
        <v>14.0950992670458</v>
      </c>
      <c r="Z320" s="207">
        <v>501</v>
      </c>
      <c r="AA320" s="207">
        <v>359</v>
      </c>
      <c r="AB320" s="167">
        <v>3549.99</v>
      </c>
      <c r="AC320" s="221"/>
      <c r="AD320" s="195">
        <v>1.02859958527522E-2</v>
      </c>
      <c r="AE320" s="219">
        <v>7.3706038146467701E-3</v>
      </c>
      <c r="AF320" s="167">
        <v>7.0858083832335303</v>
      </c>
      <c r="AG320" s="222">
        <v>7.28845956433367E-2</v>
      </c>
      <c r="AH320" s="223">
        <v>0.48732824427480897</v>
      </c>
      <c r="AI320" s="223">
        <v>0.360610687022901</v>
      </c>
      <c r="AJ320" s="167">
        <v>0.45295337425832</v>
      </c>
      <c r="AK320" s="224">
        <v>0.33097912004434699</v>
      </c>
      <c r="AL320" s="224">
        <v>8.0152750118052798E-2</v>
      </c>
      <c r="AM320" s="82">
        <v>0.38828094524401002</v>
      </c>
      <c r="AN320" s="195">
        <v>3.8149999999999999</v>
      </c>
    </row>
    <row r="321" spans="1:40" s="167" customFormat="1" ht="15" customHeight="1">
      <c r="A321" s="186">
        <v>43662</v>
      </c>
      <c r="B321" s="185" t="s">
        <v>51</v>
      </c>
      <c r="C321" s="188">
        <v>10465</v>
      </c>
      <c r="D321" s="188">
        <v>51398</v>
      </c>
      <c r="E321" s="189">
        <v>4.9114190157668398</v>
      </c>
      <c r="F321" s="167">
        <v>0.443993782870929</v>
      </c>
      <c r="G321" s="190">
        <v>7.89</v>
      </c>
      <c r="H321" s="190">
        <v>15.89</v>
      </c>
      <c r="I321" s="219">
        <v>0.23200000000000001</v>
      </c>
      <c r="J321" s="219">
        <v>9.6000000000000002E-2</v>
      </c>
      <c r="K321" s="219">
        <v>4.8000000000000001E-2</v>
      </c>
      <c r="L321" s="167">
        <v>10.684754270594199</v>
      </c>
      <c r="M321" s="220">
        <v>11.970426864858601</v>
      </c>
      <c r="N321" s="167">
        <v>18.743518659558301</v>
      </c>
      <c r="O321" s="193">
        <v>0.63864352698548599</v>
      </c>
      <c r="P321" s="167">
        <v>2.6990403655750201</v>
      </c>
      <c r="Q321" s="167">
        <v>3.1972581873572001</v>
      </c>
      <c r="R321" s="167">
        <v>1.160761614623</v>
      </c>
      <c r="S321" s="167">
        <v>6.31454683929931</v>
      </c>
      <c r="T321" s="167">
        <v>1.90589489718203</v>
      </c>
      <c r="U321" s="167">
        <v>0.43984767707540001</v>
      </c>
      <c r="V321" s="167">
        <v>2.0963290175171401</v>
      </c>
      <c r="W321" s="167">
        <v>0.92984006092917004</v>
      </c>
      <c r="X321" s="167">
        <v>2.9767695241060001E-3</v>
      </c>
      <c r="Y321" s="189">
        <v>11.9734036343827</v>
      </c>
      <c r="Z321" s="207">
        <v>475</v>
      </c>
      <c r="AA321" s="207">
        <v>340</v>
      </c>
      <c r="AB321" s="167">
        <v>2856.25</v>
      </c>
      <c r="AC321" s="221"/>
      <c r="AD321" s="195">
        <v>9.2416047317016199E-3</v>
      </c>
      <c r="AE321" s="219">
        <v>6.6150433869022101E-3</v>
      </c>
      <c r="AF321" s="167">
        <v>6.0131578947368398</v>
      </c>
      <c r="AG321" s="222">
        <v>5.5571228452469E-2</v>
      </c>
      <c r="AH321" s="223">
        <v>0.38079311992355502</v>
      </c>
      <c r="AI321" s="223">
        <v>0.229813664596273</v>
      </c>
      <c r="AJ321" s="167">
        <v>0.47400677069146702</v>
      </c>
      <c r="AK321" s="224">
        <v>0.31940931553757002</v>
      </c>
      <c r="AL321" s="224">
        <v>8.1287209619051295E-2</v>
      </c>
      <c r="AM321" s="82">
        <v>0.31219113584186198</v>
      </c>
      <c r="AN321" s="195">
        <v>3.843</v>
      </c>
    </row>
    <row r="322" spans="1:40" s="168" customFormat="1" ht="15" customHeight="1">
      <c r="A322" s="226">
        <v>43663</v>
      </c>
      <c r="B322" s="227" t="s">
        <v>51</v>
      </c>
      <c r="C322" s="228">
        <v>20425</v>
      </c>
      <c r="D322" s="228">
        <v>60135</v>
      </c>
      <c r="E322" s="234">
        <v>2.9441860465116299</v>
      </c>
      <c r="F322" s="168">
        <v>0.335536754103268</v>
      </c>
      <c r="G322" s="235">
        <v>8.43</v>
      </c>
      <c r="H322" s="235">
        <v>17.55</v>
      </c>
      <c r="I322" s="238">
        <v>0.214</v>
      </c>
      <c r="J322" s="238">
        <v>8.6999999999999994E-2</v>
      </c>
      <c r="K322" s="238">
        <v>4.3999999999999997E-2</v>
      </c>
      <c r="L322" s="168">
        <v>8.5742246611790094</v>
      </c>
      <c r="M322" s="239">
        <v>8.7297247858983908</v>
      </c>
      <c r="N322" s="168">
        <v>15.2004285383368</v>
      </c>
      <c r="O322" s="240">
        <v>0.57430780743327503</v>
      </c>
      <c r="P322" s="168">
        <v>2.4910817697475101</v>
      </c>
      <c r="Q322" s="168">
        <v>2.4620106555478301</v>
      </c>
      <c r="R322" s="168">
        <v>0.83706856613388902</v>
      </c>
      <c r="S322" s="168">
        <v>4.8085765577947699</v>
      </c>
      <c r="T322" s="168">
        <v>1.6067871206856601</v>
      </c>
      <c r="U322" s="168">
        <v>0.51291406069029399</v>
      </c>
      <c r="V322" s="168">
        <v>1.6591093351864701</v>
      </c>
      <c r="W322" s="168">
        <v>0.82288047255038199</v>
      </c>
      <c r="X322" s="168">
        <v>3.2759624178930699E-3</v>
      </c>
      <c r="Y322" s="234">
        <v>8.7330007483162895</v>
      </c>
      <c r="Z322" s="243">
        <v>369</v>
      </c>
      <c r="AA322" s="243">
        <v>280</v>
      </c>
      <c r="AB322" s="168">
        <v>2375.31</v>
      </c>
      <c r="AC322" s="245"/>
      <c r="AD322" s="246">
        <v>6.1361935644799201E-3</v>
      </c>
      <c r="AE322" s="238">
        <v>4.6561902386297498E-3</v>
      </c>
      <c r="AF322" s="168">
        <v>6.4371544715447104</v>
      </c>
      <c r="AG322" s="249">
        <v>3.9499625841855797E-2</v>
      </c>
      <c r="AH322" s="250">
        <v>0.36313341493268098</v>
      </c>
      <c r="AI322" s="250">
        <v>0.19525091799265601</v>
      </c>
      <c r="AJ322" s="168">
        <v>0.47163881267148899</v>
      </c>
      <c r="AK322" s="253">
        <v>0.28692109420470602</v>
      </c>
      <c r="AL322" s="253">
        <v>7.0757462376319899E-2</v>
      </c>
      <c r="AM322" s="254">
        <v>4.7227072420387498E-2</v>
      </c>
      <c r="AN322" s="195">
        <v>4.1390000000000002</v>
      </c>
    </row>
    <row r="323" spans="1:40" s="169" customFormat="1" ht="16.05" customHeight="1">
      <c r="A323" s="229">
        <v>43664</v>
      </c>
      <c r="B323" s="230" t="s">
        <v>51</v>
      </c>
      <c r="C323" s="231">
        <v>15659</v>
      </c>
      <c r="D323" s="231">
        <v>56686</v>
      </c>
      <c r="E323" s="236">
        <v>3.6200268216361202</v>
      </c>
      <c r="F323" s="169">
        <v>0.37542881434569397</v>
      </c>
      <c r="G323" s="237">
        <v>8.9</v>
      </c>
      <c r="H323" s="237">
        <v>18.809999999999999</v>
      </c>
      <c r="I323" s="225">
        <v>0.22800000000000001</v>
      </c>
      <c r="J323" s="225">
        <v>9.8000000000000004E-2</v>
      </c>
      <c r="K323" s="225">
        <v>5.0999999999999997E-2</v>
      </c>
      <c r="L323" s="169">
        <v>9.0739159580848892</v>
      </c>
      <c r="M323" s="241">
        <v>9.3653106587164405</v>
      </c>
      <c r="N323" s="169">
        <v>15.5296767588123</v>
      </c>
      <c r="O323" s="242">
        <v>0.60305895635606899</v>
      </c>
      <c r="P323" s="169">
        <v>2.5029106333187099</v>
      </c>
      <c r="Q323" s="169">
        <v>2.6253327482814099</v>
      </c>
      <c r="R323" s="169">
        <v>0.83943249963434197</v>
      </c>
      <c r="S323" s="169">
        <v>4.86245429281849</v>
      </c>
      <c r="T323" s="169">
        <v>1.63337721222758</v>
      </c>
      <c r="U323" s="169">
        <v>0.51382185168933703</v>
      </c>
      <c r="V323" s="169">
        <v>1.69834722831651</v>
      </c>
      <c r="W323" s="169">
        <v>0.85400029252596199</v>
      </c>
      <c r="X323" s="169">
        <v>9.8789824648061204E-4</v>
      </c>
      <c r="Y323" s="236">
        <v>9.3662985569629207</v>
      </c>
      <c r="Z323" s="244">
        <v>391</v>
      </c>
      <c r="AA323" s="244">
        <v>266</v>
      </c>
      <c r="AB323" s="169">
        <v>2425.09</v>
      </c>
      <c r="AC323" s="247"/>
      <c r="AD323" s="248">
        <v>6.8976466852485596E-3</v>
      </c>
      <c r="AE323" s="225">
        <v>4.69251667078291E-3</v>
      </c>
      <c r="AF323" s="169">
        <v>6.20227621483376</v>
      </c>
      <c r="AG323" s="251">
        <v>4.27811099742441E-2</v>
      </c>
      <c r="AH323" s="252">
        <v>0.42646401430487302</v>
      </c>
      <c r="AI323" s="252">
        <v>0.27217574557762297</v>
      </c>
      <c r="AJ323" s="169">
        <v>0.50527467099460199</v>
      </c>
      <c r="AK323" s="255">
        <v>0.308912253466464</v>
      </c>
      <c r="AL323" s="255">
        <v>7.1993084712274599E-2</v>
      </c>
      <c r="AM323" s="256">
        <v>0</v>
      </c>
      <c r="AN323" s="195">
        <v>4.1109999999999998</v>
      </c>
    </row>
    <row r="324" spans="1:40" s="169" customFormat="1" ht="16.05" customHeight="1">
      <c r="A324" s="229">
        <v>43665</v>
      </c>
      <c r="B324" s="230" t="s">
        <v>51</v>
      </c>
      <c r="C324" s="231">
        <v>9925</v>
      </c>
      <c r="D324" s="231">
        <v>50509</v>
      </c>
      <c r="E324" s="236">
        <v>5.0890680100755699</v>
      </c>
      <c r="F324" s="169">
        <v>0.35957687313152098</v>
      </c>
      <c r="G324" s="237">
        <v>8.33</v>
      </c>
      <c r="H324" s="237">
        <v>17.38</v>
      </c>
      <c r="I324" s="225">
        <v>0.26300000000000001</v>
      </c>
      <c r="J324" s="225">
        <v>0.121</v>
      </c>
      <c r="K324" s="225">
        <v>0.06</v>
      </c>
      <c r="L324" s="169">
        <v>9.1937872458373793</v>
      </c>
      <c r="M324" s="241">
        <v>9.6009622047555894</v>
      </c>
      <c r="N324" s="169">
        <v>15.2696958246741</v>
      </c>
      <c r="O324" s="242">
        <v>0.62875923102813402</v>
      </c>
      <c r="P324" s="169">
        <v>2.4310724856729</v>
      </c>
      <c r="Q324" s="169">
        <v>2.6194974494615502</v>
      </c>
      <c r="R324" s="169">
        <v>0.84123685370615298</v>
      </c>
      <c r="S324" s="169">
        <v>4.7413565085962599</v>
      </c>
      <c r="T324" s="169">
        <v>1.6151520876629499</v>
      </c>
      <c r="U324" s="169">
        <v>0.50403048050884802</v>
      </c>
      <c r="V324" s="169">
        <v>1.6749795327161701</v>
      </c>
      <c r="W324" s="169">
        <v>0.84237042634926595</v>
      </c>
      <c r="X324" s="169">
        <v>1.26710091270863E-3</v>
      </c>
      <c r="Y324" s="236">
        <v>9.6022293056683008</v>
      </c>
      <c r="Z324" s="244">
        <v>388</v>
      </c>
      <c r="AA324" s="244">
        <v>281</v>
      </c>
      <c r="AB324" s="169">
        <v>2133.12</v>
      </c>
      <c r="AC324" s="247"/>
      <c r="AD324" s="248">
        <v>7.6817992832960503E-3</v>
      </c>
      <c r="AE324" s="225">
        <v>5.5633649448613102E-3</v>
      </c>
      <c r="AF324" s="169">
        <v>5.4977319587628903</v>
      </c>
      <c r="AG324" s="251">
        <v>4.2232473420578502E-2</v>
      </c>
      <c r="AH324" s="252">
        <v>0.45360201511335002</v>
      </c>
      <c r="AI324" s="252">
        <v>0.32342569269521398</v>
      </c>
      <c r="AJ324" s="169">
        <v>0.55037716050604801</v>
      </c>
      <c r="AK324" s="255">
        <v>0.34023639351402701</v>
      </c>
      <c r="AL324" s="255">
        <v>7.8302876715040895E-2</v>
      </c>
      <c r="AM324" s="256">
        <v>0</v>
      </c>
      <c r="AN324" s="195">
        <v>3.8029999999999999</v>
      </c>
    </row>
    <row r="325" spans="1:40" s="169" customFormat="1" ht="16.05" customHeight="1">
      <c r="A325" s="229">
        <v>43666</v>
      </c>
      <c r="B325" s="232" t="s">
        <v>51</v>
      </c>
      <c r="C325" s="231">
        <v>20711</v>
      </c>
      <c r="D325" s="231">
        <v>60771</v>
      </c>
      <c r="E325" s="236">
        <v>2.9342378446236301</v>
      </c>
      <c r="F325" s="169">
        <v>0.49191198553586402</v>
      </c>
      <c r="G325" s="237">
        <v>7</v>
      </c>
      <c r="H325" s="237">
        <v>15.28</v>
      </c>
      <c r="I325" s="225">
        <v>0.252</v>
      </c>
      <c r="J325" s="225">
        <v>0.11899999999999999</v>
      </c>
      <c r="K325" s="225">
        <v>5.5E-2</v>
      </c>
      <c r="L325" s="169">
        <v>11.709088216419</v>
      </c>
      <c r="M325" s="241">
        <v>13.0393937898011</v>
      </c>
      <c r="N325" s="169">
        <v>21.617661501527699</v>
      </c>
      <c r="O325" s="242">
        <v>0.60318243899228297</v>
      </c>
      <c r="P325" s="169">
        <v>2.9929615888258398</v>
      </c>
      <c r="Q325" s="169">
        <v>3.4132474901789598</v>
      </c>
      <c r="R325" s="169">
        <v>1.3026789611523399</v>
      </c>
      <c r="S325" s="169">
        <v>8.1461697948494098</v>
      </c>
      <c r="T325" s="169">
        <v>1.9988269314709699</v>
      </c>
      <c r="U325" s="169">
        <v>0.47225556525534701</v>
      </c>
      <c r="V325" s="169">
        <v>2.3438727629856002</v>
      </c>
      <c r="W325" s="169">
        <v>0.947648406809254</v>
      </c>
      <c r="X325" s="169">
        <v>2.86320778002666E-3</v>
      </c>
      <c r="Y325" s="236">
        <v>13.0422569975811</v>
      </c>
      <c r="Z325" s="244">
        <v>681</v>
      </c>
      <c r="AA325" s="244">
        <v>447</v>
      </c>
      <c r="AB325" s="169">
        <v>5096.1899999999996</v>
      </c>
      <c r="AC325" s="247"/>
      <c r="AD325" s="248">
        <v>1.12060028632078E-2</v>
      </c>
      <c r="AE325" s="225">
        <v>7.35548205558572E-3</v>
      </c>
      <c r="AF325" s="169">
        <v>7.4833920704845802</v>
      </c>
      <c r="AG325" s="251">
        <v>8.3858912968356597E-2</v>
      </c>
      <c r="AH325" s="252">
        <v>0.43208922794650201</v>
      </c>
      <c r="AI325" s="252">
        <v>0.25397131958862401</v>
      </c>
      <c r="AJ325" s="169">
        <v>0.402231327442366</v>
      </c>
      <c r="AK325" s="255">
        <v>0.25467739546823298</v>
      </c>
      <c r="AL325" s="255">
        <v>5.9617251649635501E-2</v>
      </c>
      <c r="AM325" s="256">
        <v>0</v>
      </c>
      <c r="AN325" s="195">
        <v>4.2140000000000004</v>
      </c>
    </row>
    <row r="326" spans="1:40" s="169" customFormat="1" ht="16.05" customHeight="1">
      <c r="A326" s="229">
        <v>43667</v>
      </c>
      <c r="B326" s="232" t="s">
        <v>51</v>
      </c>
      <c r="C326" s="231">
        <v>17446</v>
      </c>
      <c r="D326" s="231">
        <v>60153</v>
      </c>
      <c r="E326" s="236">
        <v>3.4479536856586002</v>
      </c>
      <c r="F326" s="169">
        <v>0.49192995052615801</v>
      </c>
      <c r="G326" s="237">
        <v>7.27</v>
      </c>
      <c r="H326" s="237">
        <v>15.78</v>
      </c>
      <c r="I326" s="225">
        <v>0.255</v>
      </c>
      <c r="J326" s="225">
        <v>0.112</v>
      </c>
      <c r="K326" s="225">
        <v>5.8999999999999997E-2</v>
      </c>
      <c r="L326" s="169">
        <v>11.5555167655811</v>
      </c>
      <c r="M326" s="241">
        <v>12.938972287334</v>
      </c>
      <c r="N326" s="169">
        <v>20.636828847938499</v>
      </c>
      <c r="O326" s="242">
        <v>0.62698452280019301</v>
      </c>
      <c r="P326" s="169">
        <v>2.8648283176454998</v>
      </c>
      <c r="Q326" s="169">
        <v>3.57611030094127</v>
      </c>
      <c r="R326" s="169">
        <v>1.2422908657033001</v>
      </c>
      <c r="S326" s="169">
        <v>7.3008882407530198</v>
      </c>
      <c r="T326" s="169">
        <v>1.97550046400636</v>
      </c>
      <c r="U326" s="169">
        <v>0.45957841707543401</v>
      </c>
      <c r="V326" s="169">
        <v>2.24160148482036</v>
      </c>
      <c r="W326" s="169">
        <v>0.97603075699323905</v>
      </c>
      <c r="X326" s="169">
        <v>2.7928781606902401E-3</v>
      </c>
      <c r="Y326" s="236">
        <v>12.941765165494701</v>
      </c>
      <c r="Z326" s="244">
        <v>688</v>
      </c>
      <c r="AA326" s="244">
        <v>448</v>
      </c>
      <c r="AB326" s="169">
        <v>4682.12</v>
      </c>
      <c r="AC326" s="247"/>
      <c r="AD326" s="248">
        <v>1.14375010390172E-2</v>
      </c>
      <c r="AE326" s="225">
        <v>7.4476750951739702E-3</v>
      </c>
      <c r="AF326" s="169">
        <v>6.80540697674419</v>
      </c>
      <c r="AG326" s="251">
        <v>7.7836849367446295E-2</v>
      </c>
      <c r="AH326" s="252">
        <v>0.45609308724062803</v>
      </c>
      <c r="AI326" s="252">
        <v>0.304310443654706</v>
      </c>
      <c r="AJ326" s="169">
        <v>0.425531561185643</v>
      </c>
      <c r="AK326" s="255">
        <v>0.255797715824647</v>
      </c>
      <c r="AL326" s="255">
        <v>5.8866556946453201E-2</v>
      </c>
      <c r="AM326" s="256">
        <v>0.33097268631655902</v>
      </c>
      <c r="AN326" s="195">
        <v>4.5629999999999997</v>
      </c>
    </row>
    <row r="327" spans="1:40" s="169" customFormat="1" ht="16.05" customHeight="1">
      <c r="A327" s="229">
        <v>43668</v>
      </c>
      <c r="B327" s="232" t="s">
        <v>51</v>
      </c>
      <c r="C327" s="231">
        <v>14297</v>
      </c>
      <c r="D327" s="231">
        <v>59322</v>
      </c>
      <c r="E327" s="236">
        <v>4.1492620829544702</v>
      </c>
      <c r="F327" s="169">
        <v>0.47093218468696302</v>
      </c>
      <c r="G327" s="237">
        <v>7.59</v>
      </c>
      <c r="H327" s="237">
        <v>16.47</v>
      </c>
      <c r="I327" s="225">
        <v>0.24399999999999999</v>
      </c>
      <c r="J327" s="225">
        <v>0.11700000000000001</v>
      </c>
      <c r="K327" s="225">
        <v>6.3E-2</v>
      </c>
      <c r="L327" s="169">
        <v>11.948838542193499</v>
      </c>
      <c r="M327" s="241">
        <v>13.436633963790801</v>
      </c>
      <c r="N327" s="169">
        <v>20.647808517252098</v>
      </c>
      <c r="O327" s="242">
        <v>0.65075351471629395</v>
      </c>
      <c r="P327" s="169">
        <v>2.87584188167029</v>
      </c>
      <c r="Q327" s="169">
        <v>3.70414982903326</v>
      </c>
      <c r="R327" s="169">
        <v>1.2346907056263601</v>
      </c>
      <c r="S327" s="169">
        <v>6.5267329810382302</v>
      </c>
      <c r="T327" s="169">
        <v>1.9869184540462099</v>
      </c>
      <c r="U327" s="169">
        <v>0.453269091285877</v>
      </c>
      <c r="V327" s="169">
        <v>2.2780540876593101</v>
      </c>
      <c r="W327" s="169">
        <v>1.01310745000518</v>
      </c>
      <c r="X327" s="169">
        <v>3.5568591753481001E-3</v>
      </c>
      <c r="Y327" s="236">
        <v>13.440190822966199</v>
      </c>
      <c r="Z327" s="244">
        <v>525</v>
      </c>
      <c r="AA327" s="244">
        <v>369</v>
      </c>
      <c r="AB327" s="169">
        <v>3382.75</v>
      </c>
      <c r="AC327" s="247"/>
      <c r="AD327" s="248">
        <v>8.8500050571457493E-3</v>
      </c>
      <c r="AE327" s="225">
        <v>6.2202892687367303E-3</v>
      </c>
      <c r="AF327" s="169">
        <v>6.4433333333333298</v>
      </c>
      <c r="AG327" s="251">
        <v>5.7023532584875802E-2</v>
      </c>
      <c r="AH327" s="252">
        <v>0.48003077568720698</v>
      </c>
      <c r="AI327" s="252">
        <v>0.35056305518640302</v>
      </c>
      <c r="AJ327" s="169">
        <v>0.46235797849027299</v>
      </c>
      <c r="AK327" s="255">
        <v>0.277350729914703</v>
      </c>
      <c r="AL327" s="255">
        <v>6.3467179124102394E-2</v>
      </c>
      <c r="AM327" s="256">
        <v>0.34390276794443903</v>
      </c>
      <c r="AN327" s="195">
        <v>3.9649999999999999</v>
      </c>
    </row>
    <row r="328" spans="1:40" s="169" customFormat="1" ht="16.05" customHeight="1">
      <c r="A328" s="229">
        <v>43669</v>
      </c>
      <c r="B328" s="232" t="s">
        <v>51</v>
      </c>
      <c r="C328" s="231">
        <v>14303</v>
      </c>
      <c r="D328" s="231">
        <v>58295</v>
      </c>
      <c r="E328" s="236">
        <v>4.0757183807592803</v>
      </c>
      <c r="F328" s="169">
        <v>0.43877285702032798</v>
      </c>
      <c r="G328" s="237">
        <v>8.1999999999999993</v>
      </c>
      <c r="H328" s="237">
        <v>13.32</v>
      </c>
      <c r="I328" s="225">
        <v>0.27600000000000002</v>
      </c>
      <c r="J328" s="225">
        <v>0.112</v>
      </c>
      <c r="K328" s="225">
        <v>5.5E-2</v>
      </c>
      <c r="L328" s="169">
        <v>10.8912085084484</v>
      </c>
      <c r="M328" s="241">
        <v>11.6163478857535</v>
      </c>
      <c r="N328" s="169">
        <v>18.197269771316499</v>
      </c>
      <c r="O328" s="242">
        <v>0.63835663435972201</v>
      </c>
      <c r="P328" s="169">
        <v>2.6320371913041098</v>
      </c>
      <c r="Q328" s="169">
        <v>3.2191169752505799</v>
      </c>
      <c r="R328" s="169">
        <v>1.0901297933517899</v>
      </c>
      <c r="S328" s="169">
        <v>6.0109101658022697</v>
      </c>
      <c r="T328" s="169">
        <v>1.7953672103834699</v>
      </c>
      <c r="U328" s="169">
        <v>0.47101819256711402</v>
      </c>
      <c r="V328" s="169">
        <v>2.0343697095101199</v>
      </c>
      <c r="W328" s="169">
        <v>0.94432053314701803</v>
      </c>
      <c r="X328" s="169">
        <v>1.1836349601166501E-3</v>
      </c>
      <c r="Y328" s="236">
        <v>11.6175315207136</v>
      </c>
      <c r="Z328" s="244">
        <v>478</v>
      </c>
      <c r="AA328" s="244">
        <v>350</v>
      </c>
      <c r="AB328" s="169">
        <v>3140.22</v>
      </c>
      <c r="AC328" s="247"/>
      <c r="AD328" s="248">
        <v>8.1996740715327195E-3</v>
      </c>
      <c r="AE328" s="225">
        <v>6.0039454498670604E-3</v>
      </c>
      <c r="AF328" s="169">
        <v>6.5694979079497902</v>
      </c>
      <c r="AG328" s="251">
        <v>5.38677416588043E-2</v>
      </c>
      <c r="AH328" s="252">
        <v>0.42487590016080501</v>
      </c>
      <c r="AI328" s="252">
        <v>0.28210864853527201</v>
      </c>
      <c r="AJ328" s="169">
        <v>0.479063384509821</v>
      </c>
      <c r="AK328" s="255">
        <v>0.29021356891671701</v>
      </c>
      <c r="AL328" s="255">
        <v>6.6540869714383694E-2</v>
      </c>
      <c r="AM328" s="256">
        <v>0.29055665151385202</v>
      </c>
      <c r="AN328" s="195">
        <v>4.3170000000000002</v>
      </c>
    </row>
    <row r="329" spans="1:40" s="168" customFormat="1" ht="15" customHeight="1">
      <c r="A329" s="226">
        <v>43670</v>
      </c>
      <c r="B329" s="227" t="s">
        <v>51</v>
      </c>
      <c r="C329" s="228">
        <v>17961</v>
      </c>
      <c r="D329" s="228">
        <v>60349</v>
      </c>
      <c r="E329" s="234">
        <v>3.3600022270474899</v>
      </c>
      <c r="F329" s="168">
        <v>0.33971455387827498</v>
      </c>
      <c r="G329" s="235">
        <v>8.2899999999999991</v>
      </c>
      <c r="H329" s="235">
        <v>14.41</v>
      </c>
      <c r="I329" s="238">
        <v>0.23499999999999999</v>
      </c>
      <c r="J329" s="238">
        <v>0.106</v>
      </c>
      <c r="K329" s="238">
        <v>4.9000000000000002E-2</v>
      </c>
      <c r="L329" s="168">
        <v>9.4340585593796096</v>
      </c>
      <c r="M329" s="239">
        <v>9.7069214071484193</v>
      </c>
      <c r="N329" s="168">
        <v>15.9172621797136</v>
      </c>
      <c r="O329" s="240">
        <v>0.60983611990256703</v>
      </c>
      <c r="P329" s="168">
        <v>2.4946879330489402</v>
      </c>
      <c r="Q329" s="168">
        <v>2.7533624976224802</v>
      </c>
      <c r="R329" s="168">
        <v>0.85012091405591905</v>
      </c>
      <c r="S329" s="168">
        <v>5.0045105018612599</v>
      </c>
      <c r="T329" s="168">
        <v>1.6133739097356199</v>
      </c>
      <c r="U329" s="168">
        <v>0.53990163845338701</v>
      </c>
      <c r="V329" s="168">
        <v>1.7774366220145099</v>
      </c>
      <c r="W329" s="168">
        <v>0.88386816292150105</v>
      </c>
      <c r="X329" s="168">
        <v>2.5518235596281602E-3</v>
      </c>
      <c r="Y329" s="234">
        <v>9.7094732307080491</v>
      </c>
      <c r="Z329" s="243">
        <v>325</v>
      </c>
      <c r="AA329" s="243">
        <v>244</v>
      </c>
      <c r="AB329" s="168">
        <v>1443.75</v>
      </c>
      <c r="AC329" s="245"/>
      <c r="AD329" s="246">
        <v>5.3853419277867104E-3</v>
      </c>
      <c r="AE329" s="238">
        <v>4.04314901655371E-3</v>
      </c>
      <c r="AF329" s="168">
        <v>4.4423076923076898</v>
      </c>
      <c r="AG329" s="249">
        <v>2.3923345871513998E-2</v>
      </c>
      <c r="AH329" s="250">
        <v>0.44028728912644099</v>
      </c>
      <c r="AI329" s="250">
        <v>0.306497411057291</v>
      </c>
      <c r="AJ329" s="168">
        <v>0.51707567648179797</v>
      </c>
      <c r="AK329" s="253">
        <v>0.29950786259921502</v>
      </c>
      <c r="AL329" s="253">
        <v>6.2817942302275095E-2</v>
      </c>
      <c r="AM329" s="254">
        <v>0</v>
      </c>
      <c r="AN329" s="195">
        <v>4.1230000000000002</v>
      </c>
    </row>
    <row r="330" spans="1:40" s="167" customFormat="1" ht="16.05" customHeight="1">
      <c r="A330" s="186">
        <v>43671</v>
      </c>
      <c r="B330" s="187" t="s">
        <v>51</v>
      </c>
      <c r="C330" s="188">
        <v>14904</v>
      </c>
      <c r="D330" s="188">
        <v>57145</v>
      </c>
      <c r="E330" s="189">
        <v>3.8342055823939898</v>
      </c>
      <c r="F330" s="167">
        <v>0.36454203695861398</v>
      </c>
      <c r="G330" s="190">
        <v>8.8800000000000008</v>
      </c>
      <c r="H330" s="190">
        <v>14.35</v>
      </c>
      <c r="I330" s="219">
        <v>0.26</v>
      </c>
      <c r="J330" s="219">
        <v>0.12</v>
      </c>
      <c r="K330" s="219">
        <v>6.2E-2</v>
      </c>
      <c r="L330" s="167">
        <v>9.6139644763321392</v>
      </c>
      <c r="M330" s="220">
        <v>9.8391460320238</v>
      </c>
      <c r="N330" s="167">
        <v>15.6670196165849</v>
      </c>
      <c r="O330" s="193">
        <v>0.62801644938314805</v>
      </c>
      <c r="P330" s="167">
        <v>2.4593178778421798</v>
      </c>
      <c r="Q330" s="167">
        <v>2.7480216228265699</v>
      </c>
      <c r="R330" s="167">
        <v>0.85596856888096295</v>
      </c>
      <c r="S330" s="167">
        <v>4.8429837271511396</v>
      </c>
      <c r="T330" s="167">
        <v>1.5968011591618401</v>
      </c>
      <c r="U330" s="167">
        <v>0.53639099420419101</v>
      </c>
      <c r="V330" s="167">
        <v>1.7504458314757001</v>
      </c>
      <c r="W330" s="167">
        <v>0.87708983504235405</v>
      </c>
      <c r="X330" s="167">
        <v>1.94242715898154E-3</v>
      </c>
      <c r="Y330" s="189">
        <v>9.8410884591827799</v>
      </c>
      <c r="Z330" s="207">
        <v>373</v>
      </c>
      <c r="AA330" s="207">
        <v>271</v>
      </c>
      <c r="AB330" s="167">
        <v>1845.27</v>
      </c>
      <c r="AC330" s="221"/>
      <c r="AD330" s="195">
        <v>6.5272552279289501E-3</v>
      </c>
      <c r="AE330" s="219">
        <v>4.7423221629188904E-3</v>
      </c>
      <c r="AF330" s="167">
        <v>4.94710455764075</v>
      </c>
      <c r="AG330" s="222">
        <v>3.2291014086971701E-2</v>
      </c>
      <c r="AH330" s="223">
        <v>0.47336285560923202</v>
      </c>
      <c r="AI330" s="223">
        <v>0.32212828770799801</v>
      </c>
      <c r="AJ330" s="167">
        <v>0.53558491556566601</v>
      </c>
      <c r="AK330" s="224">
        <v>0.317508093446496</v>
      </c>
      <c r="AL330" s="224">
        <v>6.6515005687286702E-2</v>
      </c>
      <c r="AM330" s="82">
        <v>0</v>
      </c>
      <c r="AN330" s="195">
        <v>4.556</v>
      </c>
    </row>
    <row r="331" spans="1:40" s="167" customFormat="1" ht="16.05" customHeight="1">
      <c r="A331" s="186">
        <v>43672</v>
      </c>
      <c r="B331" s="187" t="s">
        <v>51</v>
      </c>
      <c r="C331" s="188">
        <v>9661</v>
      </c>
      <c r="D331" s="188">
        <v>51244</v>
      </c>
      <c r="E331" s="189">
        <v>5.3042128144084497</v>
      </c>
      <c r="F331" s="167">
        <v>0.34723423905237699</v>
      </c>
      <c r="G331" s="190">
        <v>8.1</v>
      </c>
      <c r="H331" s="190">
        <v>16.309999999999999</v>
      </c>
      <c r="I331" s="219">
        <v>0.26300000000000001</v>
      </c>
      <c r="J331" s="219">
        <v>0.123</v>
      </c>
      <c r="K331" s="219">
        <v>6.7000000000000004E-2</v>
      </c>
      <c r="L331" s="167">
        <v>9.7700023417375697</v>
      </c>
      <c r="M331" s="220">
        <v>9.9987120443368998</v>
      </c>
      <c r="N331" s="167">
        <v>15.365381155161</v>
      </c>
      <c r="O331" s="193">
        <v>0.65072984154242597</v>
      </c>
      <c r="P331" s="167">
        <v>2.4202303124812601</v>
      </c>
      <c r="Q331" s="167">
        <v>2.71879685719427</v>
      </c>
      <c r="R331" s="167">
        <v>0.85935344569063798</v>
      </c>
      <c r="S331" s="167">
        <v>4.6394170215318198</v>
      </c>
      <c r="T331" s="167">
        <v>1.59746296407365</v>
      </c>
      <c r="U331" s="167">
        <v>0.525160439033167</v>
      </c>
      <c r="V331" s="167">
        <v>1.7324116835602501</v>
      </c>
      <c r="W331" s="167">
        <v>0.87254843159599305</v>
      </c>
      <c r="X331" s="167">
        <v>1.1318398251502599E-3</v>
      </c>
      <c r="Y331" s="189">
        <v>9.9998438841620505</v>
      </c>
      <c r="Z331" s="207">
        <v>397</v>
      </c>
      <c r="AA331" s="207">
        <v>286</v>
      </c>
      <c r="AB331" s="167">
        <v>1752.03</v>
      </c>
      <c r="AC331" s="221"/>
      <c r="AD331" s="195">
        <v>7.7472484583560996E-3</v>
      </c>
      <c r="AE331" s="219">
        <v>5.5811412067754296E-3</v>
      </c>
      <c r="AF331" s="167">
        <v>4.4131738035264503</v>
      </c>
      <c r="AG331" s="222">
        <v>3.41899539458278E-2</v>
      </c>
      <c r="AH331" s="223">
        <v>0.51599213331953198</v>
      </c>
      <c r="AI331" s="223">
        <v>0.39737087258047799</v>
      </c>
      <c r="AJ331" s="167">
        <v>0.55637733198032902</v>
      </c>
      <c r="AK331" s="224">
        <v>0.34554289282647699</v>
      </c>
      <c r="AL331" s="224">
        <v>7.1949886816017494E-2</v>
      </c>
      <c r="AM331" s="82">
        <v>0</v>
      </c>
      <c r="AN331" s="195">
        <v>4.1550000000000002</v>
      </c>
    </row>
    <row r="332" spans="1:40" s="167" customFormat="1" ht="16.05" customHeight="1">
      <c r="A332" s="186">
        <v>43673</v>
      </c>
      <c r="B332" s="232" t="s">
        <v>51</v>
      </c>
      <c r="C332" s="188">
        <v>6940</v>
      </c>
      <c r="D332" s="188">
        <v>47144</v>
      </c>
      <c r="E332" s="189">
        <v>6.7930835734870296</v>
      </c>
      <c r="F332" s="167">
        <v>0.58791029882911905</v>
      </c>
      <c r="G332" s="190">
        <v>7.11</v>
      </c>
      <c r="H332" s="190">
        <v>11.26</v>
      </c>
      <c r="I332" s="219">
        <v>0.25</v>
      </c>
      <c r="J332" s="219">
        <v>0.125</v>
      </c>
      <c r="K332" s="219">
        <v>6.6000000000000003E-2</v>
      </c>
      <c r="L332" s="167">
        <v>13.3226709655523</v>
      </c>
      <c r="M332" s="220">
        <v>15.262451213303899</v>
      </c>
      <c r="N332" s="167">
        <v>22.5396422641982</v>
      </c>
      <c r="O332" s="193">
        <v>0.677138129984728</v>
      </c>
      <c r="P332" s="167">
        <v>3.0358362309306801</v>
      </c>
      <c r="Q332" s="167">
        <v>3.6774112708705302</v>
      </c>
      <c r="R332" s="167">
        <v>1.55687122137644</v>
      </c>
      <c r="S332" s="167">
        <v>8.2866271966920397</v>
      </c>
      <c r="T332" s="167">
        <v>2.0922219089684502</v>
      </c>
      <c r="U332" s="167">
        <v>0.44143720828242999</v>
      </c>
      <c r="V332" s="167">
        <v>2.4702878802117598</v>
      </c>
      <c r="W332" s="167">
        <v>0.97894934686589596</v>
      </c>
      <c r="X332" s="167">
        <v>1.93025623621246E-3</v>
      </c>
      <c r="Y332" s="189">
        <v>15.264381469540099</v>
      </c>
      <c r="Z332" s="207">
        <v>638</v>
      </c>
      <c r="AA332" s="207">
        <v>416</v>
      </c>
      <c r="AB332" s="167">
        <v>4268.62</v>
      </c>
      <c r="AC332" s="221"/>
      <c r="AD332" s="195">
        <v>1.3533005260478501E-2</v>
      </c>
      <c r="AE332" s="219">
        <v>8.8240285083998008E-3</v>
      </c>
      <c r="AF332" s="167">
        <v>6.6906269592476502</v>
      </c>
      <c r="AG332" s="222">
        <v>9.0544289835397904E-2</v>
      </c>
      <c r="AH332" s="223">
        <v>0.52420749279538903</v>
      </c>
      <c r="AI332" s="223">
        <v>0.41628242074928001</v>
      </c>
      <c r="AJ332" s="167">
        <v>0.461734260987612</v>
      </c>
      <c r="AK332" s="224">
        <v>0.32186492448667903</v>
      </c>
      <c r="AL332" s="224">
        <v>6.9574070931613802E-2</v>
      </c>
      <c r="AM332" s="82">
        <v>0.35690649923638201</v>
      </c>
      <c r="AN332" s="195">
        <v>4.125</v>
      </c>
    </row>
    <row r="333" spans="1:40" s="167" customFormat="1" ht="16.05" customHeight="1">
      <c r="A333" s="186">
        <v>43674</v>
      </c>
      <c r="B333" s="232" t="s">
        <v>51</v>
      </c>
      <c r="C333" s="188">
        <v>6769</v>
      </c>
      <c r="D333" s="188">
        <v>46529</v>
      </c>
      <c r="E333" s="189">
        <v>6.8738366080661804</v>
      </c>
      <c r="F333" s="167">
        <v>0.55901625523866805</v>
      </c>
      <c r="G333" s="190">
        <v>7.16</v>
      </c>
      <c r="H333" s="190">
        <v>11.42</v>
      </c>
      <c r="I333" s="219">
        <v>0.25900000000000001</v>
      </c>
      <c r="J333" s="219">
        <v>0.11700000000000001</v>
      </c>
      <c r="K333" s="219">
        <v>6.4000000000000001E-2</v>
      </c>
      <c r="L333" s="167">
        <v>12.9925422854564</v>
      </c>
      <c r="M333" s="220">
        <v>15.0445958434525</v>
      </c>
      <c r="N333" s="167">
        <v>22.2394840513407</v>
      </c>
      <c r="O333" s="193">
        <v>0.67648133422166801</v>
      </c>
      <c r="P333" s="167">
        <v>2.9216228237387201</v>
      </c>
      <c r="Q333" s="167">
        <v>3.8097280467657901</v>
      </c>
      <c r="R333" s="167">
        <v>1.5693226585334901</v>
      </c>
      <c r="S333" s="167">
        <v>8.0050832380226193</v>
      </c>
      <c r="T333" s="167">
        <v>2.0879400177913299</v>
      </c>
      <c r="U333" s="167">
        <v>0.44726140551531302</v>
      </c>
      <c r="V333" s="167">
        <v>2.3905833015631002</v>
      </c>
      <c r="W333" s="167">
        <v>1.0079425594103399</v>
      </c>
      <c r="X333" s="167">
        <v>4.1909346858948204E-3</v>
      </c>
      <c r="Y333" s="189">
        <v>15.0487867781384</v>
      </c>
      <c r="Z333" s="207">
        <v>616</v>
      </c>
      <c r="AA333" s="207">
        <v>409</v>
      </c>
      <c r="AB333" s="167">
        <v>4079.84</v>
      </c>
      <c r="AC333" s="221"/>
      <c r="AD333" s="195">
        <v>1.3239055212878E-2</v>
      </c>
      <c r="AE333" s="219">
        <v>8.7902168540050299E-3</v>
      </c>
      <c r="AF333" s="167">
        <v>6.6231168831168796</v>
      </c>
      <c r="AG333" s="222">
        <v>8.7683810096928799E-2</v>
      </c>
      <c r="AH333" s="223">
        <v>0.52016546018614296</v>
      </c>
      <c r="AI333" s="223">
        <v>0.39326340670704701</v>
      </c>
      <c r="AJ333" s="167">
        <v>0.46386124782393801</v>
      </c>
      <c r="AK333" s="224">
        <v>0.31904833544671102</v>
      </c>
      <c r="AL333" s="224">
        <v>7.2771819725332601E-2</v>
      </c>
      <c r="AM333" s="82">
        <v>0.38311590620903102</v>
      </c>
      <c r="AN333" s="195">
        <v>4.0640000000000001</v>
      </c>
    </row>
    <row r="334" spans="1:40" s="167" customFormat="1" ht="16.05" customHeight="1">
      <c r="A334" s="186">
        <v>43675</v>
      </c>
      <c r="B334" s="232" t="s">
        <v>51</v>
      </c>
      <c r="C334" s="188">
        <v>7845</v>
      </c>
      <c r="D334" s="188">
        <v>48059</v>
      </c>
      <c r="E334" s="189">
        <v>6.12606755895475</v>
      </c>
      <c r="F334" s="167">
        <v>0.53406123254749405</v>
      </c>
      <c r="G334" s="190">
        <v>7.29</v>
      </c>
      <c r="H334" s="190">
        <v>11.09</v>
      </c>
      <c r="I334" s="219">
        <v>0.26600000000000001</v>
      </c>
      <c r="J334" s="219">
        <v>0.127</v>
      </c>
      <c r="K334" s="219">
        <v>7.2999999999999995E-2</v>
      </c>
      <c r="L334" s="167">
        <v>12.5601656297468</v>
      </c>
      <c r="M334" s="220">
        <v>14.141804864853601</v>
      </c>
      <c r="N334" s="167">
        <v>21.0617310731662</v>
      </c>
      <c r="O334" s="193">
        <v>0.67144551488795001</v>
      </c>
      <c r="P334" s="167">
        <v>2.8840992903405702</v>
      </c>
      <c r="Q334" s="167">
        <v>3.6915615606309502</v>
      </c>
      <c r="R334" s="167">
        <v>1.3842387430661001</v>
      </c>
      <c r="S334" s="167">
        <v>7.3640645821066704</v>
      </c>
      <c r="T334" s="167">
        <v>2.0336855805881799</v>
      </c>
      <c r="U334" s="167">
        <v>0.44116644457528897</v>
      </c>
      <c r="V334" s="167">
        <v>2.2775109237968301</v>
      </c>
      <c r="W334" s="167">
        <v>0.98540394806160703</v>
      </c>
      <c r="X334" s="167">
        <v>2.22643001310889E-3</v>
      </c>
      <c r="Y334" s="189">
        <v>14.1440312948667</v>
      </c>
      <c r="Z334" s="207">
        <v>558</v>
      </c>
      <c r="AA334" s="207">
        <v>375</v>
      </c>
      <c r="AB334" s="167">
        <v>3586.42</v>
      </c>
      <c r="AC334" s="221"/>
      <c r="AD334" s="195">
        <v>1.16107284795772E-2</v>
      </c>
      <c r="AE334" s="219">
        <v>7.8029089244470301E-3</v>
      </c>
      <c r="AF334" s="167">
        <v>6.4272759856630799</v>
      </c>
      <c r="AG334" s="222">
        <v>7.4625356332840898E-2</v>
      </c>
      <c r="AH334" s="223">
        <v>0.49432759719566599</v>
      </c>
      <c r="AI334" s="223">
        <v>0.34340344168260001</v>
      </c>
      <c r="AJ334" s="167">
        <v>0.48527851182921</v>
      </c>
      <c r="AK334" s="224">
        <v>0.31151293202105701</v>
      </c>
      <c r="AL334" s="224">
        <v>7.1932416404835706E-2</v>
      </c>
      <c r="AM334" s="82">
        <v>0.37019080713289898</v>
      </c>
      <c r="AN334" s="195">
        <v>4.0289999999999999</v>
      </c>
    </row>
    <row r="335" spans="1:40" s="167" customFormat="1" ht="16.05" customHeight="1">
      <c r="A335" s="186">
        <v>43676</v>
      </c>
      <c r="B335" s="232" t="s">
        <v>51</v>
      </c>
      <c r="C335" s="188">
        <v>9215</v>
      </c>
      <c r="D335" s="188">
        <v>48463</v>
      </c>
      <c r="E335" s="189">
        <v>5.2591427021161197</v>
      </c>
      <c r="F335" s="167">
        <v>0.496024728885954</v>
      </c>
      <c r="G335" s="190">
        <v>7.97</v>
      </c>
      <c r="H335" s="190">
        <v>12.31</v>
      </c>
      <c r="I335" s="219">
        <v>0.252</v>
      </c>
      <c r="J335" s="219">
        <v>0.114</v>
      </c>
      <c r="K335" s="219">
        <v>5.8000000000000003E-2</v>
      </c>
      <c r="L335" s="167">
        <v>11.440501000763501</v>
      </c>
      <c r="M335" s="220">
        <v>12.7679054123765</v>
      </c>
      <c r="N335" s="167">
        <v>19.215297186510199</v>
      </c>
      <c r="O335" s="193">
        <v>0.66446567484472696</v>
      </c>
      <c r="P335" s="167">
        <v>2.71545245636917</v>
      </c>
      <c r="Q335" s="167">
        <v>3.3665300291907299</v>
      </c>
      <c r="R335" s="167">
        <v>1.23821501770076</v>
      </c>
      <c r="S335" s="167">
        <v>6.4225513943233299</v>
      </c>
      <c r="T335" s="167">
        <v>1.9138562822184999</v>
      </c>
      <c r="U335" s="167">
        <v>0.48267188373393</v>
      </c>
      <c r="V335" s="167">
        <v>2.1230979442270699</v>
      </c>
      <c r="W335" s="167">
        <v>0.95292217874666196</v>
      </c>
      <c r="X335" s="167">
        <v>2.8888017662959402E-3</v>
      </c>
      <c r="Y335" s="189">
        <v>12.7707942141427</v>
      </c>
      <c r="Z335" s="207">
        <v>490</v>
      </c>
      <c r="AA335" s="207">
        <v>332</v>
      </c>
      <c r="AB335" s="167">
        <v>2875.1</v>
      </c>
      <c r="AC335" s="221"/>
      <c r="AD335" s="195">
        <v>1.01108061820358E-2</v>
      </c>
      <c r="AE335" s="219">
        <v>6.8505870457875101E-3</v>
      </c>
      <c r="AF335" s="167">
        <v>5.8675510204081602</v>
      </c>
      <c r="AG335" s="222">
        <v>5.9325671130553197E-2</v>
      </c>
      <c r="AH335" s="223">
        <v>0.48540423223006002</v>
      </c>
      <c r="AI335" s="223">
        <v>0.33532284319045003</v>
      </c>
      <c r="AJ335" s="167">
        <v>0.52543177269257002</v>
      </c>
      <c r="AK335" s="224">
        <v>0.32280296308523998</v>
      </c>
      <c r="AL335" s="224">
        <v>7.5253286012009202E-2</v>
      </c>
      <c r="AM335" s="82">
        <v>0.31826341745248998</v>
      </c>
      <c r="AN335" s="195">
        <v>3.7010000000000001</v>
      </c>
    </row>
    <row r="336" spans="1:40" s="168" customFormat="1" ht="15" customHeight="1">
      <c r="A336" s="226">
        <v>43677</v>
      </c>
      <c r="B336" s="227" t="s">
        <v>51</v>
      </c>
      <c r="C336" s="228">
        <v>11500</v>
      </c>
      <c r="D336" s="228">
        <v>48736</v>
      </c>
      <c r="E336" s="234">
        <v>4.2379130434782599</v>
      </c>
      <c r="F336" s="168">
        <v>0.39757295892153599</v>
      </c>
      <c r="G336" s="235">
        <v>8.86</v>
      </c>
      <c r="H336" s="235">
        <v>13.07</v>
      </c>
      <c r="I336" s="238">
        <v>0.27300000000000002</v>
      </c>
      <c r="J336" s="238">
        <v>0.12</v>
      </c>
      <c r="K336" s="238">
        <v>6.0999999999999999E-2</v>
      </c>
      <c r="L336" s="168">
        <v>9.3443450426789205</v>
      </c>
      <c r="M336" s="239">
        <v>9.9493803348654009</v>
      </c>
      <c r="N336" s="168">
        <v>15.9357499671355</v>
      </c>
      <c r="O336" s="240">
        <v>0.62434340118187803</v>
      </c>
      <c r="P336" s="168">
        <v>2.46197581175233</v>
      </c>
      <c r="Q336" s="168">
        <v>2.7059944787695498</v>
      </c>
      <c r="R336" s="168">
        <v>0.92730379913237804</v>
      </c>
      <c r="S336" s="168">
        <v>4.99707506244249</v>
      </c>
      <c r="T336" s="168">
        <v>1.6422374129091599</v>
      </c>
      <c r="U336" s="168">
        <v>0.51774681214670704</v>
      </c>
      <c r="V336" s="168">
        <v>1.7980807151308</v>
      </c>
      <c r="W336" s="168">
        <v>0.88533587485210996</v>
      </c>
      <c r="X336" s="168">
        <v>1.4978660538411E-3</v>
      </c>
      <c r="Y336" s="234">
        <v>9.9508782009192398</v>
      </c>
      <c r="Z336" s="243">
        <v>347</v>
      </c>
      <c r="AA336" s="243">
        <v>256</v>
      </c>
      <c r="AB336" s="168">
        <v>1779.53</v>
      </c>
      <c r="AC336" s="245"/>
      <c r="AD336" s="246">
        <v>7.1199934340118202E-3</v>
      </c>
      <c r="AE336" s="238">
        <v>5.2527905449770203E-3</v>
      </c>
      <c r="AF336" s="168">
        <v>5.1283285302593704</v>
      </c>
      <c r="AG336" s="249">
        <v>3.6513665462902203E-2</v>
      </c>
      <c r="AH336" s="250">
        <v>0.44652173913043502</v>
      </c>
      <c r="AI336" s="250">
        <v>0.28695652173913</v>
      </c>
      <c r="AJ336" s="168">
        <v>0.57641168745896298</v>
      </c>
      <c r="AK336" s="253">
        <v>0.32852511490479303</v>
      </c>
      <c r="AL336" s="253">
        <v>7.2554169402495094E-2</v>
      </c>
      <c r="AM336" s="254">
        <v>0</v>
      </c>
      <c r="AN336" s="195">
        <v>4.3760000000000003</v>
      </c>
    </row>
    <row r="337" spans="1:40" s="167" customFormat="1" ht="16.05" customHeight="1">
      <c r="A337" s="186">
        <v>43678</v>
      </c>
      <c r="B337" s="187" t="s">
        <v>51</v>
      </c>
      <c r="C337" s="188">
        <v>11366</v>
      </c>
      <c r="D337" s="188">
        <v>48875</v>
      </c>
      <c r="E337" s="189">
        <v>4.3001055780397701</v>
      </c>
      <c r="F337" s="167">
        <v>0.40646908069565202</v>
      </c>
      <c r="G337" s="190">
        <v>8.67</v>
      </c>
      <c r="H337" s="190">
        <v>12.97</v>
      </c>
      <c r="I337" s="219">
        <v>0.26700000000000002</v>
      </c>
      <c r="J337" s="219">
        <v>0.121</v>
      </c>
      <c r="K337" s="219">
        <v>6.6000000000000003E-2</v>
      </c>
      <c r="L337" s="167">
        <v>9.5362046035805594</v>
      </c>
      <c r="M337" s="220">
        <v>10.0719590792839</v>
      </c>
      <c r="N337" s="167">
        <v>16.0834776358349</v>
      </c>
      <c r="O337" s="193">
        <v>0.62623017902813305</v>
      </c>
      <c r="P337" s="167">
        <v>2.5179860816153199</v>
      </c>
      <c r="Q337" s="167">
        <v>2.7767830888358902</v>
      </c>
      <c r="R337" s="167">
        <v>0.89332505635965598</v>
      </c>
      <c r="S337" s="167">
        <v>4.9841212794458798</v>
      </c>
      <c r="T337" s="167">
        <v>1.67984448002091</v>
      </c>
      <c r="U337" s="167">
        <v>0.53824288561440203</v>
      </c>
      <c r="V337" s="167">
        <v>1.80360701800242</v>
      </c>
      <c r="W337" s="167">
        <v>0.88956774594047106</v>
      </c>
      <c r="X337" s="167">
        <v>2.5370843989769801E-3</v>
      </c>
      <c r="Y337" s="189">
        <v>10.0744961636829</v>
      </c>
      <c r="Z337" s="207">
        <v>401</v>
      </c>
      <c r="AA337" s="207">
        <v>291</v>
      </c>
      <c r="AB337" s="167">
        <v>2066.9899999999998</v>
      </c>
      <c r="AC337" s="221"/>
      <c r="AD337" s="195">
        <v>8.20460358056266E-3</v>
      </c>
      <c r="AE337" s="219">
        <v>5.9539641943734001E-3</v>
      </c>
      <c r="AF337" s="167">
        <v>5.1545885286782998</v>
      </c>
      <c r="AG337" s="222">
        <v>4.2291355498721199E-2</v>
      </c>
      <c r="AH337" s="223">
        <v>0.48099595284180902</v>
      </c>
      <c r="AI337" s="223">
        <v>0.32729192327995799</v>
      </c>
      <c r="AJ337" s="167">
        <v>0.568429667519182</v>
      </c>
      <c r="AK337" s="224">
        <v>0.33352429667519201</v>
      </c>
      <c r="AL337" s="224">
        <v>7.2797953964194403E-2</v>
      </c>
      <c r="AM337" s="82">
        <v>0</v>
      </c>
      <c r="AN337" s="195">
        <v>3.99</v>
      </c>
    </row>
    <row r="338" spans="1:40" s="167" customFormat="1" ht="16.05" customHeight="1">
      <c r="A338" s="186">
        <v>43679</v>
      </c>
      <c r="B338" s="187" t="s">
        <v>51</v>
      </c>
      <c r="C338" s="188">
        <v>9225</v>
      </c>
      <c r="D338" s="188">
        <v>46405</v>
      </c>
      <c r="E338" s="189">
        <v>5.0303523035230304</v>
      </c>
      <c r="F338" s="167">
        <v>0.40103482077362301</v>
      </c>
      <c r="G338" s="190">
        <v>8.26</v>
      </c>
      <c r="H338" s="190">
        <v>12.46</v>
      </c>
      <c r="I338" s="219">
        <v>0.26200000000000001</v>
      </c>
      <c r="J338" s="219">
        <v>0.129</v>
      </c>
      <c r="K338" s="219">
        <v>6.5000000000000002E-2</v>
      </c>
      <c r="L338" s="167">
        <v>9.5029845921775706</v>
      </c>
      <c r="M338" s="220">
        <v>10.279021657149</v>
      </c>
      <c r="N338" s="167">
        <v>16.028158602150501</v>
      </c>
      <c r="O338" s="193">
        <v>0.64131020364184999</v>
      </c>
      <c r="P338" s="167">
        <v>2.48931451612903</v>
      </c>
      <c r="Q338" s="167">
        <v>2.79086021505376</v>
      </c>
      <c r="R338" s="167">
        <v>0.91028225806451601</v>
      </c>
      <c r="S338" s="167">
        <v>4.9734543010752699</v>
      </c>
      <c r="T338" s="167">
        <v>1.66565860215054</v>
      </c>
      <c r="U338" s="167">
        <v>0.52775537634408598</v>
      </c>
      <c r="V338" s="167">
        <v>1.7844086021505401</v>
      </c>
      <c r="W338" s="167">
        <v>0.88642473118279597</v>
      </c>
      <c r="X338" s="167">
        <v>2.32733541644219E-3</v>
      </c>
      <c r="Y338" s="189">
        <v>10.2813489925654</v>
      </c>
      <c r="Z338" s="207">
        <v>396</v>
      </c>
      <c r="AA338" s="207">
        <v>293</v>
      </c>
      <c r="AB338" s="167">
        <v>2012.04</v>
      </c>
      <c r="AC338" s="221"/>
      <c r="AD338" s="195">
        <v>8.5335631936213803E-3</v>
      </c>
      <c r="AE338" s="219">
        <v>6.3139747871996596E-3</v>
      </c>
      <c r="AF338" s="167">
        <v>5.0809090909090902</v>
      </c>
      <c r="AG338" s="222">
        <v>4.3358258808318097E-2</v>
      </c>
      <c r="AH338" s="223">
        <v>0.49430894308943102</v>
      </c>
      <c r="AI338" s="223">
        <v>0.35577235772357702</v>
      </c>
      <c r="AJ338" s="167">
        <v>0.57502424307725497</v>
      </c>
      <c r="AK338" s="224">
        <v>0.34114858312681801</v>
      </c>
      <c r="AL338" s="224">
        <v>7.24059907337571E-2</v>
      </c>
      <c r="AM338" s="82">
        <v>0</v>
      </c>
      <c r="AN338" s="195">
        <v>4.6349999999999998</v>
      </c>
    </row>
    <row r="339" spans="1:40" s="167" customFormat="1" ht="16.05" customHeight="1">
      <c r="A339" s="186">
        <v>43680</v>
      </c>
      <c r="B339" s="232" t="s">
        <v>51</v>
      </c>
      <c r="C339" s="188">
        <v>7896</v>
      </c>
      <c r="D339" s="188">
        <v>44907</v>
      </c>
      <c r="E339" s="189">
        <v>5.6873100303951398</v>
      </c>
      <c r="F339" s="167">
        <v>0.72047679337297099</v>
      </c>
      <c r="G339" s="190">
        <v>7.3</v>
      </c>
      <c r="H339" s="190">
        <v>11.25</v>
      </c>
      <c r="I339" s="219">
        <v>0.25600000000000001</v>
      </c>
      <c r="J339" s="219">
        <v>0.125</v>
      </c>
      <c r="K339" s="219">
        <v>6.6000000000000003E-2</v>
      </c>
      <c r="L339" s="167">
        <v>13.3337786981985</v>
      </c>
      <c r="M339" s="220">
        <v>15.964526688489499</v>
      </c>
      <c r="N339" s="167">
        <v>23.648985650667999</v>
      </c>
      <c r="O339" s="193">
        <v>0.67506179437504199</v>
      </c>
      <c r="P339" s="167">
        <v>3.14131618010886</v>
      </c>
      <c r="Q339" s="167">
        <v>3.7889493650008199</v>
      </c>
      <c r="R339" s="167">
        <v>1.51934685799109</v>
      </c>
      <c r="S339" s="167">
        <v>8.9723899059871304</v>
      </c>
      <c r="T339" s="167">
        <v>2.1892462477321502</v>
      </c>
      <c r="U339" s="167">
        <v>0.46244433448787697</v>
      </c>
      <c r="V339" s="167">
        <v>2.55962394854033</v>
      </c>
      <c r="W339" s="167">
        <v>1.01566881081973</v>
      </c>
      <c r="X339" s="167">
        <v>2.33816554212038E-3</v>
      </c>
      <c r="Y339" s="189">
        <v>15.9668648540317</v>
      </c>
      <c r="Z339" s="207">
        <v>727</v>
      </c>
      <c r="AA339" s="207">
        <v>448</v>
      </c>
      <c r="AB339" s="167">
        <v>6017.73</v>
      </c>
      <c r="AC339" s="221"/>
      <c r="AD339" s="195">
        <v>1.6189012848776399E-2</v>
      </c>
      <c r="AE339" s="219">
        <v>9.9761729797136298E-3</v>
      </c>
      <c r="AF339" s="167">
        <v>8.2774828060522694</v>
      </c>
      <c r="AG339" s="222">
        <v>0.13400427550270599</v>
      </c>
      <c r="AH339" s="223">
        <v>0.50595238095238104</v>
      </c>
      <c r="AI339" s="223">
        <v>0.36550151975683898</v>
      </c>
      <c r="AJ339" s="167">
        <v>0.47785423207963101</v>
      </c>
      <c r="AK339" s="224">
        <v>0.31569688467276802</v>
      </c>
      <c r="AL339" s="224">
        <v>7.0568062885519006E-2</v>
      </c>
      <c r="AM339" s="82">
        <v>0.36208163537978499</v>
      </c>
      <c r="AN339" s="195">
        <v>5.7850000000000001</v>
      </c>
    </row>
    <row r="340" spans="1:40" s="167" customFormat="1" ht="16.05" customHeight="1">
      <c r="A340" s="186">
        <v>43681</v>
      </c>
      <c r="B340" s="232" t="s">
        <v>51</v>
      </c>
      <c r="C340" s="188">
        <v>7272</v>
      </c>
      <c r="D340" s="188">
        <v>44022</v>
      </c>
      <c r="E340" s="189">
        <v>6.0536303630362998</v>
      </c>
      <c r="F340" s="167">
        <v>0.61720273613193399</v>
      </c>
      <c r="G340" s="190">
        <v>7.41</v>
      </c>
      <c r="H340" s="190">
        <v>11.46</v>
      </c>
      <c r="I340" s="219">
        <v>0.26600000000000001</v>
      </c>
      <c r="J340" s="219">
        <v>0.13200000000000001</v>
      </c>
      <c r="K340" s="219">
        <v>7.6999999999999999E-2</v>
      </c>
      <c r="L340" s="167">
        <v>12.7894689019127</v>
      </c>
      <c r="M340" s="220">
        <v>15.2482622325201</v>
      </c>
      <c r="N340" s="167">
        <v>22.530006041484899</v>
      </c>
      <c r="O340" s="193">
        <v>0.67679796465403697</v>
      </c>
      <c r="P340" s="167">
        <v>3.0014432436060998</v>
      </c>
      <c r="Q340" s="167">
        <v>3.8605088272806598</v>
      </c>
      <c r="R340" s="167">
        <v>1.4381754715714601</v>
      </c>
      <c r="S340" s="167">
        <v>8.1349264952675</v>
      </c>
      <c r="T340" s="167">
        <v>2.1622138685641401</v>
      </c>
      <c r="U340" s="167">
        <v>0.45113110022152098</v>
      </c>
      <c r="V340" s="167">
        <v>2.4435456803383202</v>
      </c>
      <c r="W340" s="167">
        <v>1.03806135463516</v>
      </c>
      <c r="X340" s="167">
        <v>3.06664849393485E-3</v>
      </c>
      <c r="Y340" s="189">
        <v>15.251328881014</v>
      </c>
      <c r="Z340" s="207">
        <v>594</v>
      </c>
      <c r="AA340" s="207">
        <v>416</v>
      </c>
      <c r="AB340" s="167">
        <v>4570.0600000000004</v>
      </c>
      <c r="AC340" s="221"/>
      <c r="AD340" s="195">
        <v>1.3493253373313301E-2</v>
      </c>
      <c r="AE340" s="219">
        <v>9.4498205442733203E-3</v>
      </c>
      <c r="AF340" s="167">
        <v>7.6937037037036999</v>
      </c>
      <c r="AG340" s="222">
        <v>0.103813093453273</v>
      </c>
      <c r="AH340" s="223">
        <v>0.51663916391639197</v>
      </c>
      <c r="AI340" s="223">
        <v>0.374862486248625</v>
      </c>
      <c r="AJ340" s="167">
        <v>0.46978783335604901</v>
      </c>
      <c r="AK340" s="224">
        <v>0.30623324701285698</v>
      </c>
      <c r="AL340" s="224">
        <v>6.8670210349370805E-2</v>
      </c>
      <c r="AM340" s="82">
        <v>0.37996910635591302</v>
      </c>
      <c r="AN340" s="195">
        <v>5.4509999999999996</v>
      </c>
    </row>
    <row r="341" spans="1:40" s="167" customFormat="1" ht="16.05" customHeight="1">
      <c r="A341" s="186">
        <v>43682</v>
      </c>
      <c r="B341" s="232" t="s">
        <v>51</v>
      </c>
      <c r="C341" s="188">
        <v>7540</v>
      </c>
      <c r="D341" s="188">
        <v>45205</v>
      </c>
      <c r="E341" s="189">
        <v>5.9953580901856798</v>
      </c>
      <c r="F341" s="167">
        <v>0.54850205574604605</v>
      </c>
      <c r="G341" s="190">
        <v>7.59</v>
      </c>
      <c r="H341" s="190">
        <v>11.42</v>
      </c>
      <c r="I341" s="219">
        <v>0.28599999999999998</v>
      </c>
      <c r="J341" s="219">
        <v>0.13600000000000001</v>
      </c>
      <c r="K341" s="219">
        <v>7.8E-2</v>
      </c>
      <c r="L341" s="167">
        <v>12.220727795597799</v>
      </c>
      <c r="M341" s="220">
        <v>14.398628470302</v>
      </c>
      <c r="N341" s="167">
        <v>21.245226360283301</v>
      </c>
      <c r="O341" s="193">
        <v>0.67773476385355602</v>
      </c>
      <c r="P341" s="167">
        <v>2.9251884975682998</v>
      </c>
      <c r="Q341" s="167">
        <v>3.7319907301628699</v>
      </c>
      <c r="R341" s="167">
        <v>1.3090380911969199</v>
      </c>
      <c r="S341" s="167">
        <v>7.3699774782126202</v>
      </c>
      <c r="T341" s="167">
        <v>2.1251428011881099</v>
      </c>
      <c r="U341" s="167">
        <v>0.44181871593171701</v>
      </c>
      <c r="V341" s="167">
        <v>2.3341711003035499</v>
      </c>
      <c r="W341" s="167">
        <v>1.00789894571923</v>
      </c>
      <c r="X341" s="167">
        <v>1.9466873133502901E-3</v>
      </c>
      <c r="Y341" s="189">
        <v>14.4005751576153</v>
      </c>
      <c r="Z341" s="207">
        <v>571</v>
      </c>
      <c r="AA341" s="207">
        <v>375</v>
      </c>
      <c r="AB341" s="167">
        <v>3583.29</v>
      </c>
      <c r="AC341" s="221"/>
      <c r="AD341" s="195">
        <v>1.2631346090034299E-2</v>
      </c>
      <c r="AE341" s="219">
        <v>8.2955425284813606E-3</v>
      </c>
      <c r="AF341" s="167">
        <v>6.2754640980735497</v>
      </c>
      <c r="AG341" s="222">
        <v>7.9267558898351895E-2</v>
      </c>
      <c r="AH341" s="223">
        <v>0.51352785145888602</v>
      </c>
      <c r="AI341" s="223">
        <v>0.35331564986737402</v>
      </c>
      <c r="AJ341" s="167">
        <v>0.46262581572834899</v>
      </c>
      <c r="AK341" s="224">
        <v>0.30806326733768402</v>
      </c>
      <c r="AL341" s="224">
        <v>7.0036500387125306E-2</v>
      </c>
      <c r="AM341" s="82">
        <v>0.37064484017254701</v>
      </c>
      <c r="AN341" s="195">
        <v>4.827</v>
      </c>
    </row>
    <row r="342" spans="1:40" s="167" customFormat="1" ht="16.05" customHeight="1">
      <c r="A342" s="186">
        <v>43683</v>
      </c>
      <c r="B342" s="232" t="s">
        <v>51</v>
      </c>
      <c r="C342" s="188">
        <v>8769</v>
      </c>
      <c r="D342" s="188">
        <v>45574</v>
      </c>
      <c r="E342" s="189">
        <v>5.1971718553997004</v>
      </c>
      <c r="F342" s="167">
        <v>0.53262029687979995</v>
      </c>
      <c r="G342" s="190">
        <v>8.43</v>
      </c>
      <c r="H342" s="190">
        <v>12.17</v>
      </c>
      <c r="I342" s="219">
        <v>0.28499999999999998</v>
      </c>
      <c r="J342" s="219">
        <v>0.13600000000000001</v>
      </c>
      <c r="K342" s="219">
        <v>7.3999999999999996E-2</v>
      </c>
      <c r="L342" s="167">
        <v>11.2265546144732</v>
      </c>
      <c r="M342" s="220">
        <v>12.876508535568499</v>
      </c>
      <c r="N342" s="167">
        <v>19.353406767363602</v>
      </c>
      <c r="O342" s="193">
        <v>0.66533549831044003</v>
      </c>
      <c r="P342" s="167">
        <v>2.7475100587032499</v>
      </c>
      <c r="Q342" s="167">
        <v>3.38523184486511</v>
      </c>
      <c r="R342" s="167">
        <v>1.19929424180463</v>
      </c>
      <c r="S342" s="167">
        <v>6.4819932722115903</v>
      </c>
      <c r="T342" s="167">
        <v>1.9364817624167301</v>
      </c>
      <c r="U342" s="167">
        <v>0.48532418705890101</v>
      </c>
      <c r="V342" s="167">
        <v>2.1484070971571798</v>
      </c>
      <c r="W342" s="167">
        <v>0.96916430314623003</v>
      </c>
      <c r="X342" s="167">
        <v>1.3384824680738999E-3</v>
      </c>
      <c r="Y342" s="189">
        <v>12.877847018036601</v>
      </c>
      <c r="Z342" s="207">
        <v>569</v>
      </c>
      <c r="AA342" s="207">
        <v>375</v>
      </c>
      <c r="AB342" s="167">
        <v>3340.31</v>
      </c>
      <c r="AC342" s="221"/>
      <c r="AD342" s="195">
        <v>1.2485188923509E-2</v>
      </c>
      <c r="AE342" s="219">
        <v>8.22837582832317E-3</v>
      </c>
      <c r="AF342" s="167">
        <v>5.8704920913883996</v>
      </c>
      <c r="AG342" s="222">
        <v>7.3294202834949695E-2</v>
      </c>
      <c r="AH342" s="223">
        <v>0.48169688676017802</v>
      </c>
      <c r="AI342" s="223">
        <v>0.33276314288972503</v>
      </c>
      <c r="AJ342" s="167">
        <v>0.53003905735726498</v>
      </c>
      <c r="AK342" s="224">
        <v>0.31774696098652699</v>
      </c>
      <c r="AL342" s="224">
        <v>7.1970860578400006E-2</v>
      </c>
      <c r="AM342" s="82">
        <v>0.31311712818712401</v>
      </c>
      <c r="AN342" s="195">
        <v>4.7789999999999999</v>
      </c>
    </row>
    <row r="343" spans="1:40" s="168" customFormat="1" ht="15" customHeight="1">
      <c r="A343" s="226">
        <v>43684</v>
      </c>
      <c r="B343" s="227" t="s">
        <v>51</v>
      </c>
      <c r="C343" s="228">
        <v>11199</v>
      </c>
      <c r="D343" s="228">
        <v>46930</v>
      </c>
      <c r="E343" s="234">
        <v>4.1905527279221397</v>
      </c>
      <c r="F343" s="168">
        <v>0.44153979186021702</v>
      </c>
      <c r="G343" s="235">
        <v>8.83</v>
      </c>
      <c r="H343" s="235">
        <v>13.42</v>
      </c>
      <c r="I343" s="238">
        <v>0.27400000000000002</v>
      </c>
      <c r="J343" s="238">
        <v>0.121</v>
      </c>
      <c r="K343" s="238">
        <v>7.0999999999999994E-2</v>
      </c>
      <c r="L343" s="168">
        <v>9.6450458129128496</v>
      </c>
      <c r="M343" s="239">
        <v>10.403728958022599</v>
      </c>
      <c r="N343" s="168">
        <v>16.572092865385901</v>
      </c>
      <c r="O343" s="240">
        <v>0.62778606435116102</v>
      </c>
      <c r="P343" s="168">
        <v>2.4962663770280402</v>
      </c>
      <c r="Q343" s="168">
        <v>2.8241803000475199</v>
      </c>
      <c r="R343" s="168">
        <v>0.95716516190346901</v>
      </c>
      <c r="S343" s="168">
        <v>5.3337858936935696</v>
      </c>
      <c r="T343" s="168">
        <v>1.6714411784671801</v>
      </c>
      <c r="U343" s="168">
        <v>0.53119272282940699</v>
      </c>
      <c r="V343" s="168">
        <v>1.8548299504446399</v>
      </c>
      <c r="W343" s="168">
        <v>0.90323128097210004</v>
      </c>
      <c r="X343" s="168">
        <v>8.73641593863201E-4</v>
      </c>
      <c r="Y343" s="234">
        <v>10.4046025996164</v>
      </c>
      <c r="Z343" s="243">
        <v>433</v>
      </c>
      <c r="AA343" s="243">
        <v>302</v>
      </c>
      <c r="AB343" s="168">
        <v>2469.67</v>
      </c>
      <c r="AC343" s="245"/>
      <c r="AD343" s="246">
        <v>9.2265075644576994E-3</v>
      </c>
      <c r="AE343" s="238">
        <v>6.4351161304069902E-3</v>
      </c>
      <c r="AF343" s="168">
        <v>5.7036258660508103</v>
      </c>
      <c r="AG343" s="249">
        <v>5.2624547197954397E-2</v>
      </c>
      <c r="AH343" s="250">
        <v>0.47807839985713002</v>
      </c>
      <c r="AI343" s="250">
        <v>0.31351013483346701</v>
      </c>
      <c r="AJ343" s="168">
        <v>0.58653313445557198</v>
      </c>
      <c r="AK343" s="253">
        <v>0.32597485616876198</v>
      </c>
      <c r="AL343" s="253">
        <v>7.1340294054975495E-2</v>
      </c>
      <c r="AM343" s="254">
        <v>0</v>
      </c>
      <c r="AN343" s="195">
        <v>4.7619999999999996</v>
      </c>
    </row>
    <row r="344" spans="1:40" s="167" customFormat="1" ht="16.05" customHeight="1">
      <c r="A344" s="186">
        <v>43685</v>
      </c>
      <c r="B344" s="233" t="s">
        <v>51</v>
      </c>
      <c r="C344" s="188">
        <v>11547</v>
      </c>
      <c r="D344" s="188">
        <v>47384</v>
      </c>
      <c r="E344" s="189">
        <v>4.1035766865852601</v>
      </c>
      <c r="F344" s="167">
        <v>0.43249257126878299</v>
      </c>
      <c r="G344" s="190">
        <v>9.8000000000000007</v>
      </c>
      <c r="H344" s="190">
        <v>14.97</v>
      </c>
      <c r="I344" s="219">
        <v>0.26600000000000001</v>
      </c>
      <c r="J344" s="219">
        <v>0.124</v>
      </c>
      <c r="K344" s="219">
        <v>6.3E-2</v>
      </c>
      <c r="L344" s="167">
        <v>9.6947492824582095</v>
      </c>
      <c r="M344" s="220">
        <v>10.041638527773101</v>
      </c>
      <c r="N344" s="167">
        <v>16.039541547277899</v>
      </c>
      <c r="O344" s="193">
        <v>0.62605520850920104</v>
      </c>
      <c r="P344" s="167">
        <v>2.4801618068430802</v>
      </c>
      <c r="Q344" s="167">
        <v>2.7445474464857602</v>
      </c>
      <c r="R344" s="167">
        <v>0.92631046688016205</v>
      </c>
      <c r="S344" s="167">
        <v>5.0574077195348099</v>
      </c>
      <c r="T344" s="167">
        <v>1.63445137367268</v>
      </c>
      <c r="U344" s="167">
        <v>0.53932243384459799</v>
      </c>
      <c r="V344" s="167">
        <v>1.7836507668970201</v>
      </c>
      <c r="W344" s="167">
        <v>0.87368953311983799</v>
      </c>
      <c r="X344" s="167">
        <v>7.1754178625696398E-4</v>
      </c>
      <c r="Y344" s="189">
        <v>10.0423560695593</v>
      </c>
      <c r="Z344" s="207">
        <v>422</v>
      </c>
      <c r="AA344" s="207">
        <v>308</v>
      </c>
      <c r="AB344" s="167">
        <v>2121.7800000000002</v>
      </c>
      <c r="AC344" s="221"/>
      <c r="AD344" s="195">
        <v>8.9059598176599707E-3</v>
      </c>
      <c r="AE344" s="219">
        <v>6.50008441668074E-3</v>
      </c>
      <c r="AF344" s="167">
        <v>5.0279146919431303</v>
      </c>
      <c r="AG344" s="222">
        <v>4.4778406213067702E-2</v>
      </c>
      <c r="AH344" s="223">
        <v>0.47544816835541698</v>
      </c>
      <c r="AI344" s="223">
        <v>0.32112236944660899</v>
      </c>
      <c r="AJ344" s="167">
        <v>0.56903174067195705</v>
      </c>
      <c r="AK344" s="224">
        <v>0.32542630423771701</v>
      </c>
      <c r="AL344" s="224">
        <v>7.0952220158703394E-2</v>
      </c>
      <c r="AM344" s="82">
        <v>0</v>
      </c>
      <c r="AN344" s="195">
        <v>4.742</v>
      </c>
    </row>
    <row r="345" spans="1:40" s="167" customFormat="1" ht="16.05" customHeight="1">
      <c r="A345" s="186">
        <v>43686</v>
      </c>
      <c r="B345" s="233" t="s">
        <v>51</v>
      </c>
      <c r="C345" s="188">
        <v>9479</v>
      </c>
      <c r="D345" s="188">
        <v>45171</v>
      </c>
      <c r="E345" s="189">
        <v>4.7653760945247399</v>
      </c>
      <c r="F345" s="167">
        <v>0.42837283708574198</v>
      </c>
      <c r="G345" s="190">
        <v>8.67</v>
      </c>
      <c r="H345" s="190">
        <v>13.38</v>
      </c>
      <c r="I345" s="219">
        <v>0.254</v>
      </c>
      <c r="J345" s="219">
        <v>0.125</v>
      </c>
      <c r="K345" s="219">
        <v>6.4000000000000001E-2</v>
      </c>
      <c r="L345" s="167">
        <v>9.6691239954838295</v>
      </c>
      <c r="M345" s="220">
        <v>10.198268800779299</v>
      </c>
      <c r="N345" s="167">
        <v>16.080776346563301</v>
      </c>
      <c r="O345" s="193">
        <v>0.63419007770472602</v>
      </c>
      <c r="P345" s="167">
        <v>2.4564526826543802</v>
      </c>
      <c r="Q345" s="167">
        <v>2.7797675149230301</v>
      </c>
      <c r="R345" s="167">
        <v>0.91252138094739399</v>
      </c>
      <c r="S345" s="167">
        <v>5.0729570286592001</v>
      </c>
      <c r="T345" s="167">
        <v>1.6444653890459699</v>
      </c>
      <c r="U345" s="167">
        <v>0.53796209027123298</v>
      </c>
      <c r="V345" s="167">
        <v>1.80326037630467</v>
      </c>
      <c r="W345" s="167">
        <v>0.87338988375746196</v>
      </c>
      <c r="X345" s="167">
        <v>1.1290429700471501E-3</v>
      </c>
      <c r="Y345" s="189">
        <v>10.199397843749299</v>
      </c>
      <c r="Z345" s="207">
        <v>486</v>
      </c>
      <c r="AA345" s="207">
        <v>329</v>
      </c>
      <c r="AB345" s="167">
        <v>2401.14</v>
      </c>
      <c r="AC345" s="221"/>
      <c r="AD345" s="195">
        <v>1.07591153616258E-2</v>
      </c>
      <c r="AE345" s="219">
        <v>7.2834340616767402E-3</v>
      </c>
      <c r="AF345" s="167">
        <v>4.9406172839506199</v>
      </c>
      <c r="AG345" s="222">
        <v>5.3156671315667099E-2</v>
      </c>
      <c r="AH345" s="223">
        <v>0.49214052115202001</v>
      </c>
      <c r="AI345" s="223">
        <v>0.34792699651862002</v>
      </c>
      <c r="AJ345" s="167">
        <v>0.57457218126674203</v>
      </c>
      <c r="AK345" s="224">
        <v>0.33335547143078498</v>
      </c>
      <c r="AL345" s="224">
        <v>7.3099997786190293E-2</v>
      </c>
      <c r="AM345" s="82">
        <v>0</v>
      </c>
      <c r="AN345" s="195">
        <v>4.4059999999999997</v>
      </c>
    </row>
    <row r="346" spans="1:40" s="167" customFormat="1" ht="16.05" customHeight="1">
      <c r="A346" s="186">
        <v>43687</v>
      </c>
      <c r="B346" s="232" t="s">
        <v>51</v>
      </c>
      <c r="C346" s="188">
        <v>6432</v>
      </c>
      <c r="D346" s="188">
        <v>41460</v>
      </c>
      <c r="E346" s="189">
        <v>6.4458955223880601</v>
      </c>
      <c r="F346" s="167">
        <v>0.71641564428364701</v>
      </c>
      <c r="G346" s="190">
        <v>7.8</v>
      </c>
      <c r="H346" s="190">
        <v>12.45</v>
      </c>
      <c r="I346" s="219">
        <v>0.26700000000000002</v>
      </c>
      <c r="J346" s="219">
        <v>0.126</v>
      </c>
      <c r="K346" s="219">
        <v>7.0000000000000007E-2</v>
      </c>
      <c r="L346" s="167">
        <v>13.4864206464062</v>
      </c>
      <c r="M346" s="220">
        <v>16.102363724071399</v>
      </c>
      <c r="N346" s="167">
        <v>23.470819856560301</v>
      </c>
      <c r="O346" s="193">
        <v>0.68605885190545102</v>
      </c>
      <c r="P346" s="167">
        <v>3.0807200112501798</v>
      </c>
      <c r="Q346" s="167">
        <v>3.6503656307129799</v>
      </c>
      <c r="R346" s="167">
        <v>1.54756714948671</v>
      </c>
      <c r="S346" s="167">
        <v>9.0362115033047399</v>
      </c>
      <c r="T346" s="167">
        <v>2.1581001265644799</v>
      </c>
      <c r="U346" s="167">
        <v>0.45932358318098698</v>
      </c>
      <c r="V346" s="167">
        <v>2.5453522711292398</v>
      </c>
      <c r="W346" s="167">
        <v>0.99317958093095204</v>
      </c>
      <c r="X346" s="167">
        <v>2.0742884708152402E-3</v>
      </c>
      <c r="Y346" s="189">
        <v>16.1044380125422</v>
      </c>
      <c r="Z346" s="207">
        <v>709</v>
      </c>
      <c r="AA346" s="207">
        <v>446</v>
      </c>
      <c r="AB346" s="167">
        <v>5075.91</v>
      </c>
      <c r="AC346" s="221"/>
      <c r="AD346" s="195">
        <v>1.7100820067535001E-2</v>
      </c>
      <c r="AE346" s="219">
        <v>1.0757356488181401E-2</v>
      </c>
      <c r="AF346" s="167">
        <v>7.1592524682651604</v>
      </c>
      <c r="AG346" s="222">
        <v>0.12242908827785801</v>
      </c>
      <c r="AH346" s="223">
        <v>0.55083955223880599</v>
      </c>
      <c r="AI346" s="223">
        <v>0.42070895522388102</v>
      </c>
      <c r="AJ346" s="167">
        <v>0.47843704775687401</v>
      </c>
      <c r="AK346" s="224">
        <v>0.31671490593342999</v>
      </c>
      <c r="AL346" s="224">
        <v>7.2262421611191494E-2</v>
      </c>
      <c r="AM346" s="82">
        <v>0.37846116739025598</v>
      </c>
      <c r="AN346" s="195">
        <v>4.3769999999999998</v>
      </c>
    </row>
    <row r="347" spans="1:40" s="167" customFormat="1" ht="16.05" customHeight="1">
      <c r="A347" s="186">
        <v>43688</v>
      </c>
      <c r="B347" s="232" t="s">
        <v>51</v>
      </c>
      <c r="C347" s="188">
        <v>7280</v>
      </c>
      <c r="D347" s="188">
        <v>42574</v>
      </c>
      <c r="E347" s="189">
        <v>5.8480769230769196</v>
      </c>
      <c r="F347" s="167">
        <v>0.61475256165734904</v>
      </c>
      <c r="G347" s="190">
        <v>8.23</v>
      </c>
      <c r="H347" s="190">
        <v>13.24</v>
      </c>
      <c r="I347" s="219">
        <v>0.27400000000000002</v>
      </c>
      <c r="J347" s="219">
        <v>0.13900000000000001</v>
      </c>
      <c r="K347" s="219">
        <v>7.4999999999999997E-2</v>
      </c>
      <c r="L347" s="167">
        <v>12.677948982947299</v>
      </c>
      <c r="M347" s="220">
        <v>14.9372856673087</v>
      </c>
      <c r="N347" s="167">
        <v>22.0881525476711</v>
      </c>
      <c r="O347" s="193">
        <v>0.67625780993094398</v>
      </c>
      <c r="P347" s="167">
        <v>2.9261574797679799</v>
      </c>
      <c r="Q347" s="167">
        <v>3.73311104164496</v>
      </c>
      <c r="R347" s="167">
        <v>1.43312146156785</v>
      </c>
      <c r="S347" s="167">
        <v>8.0521343475391607</v>
      </c>
      <c r="T347" s="167">
        <v>2.0954117606196401</v>
      </c>
      <c r="U347" s="167">
        <v>0.44628529748879903</v>
      </c>
      <c r="V347" s="167">
        <v>2.4041540759264999</v>
      </c>
      <c r="W347" s="167">
        <v>0.99777708311625202</v>
      </c>
      <c r="X347" s="167">
        <v>1.69117301639498E-3</v>
      </c>
      <c r="Y347" s="189">
        <v>14.9389768403251</v>
      </c>
      <c r="Z347" s="207">
        <v>561</v>
      </c>
      <c r="AA347" s="207">
        <v>389</v>
      </c>
      <c r="AB347" s="167">
        <v>3762.39</v>
      </c>
      <c r="AC347" s="221"/>
      <c r="AD347" s="195">
        <v>1.31770564194109E-2</v>
      </c>
      <c r="AE347" s="219">
        <v>9.1370319913562301E-3</v>
      </c>
      <c r="AF347" s="167">
        <v>6.7065775401069496</v>
      </c>
      <c r="AG347" s="222">
        <v>8.8372950627143301E-2</v>
      </c>
      <c r="AH347" s="223">
        <v>0.51085164835164798</v>
      </c>
      <c r="AI347" s="223">
        <v>0.36483516483516498</v>
      </c>
      <c r="AJ347" s="167">
        <v>0.47836707849861398</v>
      </c>
      <c r="AK347" s="224">
        <v>0.303589044957016</v>
      </c>
      <c r="AL347" s="224">
        <v>6.7341569972283494E-2</v>
      </c>
      <c r="AM347" s="82">
        <v>0.38671489641565299</v>
      </c>
      <c r="AN347" s="195">
        <v>5.1260000000000003</v>
      </c>
    </row>
    <row r="348" spans="1:40" s="167" customFormat="1" ht="16.05" customHeight="1">
      <c r="A348" s="186">
        <v>43689</v>
      </c>
      <c r="B348" s="232" t="s">
        <v>51</v>
      </c>
      <c r="C348" s="188">
        <v>9923</v>
      </c>
      <c r="D348" s="188">
        <v>46162</v>
      </c>
      <c r="E348" s="189">
        <v>4.6520205582988998</v>
      </c>
      <c r="F348" s="167">
        <v>0.56701970841817895</v>
      </c>
      <c r="G348" s="190">
        <v>8.51</v>
      </c>
      <c r="H348" s="190">
        <v>14.44</v>
      </c>
      <c r="I348" s="219">
        <v>0.25800000000000001</v>
      </c>
      <c r="J348" s="219">
        <v>0.11899999999999999</v>
      </c>
      <c r="K348" s="219">
        <v>6.6000000000000003E-2</v>
      </c>
      <c r="L348" s="167">
        <v>11.731272475196</v>
      </c>
      <c r="M348" s="220">
        <v>13.582730384298801</v>
      </c>
      <c r="N348" s="167">
        <v>20.719251867027999</v>
      </c>
      <c r="O348" s="193">
        <v>0.65556085091633798</v>
      </c>
      <c r="P348" s="167">
        <v>2.8915471548476601</v>
      </c>
      <c r="Q348" s="167">
        <v>3.5736897759566499</v>
      </c>
      <c r="R348" s="167">
        <v>1.28699358931994</v>
      </c>
      <c r="S348" s="167">
        <v>7.2155839006014197</v>
      </c>
      <c r="T348" s="167">
        <v>2.0490383979908802</v>
      </c>
      <c r="U348" s="167">
        <v>0.45294428656400798</v>
      </c>
      <c r="V348" s="167">
        <v>2.2750644372480302</v>
      </c>
      <c r="W348" s="167">
        <v>0.97439032449937202</v>
      </c>
      <c r="X348" s="167">
        <v>9.5316494086044798E-4</v>
      </c>
      <c r="Y348" s="189">
        <v>13.5836835492396</v>
      </c>
      <c r="Z348" s="207">
        <v>515</v>
      </c>
      <c r="AA348" s="207">
        <v>357</v>
      </c>
      <c r="AB348" s="167">
        <v>3627.85</v>
      </c>
      <c r="AC348" s="221"/>
      <c r="AD348" s="195">
        <v>1.11563623759802E-2</v>
      </c>
      <c r="AE348" s="219">
        <v>7.7336337247086301E-3</v>
      </c>
      <c r="AF348" s="167">
        <v>7.0443689320388296</v>
      </c>
      <c r="AG348" s="222">
        <v>7.8589532515922197E-2</v>
      </c>
      <c r="AH348" s="223">
        <v>0.45722059860929198</v>
      </c>
      <c r="AI348" s="223">
        <v>0.29859921394739503</v>
      </c>
      <c r="AJ348" s="167">
        <v>0.46553442225206898</v>
      </c>
      <c r="AK348" s="224">
        <v>0.286902647198995</v>
      </c>
      <c r="AL348" s="224">
        <v>6.4446947705905297E-2</v>
      </c>
      <c r="AM348" s="82">
        <v>0.36276591135566</v>
      </c>
      <c r="AN348" s="195">
        <v>5.1139999999999999</v>
      </c>
    </row>
    <row r="349" spans="1:40" s="167" customFormat="1" ht="16.05" customHeight="1">
      <c r="A349" s="186">
        <v>43690</v>
      </c>
      <c r="B349" s="232" t="s">
        <v>51</v>
      </c>
      <c r="C349" s="188">
        <v>14940</v>
      </c>
      <c r="D349" s="188">
        <v>51114</v>
      </c>
      <c r="E349" s="189">
        <v>3.42128514056225</v>
      </c>
      <c r="F349" s="167">
        <v>0.47186183894823303</v>
      </c>
      <c r="G349" s="190">
        <v>8.8000000000000007</v>
      </c>
      <c r="H349" s="190">
        <v>15.35</v>
      </c>
      <c r="I349" s="219">
        <v>0.26</v>
      </c>
      <c r="J349" s="219">
        <v>0.124</v>
      </c>
      <c r="K349" s="219">
        <v>6.8000000000000005E-2</v>
      </c>
      <c r="L349" s="167">
        <v>10.2745040497711</v>
      </c>
      <c r="M349" s="220">
        <v>11.592753453065701</v>
      </c>
      <c r="N349" s="167">
        <v>18.7131533238591</v>
      </c>
      <c r="O349" s="193">
        <v>0.61949759361427403</v>
      </c>
      <c r="P349" s="167">
        <v>2.6931627980420001</v>
      </c>
      <c r="Q349" s="167">
        <v>3.2416548239381</v>
      </c>
      <c r="R349" s="167">
        <v>1.12215379756829</v>
      </c>
      <c r="S349" s="167">
        <v>6.2390336333491199</v>
      </c>
      <c r="T349" s="167">
        <v>1.8477814621822199</v>
      </c>
      <c r="U349" s="167">
        <v>0.50986894047055098</v>
      </c>
      <c r="V349" s="167">
        <v>2.1139112584872901</v>
      </c>
      <c r="W349" s="167">
        <v>0.94558660982156895</v>
      </c>
      <c r="X349" s="167">
        <v>5.2823101302969797E-4</v>
      </c>
      <c r="Y349" s="189">
        <v>11.593281684078701</v>
      </c>
      <c r="Z349" s="207">
        <v>465</v>
      </c>
      <c r="AA349" s="207">
        <v>340</v>
      </c>
      <c r="AB349" s="167">
        <v>2856.35</v>
      </c>
      <c r="AC349" s="221"/>
      <c r="AD349" s="195">
        <v>9.0973118910670295E-3</v>
      </c>
      <c r="AE349" s="219">
        <v>6.65179794185546E-3</v>
      </c>
      <c r="AF349" s="167">
        <v>6.1426881720430098</v>
      </c>
      <c r="AG349" s="222">
        <v>5.5881950150643601E-2</v>
      </c>
      <c r="AH349" s="223">
        <v>0.42563587684069598</v>
      </c>
      <c r="AI349" s="223">
        <v>0.25528781793841998</v>
      </c>
      <c r="AJ349" s="167">
        <v>0.47759909222522201</v>
      </c>
      <c r="AK349" s="224">
        <v>0.27450404977109999</v>
      </c>
      <c r="AL349" s="224">
        <v>6.1548695073756703E-2</v>
      </c>
      <c r="AM349" s="82">
        <v>0.28442305434910198</v>
      </c>
      <c r="AN349" s="195">
        <v>5.335</v>
      </c>
    </row>
    <row r="350" spans="1:40" s="167" customFormat="1" ht="16.05" customHeight="1">
      <c r="A350" s="186">
        <v>43691</v>
      </c>
      <c r="B350" s="232" t="s">
        <v>51</v>
      </c>
      <c r="C350" s="188">
        <v>19870</v>
      </c>
      <c r="D350" s="188">
        <v>56055</v>
      </c>
      <c r="E350" s="189">
        <v>2.8210870659285399</v>
      </c>
      <c r="F350" s="167">
        <v>0.39227829408616499</v>
      </c>
      <c r="G350" s="190">
        <v>8.1300000000000008</v>
      </c>
      <c r="H350" s="190">
        <v>15.08</v>
      </c>
      <c r="I350" s="219">
        <v>0.38800000000000001</v>
      </c>
      <c r="J350" s="219">
        <v>0.20300000000000001</v>
      </c>
      <c r="K350" s="219">
        <v>0.106</v>
      </c>
      <c r="L350" s="167">
        <v>10.445669431808</v>
      </c>
      <c r="M350" s="220">
        <v>11.276193024707901</v>
      </c>
      <c r="N350" s="167">
        <v>17.440250531137</v>
      </c>
      <c r="O350" s="193">
        <v>0.64656141289804703</v>
      </c>
      <c r="P350" s="167">
        <v>2.5265292608227798</v>
      </c>
      <c r="Q350" s="167">
        <v>2.8952349419198198</v>
      </c>
      <c r="R350" s="167">
        <v>0.997599536462213</v>
      </c>
      <c r="S350" s="167">
        <v>5.8766658389206201</v>
      </c>
      <c r="T350" s="167">
        <v>1.62378942140551</v>
      </c>
      <c r="U350" s="167">
        <v>0.63154264271721405</v>
      </c>
      <c r="V350" s="167">
        <v>1.97963744723119</v>
      </c>
      <c r="W350" s="167">
        <v>0.909251441657699</v>
      </c>
      <c r="X350" s="167">
        <v>1.37365087860137E-3</v>
      </c>
      <c r="Y350" s="189">
        <v>11.277566675586501</v>
      </c>
      <c r="Z350" s="207">
        <v>448</v>
      </c>
      <c r="AA350" s="207">
        <v>312</v>
      </c>
      <c r="AB350" s="167">
        <v>2069.52</v>
      </c>
      <c r="AC350" s="221"/>
      <c r="AD350" s="195">
        <v>7.9921505664079899E-3</v>
      </c>
      <c r="AE350" s="219">
        <v>5.5659620016055697E-3</v>
      </c>
      <c r="AF350" s="167">
        <v>4.6194642857142796</v>
      </c>
      <c r="AG350" s="222">
        <v>3.6919454107572899E-2</v>
      </c>
      <c r="AH350" s="223">
        <v>0.60659285354806203</v>
      </c>
      <c r="AI350" s="223">
        <v>0.420533467539004</v>
      </c>
      <c r="AJ350" s="167">
        <v>0.63448398893943403</v>
      </c>
      <c r="AK350" s="224">
        <v>0.29811791990009801</v>
      </c>
      <c r="AL350" s="224">
        <v>5.7122469003657098E-2</v>
      </c>
      <c r="AM350" s="82">
        <v>0</v>
      </c>
      <c r="AN350" s="195">
        <v>4.8529999999999998</v>
      </c>
    </row>
    <row r="351" spans="1:40" s="167" customFormat="1" ht="16.05" customHeight="1">
      <c r="A351" s="186">
        <v>43692</v>
      </c>
      <c r="B351" s="232" t="s">
        <v>51</v>
      </c>
      <c r="C351" s="188">
        <v>11178</v>
      </c>
      <c r="D351" s="188">
        <v>51043</v>
      </c>
      <c r="E351" s="189">
        <v>4.56638039005189</v>
      </c>
      <c r="F351" s="167">
        <v>0.398491307015653</v>
      </c>
      <c r="G351" s="190">
        <v>8.32</v>
      </c>
      <c r="H351" s="190">
        <v>14.36</v>
      </c>
      <c r="I351" s="219">
        <v>0.32100000000000001</v>
      </c>
      <c r="J351" s="219">
        <v>0.159</v>
      </c>
      <c r="K351" s="219">
        <v>8.7999999999999995E-2</v>
      </c>
      <c r="L351" s="167">
        <v>10.2539819367984</v>
      </c>
      <c r="M351" s="220">
        <v>11.2206962756891</v>
      </c>
      <c r="N351" s="167">
        <v>16.996705938214099</v>
      </c>
      <c r="O351" s="193">
        <v>0.66016887722116602</v>
      </c>
      <c r="P351" s="167">
        <v>2.4502477965397498</v>
      </c>
      <c r="Q351" s="167">
        <v>2.9612725168412601</v>
      </c>
      <c r="R351" s="167">
        <v>0.98807015461317005</v>
      </c>
      <c r="S351" s="167">
        <v>5.6246846900317502</v>
      </c>
      <c r="T351" s="167">
        <v>1.6120129388372899</v>
      </c>
      <c r="U351" s="167">
        <v>0.55212630204469204</v>
      </c>
      <c r="V351" s="167">
        <v>1.8998427159687801</v>
      </c>
      <c r="W351" s="167">
        <v>0.90844882333738897</v>
      </c>
      <c r="X351" s="167">
        <v>6.4651372372313495E-4</v>
      </c>
      <c r="Y351" s="189">
        <v>11.2213427894128</v>
      </c>
      <c r="Z351" s="207">
        <v>367</v>
      </c>
      <c r="AA351" s="207">
        <v>279</v>
      </c>
      <c r="AB351" s="167">
        <v>1883.33</v>
      </c>
      <c r="AC351" s="221"/>
      <c r="AD351" s="195">
        <v>7.19001626079972E-3</v>
      </c>
      <c r="AE351" s="219">
        <v>5.4659796642046897E-3</v>
      </c>
      <c r="AF351" s="167">
        <v>5.1316893732970001</v>
      </c>
      <c r="AG351" s="222">
        <v>3.6896930039378599E-2</v>
      </c>
      <c r="AH351" s="223">
        <v>0.57595276435856102</v>
      </c>
      <c r="AI351" s="223">
        <v>0.44954374664519597</v>
      </c>
      <c r="AJ351" s="167">
        <v>0.62500244891561996</v>
      </c>
      <c r="AK351" s="224">
        <v>0.333659855416022</v>
      </c>
      <c r="AL351" s="224">
        <v>6.0752698705013403E-2</v>
      </c>
      <c r="AM351" s="82">
        <v>0</v>
      </c>
      <c r="AN351" s="195">
        <v>5.2089999999999996</v>
      </c>
    </row>
    <row r="352" spans="1:40" s="167" customFormat="1" ht="16.05" customHeight="1">
      <c r="A352" s="186">
        <v>43693</v>
      </c>
      <c r="B352" s="232" t="s">
        <v>51</v>
      </c>
      <c r="C352" s="188">
        <v>9396</v>
      </c>
      <c r="D352" s="188">
        <v>48149</v>
      </c>
      <c r="E352" s="189">
        <v>5.1244146445295904</v>
      </c>
      <c r="F352" s="167">
        <v>0.42635744013375299</v>
      </c>
      <c r="G352" s="190">
        <v>7.85</v>
      </c>
      <c r="H352" s="190">
        <v>13.2</v>
      </c>
      <c r="I352" s="219">
        <v>0.312</v>
      </c>
      <c r="J352" s="219">
        <v>0.161</v>
      </c>
      <c r="K352" s="219">
        <v>8.2000000000000003E-2</v>
      </c>
      <c r="L352" s="167">
        <v>10.1786537622796</v>
      </c>
      <c r="M352" s="220">
        <v>11.156721842613599</v>
      </c>
      <c r="N352" s="167">
        <v>16.794378790720899</v>
      </c>
      <c r="O352" s="193">
        <v>0.66431286215705898</v>
      </c>
      <c r="P352" s="167">
        <v>2.48924529481648</v>
      </c>
      <c r="Q352" s="167">
        <v>2.92903145125993</v>
      </c>
      <c r="R352" s="167">
        <v>0.99349715500531499</v>
      </c>
      <c r="S352" s="167">
        <v>5.4200587757143799</v>
      </c>
      <c r="T352" s="167">
        <v>1.6389670480835401</v>
      </c>
      <c r="U352" s="167">
        <v>0.547864690802226</v>
      </c>
      <c r="V352" s="167">
        <v>1.8746951791408699</v>
      </c>
      <c r="W352" s="167">
        <v>0.90101919589820501</v>
      </c>
      <c r="X352" s="167">
        <v>2.38841928181271E-3</v>
      </c>
      <c r="Y352" s="189">
        <v>11.1591102618954</v>
      </c>
      <c r="Z352" s="207">
        <v>484</v>
      </c>
      <c r="AA352" s="207">
        <v>337</v>
      </c>
      <c r="AB352" s="167">
        <v>2617.16</v>
      </c>
      <c r="AC352" s="221"/>
      <c r="AD352" s="195">
        <v>1.0052129846933501E-2</v>
      </c>
      <c r="AE352" s="219">
        <v>6.9991069388772396E-3</v>
      </c>
      <c r="AF352" s="167">
        <v>5.40735537190083</v>
      </c>
      <c r="AG352" s="222">
        <v>5.4355438326860399E-2</v>
      </c>
      <c r="AH352" s="223">
        <v>0.55502341421881696</v>
      </c>
      <c r="AI352" s="223">
        <v>0.43241805023414198</v>
      </c>
      <c r="AJ352" s="167">
        <v>0.63781179256059295</v>
      </c>
      <c r="AK352" s="224">
        <v>0.349062285821097</v>
      </c>
      <c r="AL352" s="224">
        <v>6.1828906103968899E-2</v>
      </c>
      <c r="AM352" s="82">
        <v>0</v>
      </c>
      <c r="AN352" s="195">
        <v>4.5609999999999999</v>
      </c>
    </row>
    <row r="353" spans="1:40" s="167" customFormat="1" ht="16.05" customHeight="1">
      <c r="A353" s="186">
        <v>43694</v>
      </c>
      <c r="B353" s="232" t="s">
        <v>51</v>
      </c>
      <c r="C353" s="188">
        <v>7480</v>
      </c>
      <c r="D353" s="188">
        <v>45584</v>
      </c>
      <c r="E353" s="189">
        <v>6.0941176470588196</v>
      </c>
      <c r="F353" s="167">
        <v>0.61365916722973002</v>
      </c>
      <c r="G353" s="190">
        <v>6.85</v>
      </c>
      <c r="H353" s="190">
        <v>11.9</v>
      </c>
      <c r="I353" s="219">
        <v>0.29799999999999999</v>
      </c>
      <c r="J353" s="219">
        <v>0.14899999999999999</v>
      </c>
      <c r="K353" s="219">
        <v>7.6999999999999999E-2</v>
      </c>
      <c r="L353" s="167">
        <v>13.522836960336999</v>
      </c>
      <c r="M353" s="220">
        <v>16.619011056511098</v>
      </c>
      <c r="N353" s="167">
        <v>23.1655862026787</v>
      </c>
      <c r="O353" s="193">
        <v>0.71740084240084201</v>
      </c>
      <c r="P353" s="167">
        <v>2.9457525533606499</v>
      </c>
      <c r="Q353" s="167">
        <v>3.6418567671702</v>
      </c>
      <c r="R353" s="167">
        <v>1.4233380221393199</v>
      </c>
      <c r="S353" s="167">
        <v>8.6095040058711998</v>
      </c>
      <c r="T353" s="167">
        <v>2.0443092165616799</v>
      </c>
      <c r="U353" s="167">
        <v>0.45462051250688001</v>
      </c>
      <c r="V353" s="167">
        <v>2.4991132040853801</v>
      </c>
      <c r="W353" s="167">
        <v>0.98571952785762396</v>
      </c>
      <c r="X353" s="167">
        <v>1.1780449280449299E-2</v>
      </c>
      <c r="Y353" s="189">
        <v>16.6307915057915</v>
      </c>
      <c r="Z353" s="207">
        <v>609</v>
      </c>
      <c r="AA353" s="207">
        <v>408</v>
      </c>
      <c r="AB353" s="167">
        <v>4717.91</v>
      </c>
      <c r="AC353" s="221"/>
      <c r="AD353" s="195">
        <v>1.3359950859950899E-2</v>
      </c>
      <c r="AE353" s="219">
        <v>8.9505089505089504E-3</v>
      </c>
      <c r="AF353" s="167">
        <v>7.7469786535303804</v>
      </c>
      <c r="AG353" s="222">
        <v>0.10349925412425399</v>
      </c>
      <c r="AH353" s="223">
        <v>0.56644385026737998</v>
      </c>
      <c r="AI353" s="223">
        <v>0.45708556149732599</v>
      </c>
      <c r="AJ353" s="167">
        <v>0.51349157599157602</v>
      </c>
      <c r="AK353" s="224">
        <v>0.323249385749386</v>
      </c>
      <c r="AL353" s="224">
        <v>6.2061249561249601E-2</v>
      </c>
      <c r="AM353" s="82">
        <v>0.39002720252720302</v>
      </c>
      <c r="AN353" s="195">
        <v>5.6879999999999997</v>
      </c>
    </row>
    <row r="354" spans="1:40" s="167" customFormat="1" ht="16.05" customHeight="1">
      <c r="A354" s="186">
        <v>43695</v>
      </c>
      <c r="B354" s="232" t="s">
        <v>51</v>
      </c>
      <c r="C354" s="188">
        <v>8785</v>
      </c>
      <c r="D354" s="188">
        <v>46304</v>
      </c>
      <c r="E354" s="189">
        <v>5.2708025042686399</v>
      </c>
      <c r="F354" s="167">
        <v>0.55905092324637196</v>
      </c>
      <c r="G354" s="190">
        <v>7.18</v>
      </c>
      <c r="H354" s="190">
        <v>12.44</v>
      </c>
      <c r="I354" s="219">
        <v>0.311</v>
      </c>
      <c r="J354" s="219">
        <v>0.14199999999999999</v>
      </c>
      <c r="K354" s="219">
        <v>8.6999999999999994E-2</v>
      </c>
      <c r="L354" s="167">
        <v>12.612474084312399</v>
      </c>
      <c r="M354" s="220">
        <v>14.9770646164478</v>
      </c>
      <c r="N354" s="167">
        <v>21.969777608819602</v>
      </c>
      <c r="O354" s="193">
        <v>0.68171216309606097</v>
      </c>
      <c r="P354" s="167">
        <v>2.89843502502693</v>
      </c>
      <c r="Q354" s="167">
        <v>3.7573021605524901</v>
      </c>
      <c r="R354" s="167">
        <v>1.4495976683773699</v>
      </c>
      <c r="S354" s="167">
        <v>7.8994804536526599</v>
      </c>
      <c r="T354" s="167">
        <v>2.06104669581195</v>
      </c>
      <c r="U354" s="167">
        <v>0.462016093264905</v>
      </c>
      <c r="V354" s="167">
        <v>2.4305581955268298</v>
      </c>
      <c r="W354" s="167">
        <v>1.01134131660648</v>
      </c>
      <c r="X354" s="167">
        <v>1.55494125777471E-3</v>
      </c>
      <c r="Y354" s="189">
        <v>14.978619557705599</v>
      </c>
      <c r="Z354" s="207">
        <v>547</v>
      </c>
      <c r="AA354" s="207">
        <v>381</v>
      </c>
      <c r="AB354" s="167">
        <v>4023.53</v>
      </c>
      <c r="AC354" s="221"/>
      <c r="AD354" s="195">
        <v>1.1813234277816199E-2</v>
      </c>
      <c r="AE354" s="219">
        <v>8.2282308223911495E-3</v>
      </c>
      <c r="AF354" s="167">
        <v>7.3556307129798899</v>
      </c>
      <c r="AG354" s="222">
        <v>8.68937888735314E-2</v>
      </c>
      <c r="AH354" s="223">
        <v>0.52111553784860598</v>
      </c>
      <c r="AI354" s="223">
        <v>0.37951052931132601</v>
      </c>
      <c r="AJ354" s="167">
        <v>0.50066948859709703</v>
      </c>
      <c r="AK354" s="224">
        <v>0.30057878369039398</v>
      </c>
      <c r="AL354" s="224">
        <v>5.6150656530753303E-2</v>
      </c>
      <c r="AM354" s="82">
        <v>0.38702919834139599</v>
      </c>
      <c r="AN354" s="195">
        <v>5.6710000000000003</v>
      </c>
    </row>
    <row r="355" spans="1:40" s="167" customFormat="1" ht="16.05" customHeight="1">
      <c r="A355" s="186">
        <v>43696</v>
      </c>
      <c r="B355" s="232" t="s">
        <v>51</v>
      </c>
      <c r="C355" s="188">
        <v>10600</v>
      </c>
      <c r="D355" s="188">
        <v>48987</v>
      </c>
      <c r="E355" s="189">
        <v>4.6214150943396204</v>
      </c>
      <c r="F355" s="167">
        <v>0.52417675730295799</v>
      </c>
      <c r="G355" s="190">
        <v>7.38</v>
      </c>
      <c r="H355" s="190">
        <v>12.43</v>
      </c>
      <c r="I355" s="219">
        <v>0.28999999999999998</v>
      </c>
      <c r="J355" s="219">
        <v>0.14499999999999999</v>
      </c>
      <c r="K355" s="219">
        <v>8.3000000000000004E-2</v>
      </c>
      <c r="L355" s="167">
        <v>12.107722456978401</v>
      </c>
      <c r="M355" s="220">
        <v>14.0087165982812</v>
      </c>
      <c r="N355" s="167">
        <v>20.922103658536599</v>
      </c>
      <c r="O355" s="193">
        <v>0.669565394900688</v>
      </c>
      <c r="P355" s="167">
        <v>2.8763109756097598</v>
      </c>
      <c r="Q355" s="167">
        <v>3.72457317073171</v>
      </c>
      <c r="R355" s="167">
        <v>1.34731707317073</v>
      </c>
      <c r="S355" s="167">
        <v>7.1247560975609803</v>
      </c>
      <c r="T355" s="167">
        <v>2.02100609756098</v>
      </c>
      <c r="U355" s="167">
        <v>0.47201219512195097</v>
      </c>
      <c r="V355" s="167">
        <v>2.3469512195122002</v>
      </c>
      <c r="W355" s="167">
        <v>1.0091768292682901</v>
      </c>
      <c r="X355" s="167">
        <v>1.6126727499132399E-3</v>
      </c>
      <c r="Y355" s="189">
        <v>14.0103292710311</v>
      </c>
      <c r="Z355" s="207">
        <v>546</v>
      </c>
      <c r="AA355" s="207">
        <v>355</v>
      </c>
      <c r="AB355" s="167">
        <v>3802.54</v>
      </c>
      <c r="AC355" s="221"/>
      <c r="AD355" s="195">
        <v>1.1145814195602901E-2</v>
      </c>
      <c r="AE355" s="219">
        <v>7.2468205850531797E-3</v>
      </c>
      <c r="AF355" s="167">
        <v>6.9643589743589702</v>
      </c>
      <c r="AG355" s="222">
        <v>7.76234511196848E-2</v>
      </c>
      <c r="AH355" s="223">
        <v>0.486981132075472</v>
      </c>
      <c r="AI355" s="223">
        <v>0.33896226415094299</v>
      </c>
      <c r="AJ355" s="167">
        <v>0.51025782350419502</v>
      </c>
      <c r="AK355" s="224">
        <v>0.29475166881009202</v>
      </c>
      <c r="AL355" s="224">
        <v>5.7586706677281697E-2</v>
      </c>
      <c r="AM355" s="82">
        <v>0.368301794353604</v>
      </c>
      <c r="AN355" s="195">
        <v>4.9740000000000002</v>
      </c>
    </row>
    <row r="356" spans="1:40" s="167" customFormat="1" ht="16.05" customHeight="1">
      <c r="A356" s="186">
        <v>43697</v>
      </c>
      <c r="B356" s="232" t="s">
        <v>51</v>
      </c>
      <c r="C356" s="188">
        <v>10823</v>
      </c>
      <c r="D356" s="188">
        <v>49026</v>
      </c>
      <c r="E356" s="189">
        <v>4.5297976531460797</v>
      </c>
      <c r="F356" s="167">
        <v>0.53638335430179895</v>
      </c>
      <c r="G356" s="190">
        <v>8.33</v>
      </c>
      <c r="H356" s="190">
        <v>13.83</v>
      </c>
      <c r="I356" s="219">
        <v>0.28100000000000003</v>
      </c>
      <c r="J356" s="219">
        <v>0.13900000000000001</v>
      </c>
      <c r="K356" s="219">
        <v>7.9000000000000001E-2</v>
      </c>
      <c r="L356" s="167">
        <v>11.342471341736999</v>
      </c>
      <c r="M356" s="220">
        <v>12.707094194917</v>
      </c>
      <c r="N356" s="167">
        <v>19.224749267088399</v>
      </c>
      <c r="O356" s="193">
        <v>0.66097580875453799</v>
      </c>
      <c r="P356" s="167">
        <v>2.6677364604227698</v>
      </c>
      <c r="Q356" s="167">
        <v>3.3914519364295601</v>
      </c>
      <c r="R356" s="167">
        <v>1.2108933806511299</v>
      </c>
      <c r="S356" s="167">
        <v>6.4944915908038903</v>
      </c>
      <c r="T356" s="167">
        <v>1.8597438666872399</v>
      </c>
      <c r="U356" s="167">
        <v>0.498071285295479</v>
      </c>
      <c r="V356" s="167">
        <v>2.1490819318006502</v>
      </c>
      <c r="W356" s="167">
        <v>0.95327881499768596</v>
      </c>
      <c r="X356" s="167">
        <v>8.3629094766042502E-4</v>
      </c>
      <c r="Y356" s="189">
        <v>12.707930485864599</v>
      </c>
      <c r="Z356" s="207">
        <v>566</v>
      </c>
      <c r="AA356" s="207">
        <v>357</v>
      </c>
      <c r="AB356" s="167">
        <v>3623.34</v>
      </c>
      <c r="AC356" s="221"/>
      <c r="AD356" s="195">
        <v>1.1544894545751199E-2</v>
      </c>
      <c r="AE356" s="219">
        <v>7.2818504467017497E-3</v>
      </c>
      <c r="AF356" s="167">
        <v>6.4016607773851604</v>
      </c>
      <c r="AG356" s="222">
        <v>7.3906498592583497E-2</v>
      </c>
      <c r="AH356" s="223">
        <v>0.46918599279312601</v>
      </c>
      <c r="AI356" s="223">
        <v>0.322369028919893</v>
      </c>
      <c r="AJ356" s="167">
        <v>0.53347203524660403</v>
      </c>
      <c r="AK356" s="224">
        <v>0.306898380451189</v>
      </c>
      <c r="AL356" s="224">
        <v>6.1192020560518902E-2</v>
      </c>
      <c r="AM356" s="82">
        <v>0.30952963733529099</v>
      </c>
      <c r="AN356" s="195">
        <v>4.0190000000000001</v>
      </c>
    </row>
    <row r="357" spans="1:40" s="167" customFormat="1" ht="16.05" customHeight="1">
      <c r="A357" s="186">
        <v>43698</v>
      </c>
      <c r="B357" s="232" t="s">
        <v>51</v>
      </c>
      <c r="C357" s="188">
        <v>11160</v>
      </c>
      <c r="D357" s="188">
        <v>47842</v>
      </c>
      <c r="E357" s="189">
        <v>4.2869175627240104</v>
      </c>
      <c r="F357" s="167">
        <v>0.40724760461519199</v>
      </c>
      <c r="G357" s="190">
        <v>8.8800000000000008</v>
      </c>
      <c r="H357" s="190">
        <v>14.16</v>
      </c>
      <c r="I357" s="219">
        <v>0.26900000000000002</v>
      </c>
      <c r="J357" s="219">
        <v>0.128</v>
      </c>
      <c r="K357" s="219">
        <v>7.0000000000000007E-2</v>
      </c>
      <c r="L357" s="167">
        <v>9.58143472262865</v>
      </c>
      <c r="M357" s="220">
        <v>10.3560469880022</v>
      </c>
      <c r="N357" s="167">
        <v>16.2209926663174</v>
      </c>
      <c r="O357" s="193">
        <v>0.63843484804146999</v>
      </c>
      <c r="P357" s="167">
        <v>2.4302645364064999</v>
      </c>
      <c r="Q357" s="167">
        <v>2.7594617600838101</v>
      </c>
      <c r="R357" s="167">
        <v>0.95864981665793603</v>
      </c>
      <c r="S357" s="167">
        <v>5.2693491356731297</v>
      </c>
      <c r="T357" s="167">
        <v>1.6031626506024099</v>
      </c>
      <c r="U357" s="167">
        <v>0.53015322158197997</v>
      </c>
      <c r="V357" s="167">
        <v>1.80539549502357</v>
      </c>
      <c r="W357" s="167">
        <v>0.864556050288109</v>
      </c>
      <c r="X357" s="167">
        <v>1.81848584925379E-3</v>
      </c>
      <c r="Y357" s="189">
        <v>10.357865473851399</v>
      </c>
      <c r="Z357" s="207">
        <v>369</v>
      </c>
      <c r="AA357" s="207">
        <v>252</v>
      </c>
      <c r="AB357" s="167">
        <v>2064.31</v>
      </c>
      <c r="AC357" s="221"/>
      <c r="AD357" s="195">
        <v>7.71288825717988E-3</v>
      </c>
      <c r="AE357" s="219">
        <v>5.2673383219765096E-3</v>
      </c>
      <c r="AF357" s="167">
        <v>5.5943360433604301</v>
      </c>
      <c r="AG357" s="222">
        <v>4.3148488775552898E-2</v>
      </c>
      <c r="AH357" s="223">
        <v>0.45259856630824402</v>
      </c>
      <c r="AI357" s="223">
        <v>0.29802867383512499</v>
      </c>
      <c r="AJ357" s="167">
        <v>0.59280548472053796</v>
      </c>
      <c r="AK357" s="224">
        <v>0.32206011454370598</v>
      </c>
      <c r="AL357" s="224">
        <v>6.1953931691818898E-2</v>
      </c>
      <c r="AM357" s="82">
        <v>0</v>
      </c>
      <c r="AN357" s="195">
        <v>4.55</v>
      </c>
    </row>
    <row r="358" spans="1:40" s="167" customFormat="1" ht="16.05" customHeight="1">
      <c r="A358" s="186">
        <v>43699</v>
      </c>
      <c r="B358" s="232" t="s">
        <v>51</v>
      </c>
      <c r="C358" s="188">
        <v>12703</v>
      </c>
      <c r="D358" s="188">
        <v>48972</v>
      </c>
      <c r="E358" s="189">
        <v>3.8551523262221501</v>
      </c>
      <c r="F358" s="167">
        <v>0.43879873315363899</v>
      </c>
      <c r="G358" s="190">
        <v>9.3699999999999992</v>
      </c>
      <c r="H358" s="190">
        <v>15.23</v>
      </c>
      <c r="I358" s="219">
        <v>0.26</v>
      </c>
      <c r="J358" s="219">
        <v>0.127</v>
      </c>
      <c r="K358" s="219">
        <v>6.5000000000000002E-2</v>
      </c>
      <c r="L358" s="167">
        <v>9.4376378338642493</v>
      </c>
      <c r="M358" s="220">
        <v>9.9917708078085408</v>
      </c>
      <c r="N358" s="167">
        <v>16.097012961379001</v>
      </c>
      <c r="O358" s="193">
        <v>0.62072204525034702</v>
      </c>
      <c r="P358" s="167">
        <v>2.4764787157049799</v>
      </c>
      <c r="Q358" s="167">
        <v>2.7463977893282498</v>
      </c>
      <c r="R358" s="167">
        <v>0.94039081518520995</v>
      </c>
      <c r="S358" s="167">
        <v>5.0917823541022402</v>
      </c>
      <c r="T358" s="167">
        <v>1.6140864530561201</v>
      </c>
      <c r="U358" s="167">
        <v>0.53911441542206695</v>
      </c>
      <c r="V358" s="167">
        <v>1.80900059214422</v>
      </c>
      <c r="W358" s="167">
        <v>0.87976182643595002</v>
      </c>
      <c r="X358" s="167">
        <v>9.1889242832639099E-4</v>
      </c>
      <c r="Y358" s="189">
        <v>9.9926897002368698</v>
      </c>
      <c r="Z358" s="207">
        <v>410</v>
      </c>
      <c r="AA358" s="207">
        <v>278</v>
      </c>
      <c r="AB358" s="167">
        <v>2591.9</v>
      </c>
      <c r="AC358" s="221"/>
      <c r="AD358" s="195">
        <v>8.3721310136404496E-3</v>
      </c>
      <c r="AE358" s="219">
        <v>5.6767132238830396E-3</v>
      </c>
      <c r="AF358" s="167">
        <v>6.3217073170731704</v>
      </c>
      <c r="AG358" s="222">
        <v>5.2926161888425999E-2</v>
      </c>
      <c r="AH358" s="223">
        <v>0.45280642367944601</v>
      </c>
      <c r="AI358" s="223">
        <v>0.28764858694796502</v>
      </c>
      <c r="AJ358" s="167">
        <v>0.57300089847259705</v>
      </c>
      <c r="AK358" s="224">
        <v>0.31466960712243702</v>
      </c>
      <c r="AL358" s="224">
        <v>5.9033733562035499E-2</v>
      </c>
      <c r="AM358" s="82">
        <v>0</v>
      </c>
      <c r="AN358" s="195">
        <v>5.1890000000000001</v>
      </c>
    </row>
    <row r="359" spans="1:40" s="167" customFormat="1" ht="16.05" customHeight="1">
      <c r="A359" s="186">
        <v>43700</v>
      </c>
      <c r="B359" s="232" t="s">
        <v>51</v>
      </c>
      <c r="C359" s="188">
        <v>10337</v>
      </c>
      <c r="D359" s="188">
        <v>46407</v>
      </c>
      <c r="E359" s="189">
        <v>4.48940698461836</v>
      </c>
      <c r="F359" s="167">
        <v>0.411772477535717</v>
      </c>
      <c r="G359" s="190">
        <v>8.56</v>
      </c>
      <c r="H359" s="190">
        <v>13.7</v>
      </c>
      <c r="I359" s="219">
        <v>0.246</v>
      </c>
      <c r="J359" s="219">
        <v>0.122</v>
      </c>
      <c r="K359" s="219">
        <v>6.5000000000000002E-2</v>
      </c>
      <c r="L359" s="167">
        <v>9.5046436959941403</v>
      </c>
      <c r="M359" s="220">
        <v>10.2265821966514</v>
      </c>
      <c r="N359" s="167">
        <v>16.191361604858201</v>
      </c>
      <c r="O359" s="193">
        <v>0.63160730062275094</v>
      </c>
      <c r="P359" s="167">
        <v>2.4582238749957401</v>
      </c>
      <c r="Q359" s="167">
        <v>2.8057043430793902</v>
      </c>
      <c r="R359" s="167">
        <v>0.94773293302855599</v>
      </c>
      <c r="S359" s="167">
        <v>5.1169526798812699</v>
      </c>
      <c r="T359" s="167">
        <v>1.6400668690935101</v>
      </c>
      <c r="U359" s="167">
        <v>0.541332605506465</v>
      </c>
      <c r="V359" s="167">
        <v>1.7988468493057199</v>
      </c>
      <c r="W359" s="167">
        <v>0.88250144996758895</v>
      </c>
      <c r="X359" s="167">
        <v>6.6800267201068799E-4</v>
      </c>
      <c r="Y359" s="189">
        <v>10.2272501993234</v>
      </c>
      <c r="Z359" s="207">
        <v>400</v>
      </c>
      <c r="AA359" s="207">
        <v>272</v>
      </c>
      <c r="AB359" s="167">
        <v>2218</v>
      </c>
      <c r="AC359" s="221"/>
      <c r="AD359" s="195">
        <v>8.6193893162669396E-3</v>
      </c>
      <c r="AE359" s="219">
        <v>5.8611847350615197E-3</v>
      </c>
      <c r="AF359" s="167">
        <v>5.5449999999999999</v>
      </c>
      <c r="AG359" s="222">
        <v>4.7794513758700197E-2</v>
      </c>
      <c r="AH359" s="223">
        <v>0.45999806520267</v>
      </c>
      <c r="AI359" s="223">
        <v>0.32001547837863997</v>
      </c>
      <c r="AJ359" s="167">
        <v>0.58023574029780001</v>
      </c>
      <c r="AK359" s="224">
        <v>0.326093046307669</v>
      </c>
      <c r="AL359" s="224">
        <v>6.0831340099553897E-2</v>
      </c>
      <c r="AM359" s="82">
        <v>0</v>
      </c>
      <c r="AN359" s="195">
        <v>4.4980000000000002</v>
      </c>
    </row>
    <row r="360" spans="1:40" s="167" customFormat="1" ht="16.05" customHeight="1">
      <c r="A360" s="186">
        <v>43701</v>
      </c>
      <c r="B360" s="232" t="s">
        <v>51</v>
      </c>
      <c r="C360" s="188">
        <v>7207</v>
      </c>
      <c r="D360" s="188">
        <v>42761</v>
      </c>
      <c r="E360" s="189">
        <v>5.93325933120577</v>
      </c>
      <c r="F360" s="167">
        <v>0.64733485297350402</v>
      </c>
      <c r="G360" s="175">
        <v>7.36</v>
      </c>
      <c r="H360" s="175">
        <v>12.15</v>
      </c>
      <c r="I360" s="176">
        <v>0.245</v>
      </c>
      <c r="J360" s="219">
        <v>0.122</v>
      </c>
      <c r="K360" s="219">
        <v>6.8000000000000005E-2</v>
      </c>
      <c r="L360" s="167">
        <v>13.016744229555</v>
      </c>
      <c r="M360" s="220">
        <v>15.8137555248942</v>
      </c>
      <c r="N360" s="167">
        <v>23.503249800146001</v>
      </c>
      <c r="O360" s="193">
        <v>0.67283272140501904</v>
      </c>
      <c r="P360" s="167">
        <v>3.1377428660804298</v>
      </c>
      <c r="Q360" s="167">
        <v>3.7659796322685999</v>
      </c>
      <c r="R360" s="167">
        <v>1.64380800111223</v>
      </c>
      <c r="S360" s="167">
        <v>8.7876333808348708</v>
      </c>
      <c r="T360" s="167">
        <v>2.1707969830732301</v>
      </c>
      <c r="U360" s="167">
        <v>0.47113412811511601</v>
      </c>
      <c r="V360" s="167">
        <v>2.5303604323798301</v>
      </c>
      <c r="W360" s="167">
        <v>0.995794376281672</v>
      </c>
      <c r="X360" s="167">
        <v>1.0991323869881399E-3</v>
      </c>
      <c r="Y360" s="189">
        <v>15.814854657281201</v>
      </c>
      <c r="Z360" s="207">
        <v>673</v>
      </c>
      <c r="AA360" s="207">
        <v>411</v>
      </c>
      <c r="AB360" s="167">
        <v>4612.2700000000004</v>
      </c>
      <c r="AC360" s="221"/>
      <c r="AD360" s="195">
        <v>1.57386403498515E-2</v>
      </c>
      <c r="AE360" s="219">
        <v>9.6115619372793004E-3</v>
      </c>
      <c r="AF360" s="167">
        <v>6.8532986627043098</v>
      </c>
      <c r="AG360" s="222">
        <v>0.107861602862421</v>
      </c>
      <c r="AH360" s="223">
        <f>3594/C360</f>
        <v>0.49868183710281672</v>
      </c>
      <c r="AI360" s="223">
        <f>2790/C360</f>
        <v>0.38712362980435688</v>
      </c>
      <c r="AJ360" s="167">
        <v>0.48993241505109802</v>
      </c>
      <c r="AK360" s="224">
        <v>0.31072706438109499</v>
      </c>
      <c r="AL360" s="224">
        <v>6.2673931853791998E-2</v>
      </c>
      <c r="AM360" s="82">
        <v>0.36142746895535599</v>
      </c>
      <c r="AN360" s="195">
        <v>5</v>
      </c>
    </row>
    <row r="361" spans="1:40" s="167" customFormat="1" ht="16.05" customHeight="1">
      <c r="A361" s="186">
        <v>43702</v>
      </c>
      <c r="B361" s="232" t="s">
        <v>51</v>
      </c>
      <c r="C361" s="188">
        <v>8990</v>
      </c>
      <c r="D361" s="188">
        <v>44336</v>
      </c>
      <c r="E361" s="189">
        <v>4.9317018909899897</v>
      </c>
      <c r="F361" s="167">
        <v>0.56067091699747396</v>
      </c>
      <c r="G361" s="190">
        <v>7.64</v>
      </c>
      <c r="H361" s="190">
        <v>12.2</v>
      </c>
      <c r="I361" s="219">
        <v>0.252</v>
      </c>
      <c r="J361" s="219">
        <v>0.114</v>
      </c>
      <c r="K361" s="219">
        <v>6.8000000000000005E-2</v>
      </c>
      <c r="L361" s="167">
        <v>12.2102354745579</v>
      </c>
      <c r="M361" s="220">
        <v>14.782073258751399</v>
      </c>
      <c r="N361" s="167">
        <v>22.6023589460615</v>
      </c>
      <c r="O361" s="193">
        <v>0.65400577408877703</v>
      </c>
      <c r="P361" s="167">
        <v>2.9824803421161499</v>
      </c>
      <c r="Q361" s="167">
        <v>3.77200303490137</v>
      </c>
      <c r="R361" s="167">
        <v>1.6355704235066899</v>
      </c>
      <c r="S361" s="167">
        <v>8.2451717478272908</v>
      </c>
      <c r="T361" s="167">
        <v>2.1241205683542601</v>
      </c>
      <c r="U361" s="167">
        <v>0.453993654297144</v>
      </c>
      <c r="V361" s="167">
        <v>2.3834666850600099</v>
      </c>
      <c r="W361" s="167">
        <v>1.0055524899986199</v>
      </c>
      <c r="X361" s="167">
        <v>1.44352219415374E-3</v>
      </c>
      <c r="Y361" s="189">
        <v>14.783516780945501</v>
      </c>
      <c r="Z361" s="207">
        <v>561</v>
      </c>
      <c r="AA361" s="207">
        <v>370</v>
      </c>
      <c r="AB361" s="167">
        <v>3514.39</v>
      </c>
      <c r="AC361" s="221"/>
      <c r="AD361" s="195">
        <v>1.2653374233128799E-2</v>
      </c>
      <c r="AE361" s="219">
        <v>8.34536268495128E-3</v>
      </c>
      <c r="AF361" s="167">
        <v>6.2645098039215696</v>
      </c>
      <c r="AG361" s="222">
        <v>7.9267186936124098E-2</v>
      </c>
      <c r="AH361" s="223">
        <v>0.46729699666295899</v>
      </c>
      <c r="AI361" s="223">
        <v>0.31279199110122402</v>
      </c>
      <c r="AJ361" s="167">
        <v>0.47302417899675198</v>
      </c>
      <c r="AK361" s="224">
        <v>0.28721580656802598</v>
      </c>
      <c r="AL361" s="224">
        <v>5.5891374954889897E-2</v>
      </c>
      <c r="AM361" s="82">
        <v>0.35995579213280399</v>
      </c>
      <c r="AN361" s="195">
        <v>4.7729999999999997</v>
      </c>
    </row>
    <row r="362" spans="1:40" s="167" customFormat="1" ht="16.05" customHeight="1">
      <c r="A362" s="186">
        <v>43703</v>
      </c>
      <c r="B362" s="232" t="s">
        <v>51</v>
      </c>
      <c r="C362" s="188">
        <v>7716</v>
      </c>
      <c r="D362" s="188">
        <v>43905</v>
      </c>
      <c r="E362" s="189">
        <v>5.6901244167962703</v>
      </c>
      <c r="F362" s="167">
        <v>0.54172722883498503</v>
      </c>
      <c r="G362" s="190">
        <v>7.57</v>
      </c>
      <c r="H362" s="190">
        <v>12.49</v>
      </c>
      <c r="I362" s="219">
        <v>0.25900000000000001</v>
      </c>
      <c r="J362" s="219">
        <v>0.13100000000000001</v>
      </c>
      <c r="K362" s="219">
        <v>0.08</v>
      </c>
      <c r="L362" s="167">
        <v>12.118483088486499</v>
      </c>
      <c r="M362" s="220">
        <v>14.475321717344301</v>
      </c>
      <c r="N362" s="167">
        <v>21.595670936830999</v>
      </c>
      <c r="O362" s="193">
        <v>0.67028812208176702</v>
      </c>
      <c r="P362" s="167">
        <v>2.9100886880288099</v>
      </c>
      <c r="Q362" s="167">
        <v>3.6696795677732799</v>
      </c>
      <c r="R362" s="167">
        <v>1.4776580923578799</v>
      </c>
      <c r="S362" s="167">
        <v>7.6668252404091204</v>
      </c>
      <c r="T362" s="167">
        <v>2.0883482279384298</v>
      </c>
      <c r="U362" s="167">
        <v>0.457813721159401</v>
      </c>
      <c r="V362" s="167">
        <v>2.3405484386149702</v>
      </c>
      <c r="W362" s="167">
        <v>0.98470896054911805</v>
      </c>
      <c r="X362" s="167">
        <v>1.7537865846714499E-3</v>
      </c>
      <c r="Y362" s="189">
        <v>14.4770755039289</v>
      </c>
      <c r="Z362" s="207">
        <v>486</v>
      </c>
      <c r="AA362" s="207">
        <v>328</v>
      </c>
      <c r="AB362" s="167">
        <v>3160.14</v>
      </c>
      <c r="AC362" s="221"/>
      <c r="AD362" s="195">
        <v>1.1069354287666601E-2</v>
      </c>
      <c r="AE362" s="219">
        <v>7.4706753217173398E-3</v>
      </c>
      <c r="AF362" s="167">
        <v>6.5023456790123504</v>
      </c>
      <c r="AG362" s="222">
        <v>7.1976768021865395E-2</v>
      </c>
      <c r="AH362" s="223">
        <v>0.49066874027993801</v>
      </c>
      <c r="AI362" s="223">
        <v>0.35743908761016102</v>
      </c>
      <c r="AJ362" s="167">
        <v>0.49153854914018902</v>
      </c>
      <c r="AK362" s="224">
        <v>0.29843981323311702</v>
      </c>
      <c r="AL362" s="224">
        <v>6.0312037353376598E-2</v>
      </c>
      <c r="AM362" s="82">
        <v>0.36023231978134601</v>
      </c>
      <c r="AN362" s="195">
        <v>4.7889999999999997</v>
      </c>
    </row>
    <row r="363" spans="1:40" s="167" customFormat="1" ht="16.05" customHeight="1">
      <c r="A363" s="186">
        <v>43704</v>
      </c>
      <c r="B363" s="232" t="s">
        <v>51</v>
      </c>
      <c r="C363" s="188">
        <v>10577</v>
      </c>
      <c r="D363" s="188">
        <v>45917</v>
      </c>
      <c r="E363" s="189">
        <v>4.34121206391226</v>
      </c>
      <c r="F363" s="167">
        <v>0.485771774985299</v>
      </c>
      <c r="G363" s="190">
        <v>8.19</v>
      </c>
      <c r="H363" s="190">
        <v>14.58</v>
      </c>
      <c r="I363" s="219">
        <v>0.27200000000000002</v>
      </c>
      <c r="J363" s="219">
        <v>0.124</v>
      </c>
      <c r="K363" s="219">
        <v>6.6000000000000003E-2</v>
      </c>
      <c r="L363" s="167">
        <v>10.7244157937147</v>
      </c>
      <c r="M363" s="220">
        <v>12.192085719885901</v>
      </c>
      <c r="N363" s="167">
        <v>19.127511275112798</v>
      </c>
      <c r="O363" s="193">
        <v>0.63741098068253599</v>
      </c>
      <c r="P363" s="167">
        <v>2.6725433921005899</v>
      </c>
      <c r="Q363" s="167">
        <v>3.21610632772994</v>
      </c>
      <c r="R363" s="167">
        <v>1.2554667213338799</v>
      </c>
      <c r="S363" s="167">
        <v>6.5266844335109999</v>
      </c>
      <c r="T363" s="167">
        <v>1.8868047013803499</v>
      </c>
      <c r="U363" s="167">
        <v>0.488827388273883</v>
      </c>
      <c r="V363" s="167">
        <v>2.13051797184638</v>
      </c>
      <c r="W363" s="167">
        <v>0.95056033893672298</v>
      </c>
      <c r="X363" s="167">
        <v>2.6134111549099498E-3</v>
      </c>
      <c r="Y363" s="189">
        <v>12.1946991310408</v>
      </c>
      <c r="Z363" s="207">
        <v>500</v>
      </c>
      <c r="AA363" s="207">
        <v>314</v>
      </c>
      <c r="AB363" s="167">
        <v>3050</v>
      </c>
      <c r="AC363" s="221"/>
      <c r="AD363" s="195">
        <v>1.08892131454581E-2</v>
      </c>
      <c r="AE363" s="219">
        <v>6.8384258553476898E-3</v>
      </c>
      <c r="AF363" s="167">
        <v>6.1</v>
      </c>
      <c r="AG363" s="222">
        <v>6.6424200187294405E-2</v>
      </c>
      <c r="AH363" s="223">
        <v>0.437175002363619</v>
      </c>
      <c r="AI363" s="223">
        <v>0.274085279379786</v>
      </c>
      <c r="AJ363" s="167">
        <v>0.50615240542718398</v>
      </c>
      <c r="AK363" s="224">
        <v>0.294052311779951</v>
      </c>
      <c r="AL363" s="224">
        <v>6.1741838534747497E-2</v>
      </c>
      <c r="AM363" s="82">
        <v>0.29191802600344102</v>
      </c>
      <c r="AN363" s="195">
        <v>4.4909999999999997</v>
      </c>
    </row>
    <row r="364" spans="1:40" s="167" customFormat="1" ht="16.05" customHeight="1">
      <c r="A364" s="186">
        <v>43705</v>
      </c>
      <c r="B364" s="232" t="s">
        <v>51</v>
      </c>
      <c r="C364" s="188">
        <v>11436</v>
      </c>
      <c r="D364" s="188">
        <v>45671</v>
      </c>
      <c r="E364" s="189">
        <v>3.9936166491780298</v>
      </c>
      <c r="F364" s="167">
        <v>0.38260918657353699</v>
      </c>
      <c r="G364" s="190">
        <v>8.68</v>
      </c>
      <c r="H364" s="190">
        <v>16.309999999999999</v>
      </c>
      <c r="I364" s="219">
        <v>0.248</v>
      </c>
      <c r="J364" s="219">
        <v>0.11600000000000001</v>
      </c>
      <c r="K364" s="219">
        <v>0.06</v>
      </c>
      <c r="L364" s="167">
        <v>9.3073285016750198</v>
      </c>
      <c r="M364" s="220">
        <v>9.9312473998817605</v>
      </c>
      <c r="N364" s="167">
        <v>16.2151437151437</v>
      </c>
      <c r="O364" s="193">
        <v>0.61246743009787397</v>
      </c>
      <c r="P364" s="167">
        <v>2.4721507221507202</v>
      </c>
      <c r="Q364" s="167">
        <v>2.6609824109824101</v>
      </c>
      <c r="R364" s="167">
        <v>0.956206206206206</v>
      </c>
      <c r="S364" s="167">
        <v>5.2428857428857398</v>
      </c>
      <c r="T364" s="167">
        <v>1.63963963963964</v>
      </c>
      <c r="U364" s="167">
        <v>0.53374803374803403</v>
      </c>
      <c r="V364" s="167">
        <v>1.82879307879308</v>
      </c>
      <c r="W364" s="167">
        <v>0.88073788073788095</v>
      </c>
      <c r="X364" s="167">
        <v>2.2990519147818101E-3</v>
      </c>
      <c r="Y364" s="189">
        <v>9.9335464517965395</v>
      </c>
      <c r="Z364" s="207">
        <v>354</v>
      </c>
      <c r="AA364" s="207">
        <v>246</v>
      </c>
      <c r="AB364" s="167">
        <v>1888.46</v>
      </c>
      <c r="AC364" s="221"/>
      <c r="AD364" s="195">
        <v>7.7510893126929601E-3</v>
      </c>
      <c r="AE364" s="219">
        <v>5.3863502003459497E-3</v>
      </c>
      <c r="AF364" s="167">
        <v>5.3346327683615797</v>
      </c>
      <c r="AG364" s="222">
        <v>4.13492150379891E-2</v>
      </c>
      <c r="AH364" s="223">
        <v>0.431969220006995</v>
      </c>
      <c r="AI364" s="223">
        <v>0.28917453655124198</v>
      </c>
      <c r="AJ364" s="167">
        <v>0.57268288410588797</v>
      </c>
      <c r="AK364" s="224">
        <v>0.31002167677519699</v>
      </c>
      <c r="AL364" s="224">
        <v>6.1110989468152702E-2</v>
      </c>
      <c r="AM364" s="82">
        <v>0</v>
      </c>
      <c r="AN364" s="195">
        <v>5.2590000000000003</v>
      </c>
    </row>
    <row r="365" spans="1:40" s="167" customFormat="1" ht="16.05" customHeight="1">
      <c r="A365" s="186">
        <v>43706</v>
      </c>
      <c r="B365" s="232" t="s">
        <v>51</v>
      </c>
      <c r="C365" s="188">
        <v>9256</v>
      </c>
      <c r="D365" s="188">
        <v>43261</v>
      </c>
      <c r="E365" s="189">
        <v>4.6738331892826297</v>
      </c>
      <c r="F365" s="167">
        <v>0.41448119914010301</v>
      </c>
      <c r="G365" s="190">
        <v>9.14</v>
      </c>
      <c r="H365" s="190">
        <v>17.649999999999999</v>
      </c>
      <c r="I365" s="219">
        <v>0.26200000000000001</v>
      </c>
      <c r="J365" s="219">
        <v>0.124</v>
      </c>
      <c r="K365" s="219">
        <v>7.0000000000000007E-2</v>
      </c>
      <c r="L365" s="167">
        <v>9.5316335729641004</v>
      </c>
      <c r="M365" s="220">
        <v>9.9912623379024996</v>
      </c>
      <c r="N365" s="167">
        <v>16.0228351126928</v>
      </c>
      <c r="O365" s="193">
        <v>0.62356394905342005</v>
      </c>
      <c r="P365" s="167">
        <v>2.4435424080664299</v>
      </c>
      <c r="Q365" s="167">
        <v>2.6292630486358202</v>
      </c>
      <c r="R365" s="167">
        <v>0.94954774614472104</v>
      </c>
      <c r="S365" s="167">
        <v>5.18742586002372</v>
      </c>
      <c r="T365" s="167">
        <v>1.6383451957295401</v>
      </c>
      <c r="U365" s="167">
        <v>0.52980427046263301</v>
      </c>
      <c r="V365" s="167">
        <v>1.7819913997627499</v>
      </c>
      <c r="W365" s="167">
        <v>0.86291518386714094</v>
      </c>
      <c r="X365" s="167">
        <v>1.2713529506946199E-3</v>
      </c>
      <c r="Y365" s="189">
        <v>9.9925336908531897</v>
      </c>
      <c r="Z365" s="207">
        <v>353</v>
      </c>
      <c r="AA365" s="207">
        <v>252</v>
      </c>
      <c r="AB365" s="167">
        <v>2044.47</v>
      </c>
      <c r="AC365" s="221"/>
      <c r="AD365" s="195">
        <v>8.1597743926400193E-3</v>
      </c>
      <c r="AE365" s="219">
        <v>5.8251080650008101E-3</v>
      </c>
      <c r="AF365" s="167">
        <v>5.7916997167138797</v>
      </c>
      <c r="AG365" s="222">
        <v>4.7258963038302397E-2</v>
      </c>
      <c r="AH365" s="223">
        <v>0.48681936041486601</v>
      </c>
      <c r="AI365" s="223">
        <v>0.339995678478825</v>
      </c>
      <c r="AJ365" s="167">
        <v>0.58029171771341403</v>
      </c>
      <c r="AK365" s="224">
        <v>0.32375580777143398</v>
      </c>
      <c r="AL365" s="224">
        <v>6.4261112780564497E-2</v>
      </c>
      <c r="AM365" s="82">
        <v>0</v>
      </c>
      <c r="AN365" s="195">
        <v>4.6310000000000002</v>
      </c>
    </row>
    <row r="366" spans="1:40" s="167" customFormat="1" ht="16.05" customHeight="1">
      <c r="A366" s="186">
        <v>43707</v>
      </c>
      <c r="B366" s="232" t="s">
        <v>51</v>
      </c>
      <c r="C366" s="188">
        <v>8005</v>
      </c>
      <c r="D366" s="188">
        <v>41140</v>
      </c>
      <c r="E366" s="189">
        <v>5.1392879450343498</v>
      </c>
      <c r="F366" s="167">
        <v>0.420462621657755</v>
      </c>
      <c r="G366" s="190">
        <v>8.7200000000000006</v>
      </c>
      <c r="H366" s="190">
        <v>16.579999999999998</v>
      </c>
      <c r="I366" s="219">
        <v>0.254</v>
      </c>
      <c r="J366" s="219">
        <v>0.129</v>
      </c>
      <c r="K366" s="219">
        <v>7.0999999999999994E-2</v>
      </c>
      <c r="L366" s="167">
        <v>9.5330821584832304</v>
      </c>
      <c r="M366" s="220">
        <v>10.039158969372901</v>
      </c>
      <c r="N366" s="167">
        <v>15.982779304206501</v>
      </c>
      <c r="O366" s="193">
        <v>0.62812348079727898</v>
      </c>
      <c r="P366" s="167">
        <v>2.46906079486088</v>
      </c>
      <c r="Q366" s="167">
        <v>2.6728454781161699</v>
      </c>
      <c r="R366" s="167">
        <v>0.91977864633721595</v>
      </c>
      <c r="S366" s="167">
        <v>5.0789056151077698</v>
      </c>
      <c r="T366" s="167">
        <v>1.66108122750668</v>
      </c>
      <c r="U366" s="167">
        <v>0.52497968344878299</v>
      </c>
      <c r="V366" s="167">
        <v>1.79377733059866</v>
      </c>
      <c r="W366" s="167">
        <v>0.86235052823033098</v>
      </c>
      <c r="X366" s="167">
        <v>1.7501215362177901E-3</v>
      </c>
      <c r="Y366" s="189">
        <v>10.0409090909091</v>
      </c>
      <c r="Z366" s="207">
        <v>440</v>
      </c>
      <c r="AA366" s="207">
        <v>309</v>
      </c>
      <c r="AB366" s="167">
        <v>2266.6</v>
      </c>
      <c r="AC366" s="221"/>
      <c r="AD366" s="195">
        <v>1.06951871657754E-2</v>
      </c>
      <c r="AE366" s="219">
        <v>7.5109382596013604E-3</v>
      </c>
      <c r="AF366" s="167">
        <v>5.1513636363636399</v>
      </c>
      <c r="AG366" s="222">
        <v>5.50947982498785E-2</v>
      </c>
      <c r="AH366" s="223">
        <v>0.44871955028107402</v>
      </c>
      <c r="AI366" s="223">
        <v>0.34503435352904399</v>
      </c>
      <c r="AJ366" s="167">
        <v>0.584540593096743</v>
      </c>
      <c r="AK366" s="224">
        <v>0.33619348565872598</v>
      </c>
      <c r="AL366" s="224">
        <v>6.8157510938259599E-2</v>
      </c>
      <c r="AM366" s="82">
        <v>0</v>
      </c>
      <c r="AN366" s="195">
        <v>4.4740000000000002</v>
      </c>
    </row>
    <row r="367" spans="1:40" s="167" customFormat="1" ht="16.05" customHeight="1">
      <c r="A367" s="186">
        <v>43708</v>
      </c>
      <c r="B367" s="232" t="s">
        <v>51</v>
      </c>
      <c r="C367" s="188">
        <v>9624</v>
      </c>
      <c r="D367" s="188">
        <v>42456</v>
      </c>
      <c r="E367" s="189">
        <v>4.4114713216957604</v>
      </c>
      <c r="F367" s="167">
        <v>0.66841365686828702</v>
      </c>
      <c r="G367" s="190">
        <v>8.34</v>
      </c>
      <c r="H367" s="190">
        <v>15.49</v>
      </c>
      <c r="I367" s="219">
        <v>0.25600000000000001</v>
      </c>
      <c r="J367" s="219">
        <v>0.126</v>
      </c>
      <c r="K367" s="219">
        <v>6.8000000000000005E-2</v>
      </c>
      <c r="L367" s="167">
        <v>12.528099679668401</v>
      </c>
      <c r="M367" s="220">
        <v>14.427831166383999</v>
      </c>
      <c r="N367" s="167">
        <v>22.639169161400002</v>
      </c>
      <c r="O367" s="193">
        <v>0.63729508196721296</v>
      </c>
      <c r="P367" s="167">
        <v>3.0434637986472999</v>
      </c>
      <c r="Q367" s="167">
        <v>3.43822301068115</v>
      </c>
      <c r="R367" s="167">
        <v>1.4884872676202101</v>
      </c>
      <c r="S367" s="167">
        <v>8.6719887644602096</v>
      </c>
      <c r="T367" s="167">
        <v>2.1285434453191399</v>
      </c>
      <c r="U367" s="167">
        <v>0.45740473814539701</v>
      </c>
      <c r="V367" s="167">
        <v>2.4439516576117102</v>
      </c>
      <c r="W367" s="167">
        <v>0.96710647891488399</v>
      </c>
      <c r="X367" s="167">
        <v>4.4045600150744296E-3</v>
      </c>
      <c r="Y367" s="189">
        <v>14.432235726399099</v>
      </c>
      <c r="Z367" s="207">
        <v>641</v>
      </c>
      <c r="AA367" s="207">
        <v>397</v>
      </c>
      <c r="AB367" s="167">
        <v>4855.59</v>
      </c>
      <c r="AC367" s="221"/>
      <c r="AD367" s="195">
        <v>1.50979837949878E-2</v>
      </c>
      <c r="AE367" s="219">
        <v>9.3508573582061407E-3</v>
      </c>
      <c r="AF367" s="167">
        <v>7.5750234009360398</v>
      </c>
      <c r="AG367" s="222">
        <v>0.11436758055398499</v>
      </c>
      <c r="AH367" s="223">
        <v>0.46363258520365802</v>
      </c>
      <c r="AI367" s="223">
        <v>0.31359102244388998</v>
      </c>
      <c r="AJ367" s="167">
        <v>0.463350292067081</v>
      </c>
      <c r="AK367" s="224">
        <v>0.28886376483889198</v>
      </c>
      <c r="AL367" s="224">
        <v>6.0839457320520103E-2</v>
      </c>
      <c r="AM367" s="82">
        <v>0.34336725080082903</v>
      </c>
      <c r="AN367" s="195">
        <v>5.1950000000000003</v>
      </c>
    </row>
    <row r="368" spans="1:40" s="167" customFormat="1" ht="16.05" customHeight="1">
      <c r="A368" s="186">
        <v>43709</v>
      </c>
      <c r="B368" s="232" t="s">
        <v>51</v>
      </c>
      <c r="C368" s="188">
        <v>9503</v>
      </c>
      <c r="D368" s="188">
        <v>43498</v>
      </c>
      <c r="E368" s="189">
        <v>4.5772913816689504</v>
      </c>
      <c r="F368" s="167">
        <v>0.57688002666789295</v>
      </c>
      <c r="G368" s="190">
        <v>7.95</v>
      </c>
      <c r="H368" s="190">
        <v>14.45</v>
      </c>
      <c r="I368" s="219">
        <v>0.25700000000000001</v>
      </c>
      <c r="J368" s="219">
        <v>0.123</v>
      </c>
      <c r="K368" s="219">
        <v>7.0000000000000007E-2</v>
      </c>
      <c r="L368" s="167">
        <v>12.229596763069599</v>
      </c>
      <c r="M368" s="220">
        <v>14.097544714699501</v>
      </c>
      <c r="N368" s="167">
        <v>21.887247028589801</v>
      </c>
      <c r="O368" s="193">
        <v>0.64409857924502301</v>
      </c>
      <c r="P368" s="167">
        <v>2.9164435878216799</v>
      </c>
      <c r="Q368" s="167">
        <v>3.6957918406681598</v>
      </c>
      <c r="R368" s="167">
        <v>1.39183352964272</v>
      </c>
      <c r="S368" s="167">
        <v>7.9534568297819197</v>
      </c>
      <c r="T368" s="167">
        <v>2.0841631866366801</v>
      </c>
      <c r="U368" s="167">
        <v>0.46735910340150599</v>
      </c>
      <c r="V368" s="167">
        <v>2.3732019845094001</v>
      </c>
      <c r="W368" s="167">
        <v>1.0049969661277101</v>
      </c>
      <c r="X368" s="167">
        <v>2.4598832130212898E-3</v>
      </c>
      <c r="Y368" s="189">
        <v>14.1000045979125</v>
      </c>
      <c r="Z368" s="207">
        <v>555</v>
      </c>
      <c r="AA368" s="207">
        <v>357</v>
      </c>
      <c r="AB368" s="167">
        <v>3679.45</v>
      </c>
      <c r="AC368" s="221"/>
      <c r="AD368" s="195">
        <v>1.27592073198768E-2</v>
      </c>
      <c r="AE368" s="219">
        <v>8.2072738976504706E-3</v>
      </c>
      <c r="AF368" s="167">
        <v>6.62963963963964</v>
      </c>
      <c r="AG368" s="222">
        <v>8.4588946618235294E-2</v>
      </c>
      <c r="AH368" s="223">
        <v>0.49942123539934802</v>
      </c>
      <c r="AI368" s="223">
        <v>0.35325686625276198</v>
      </c>
      <c r="AJ368" s="167">
        <v>0.47565405305991099</v>
      </c>
      <c r="AK368" s="224">
        <v>0.27840360476343701</v>
      </c>
      <c r="AL368" s="224">
        <v>5.71980320934296E-2</v>
      </c>
      <c r="AM368" s="82">
        <v>0.36038438548898799</v>
      </c>
      <c r="AN368" s="195">
        <v>4.7050000000000001</v>
      </c>
    </row>
    <row r="369" spans="1:40" s="167" customFormat="1" ht="16.05" customHeight="1">
      <c r="A369" s="186">
        <v>43710</v>
      </c>
      <c r="B369" s="232" t="s">
        <v>51</v>
      </c>
      <c r="C369" s="188">
        <v>11136</v>
      </c>
      <c r="D369" s="188">
        <v>45975</v>
      </c>
      <c r="E369" s="189">
        <v>4.1285021551724101</v>
      </c>
      <c r="F369" s="167">
        <v>0.51618610766720996</v>
      </c>
      <c r="G369" s="190">
        <v>8.17</v>
      </c>
      <c r="H369" s="190">
        <v>14.66</v>
      </c>
      <c r="I369" s="219">
        <v>0.26700000000000002</v>
      </c>
      <c r="J369" s="219">
        <v>0.11799999999999999</v>
      </c>
      <c r="K369" s="219">
        <v>6.8000000000000005E-2</v>
      </c>
      <c r="L369" s="167">
        <v>11.6038064165307</v>
      </c>
      <c r="M369" s="220">
        <v>12.843936922240299</v>
      </c>
      <c r="N369" s="167">
        <v>20.294188404302801</v>
      </c>
      <c r="O369" s="193">
        <v>0.63288743882544896</v>
      </c>
      <c r="P369" s="167">
        <v>2.8311509777640298</v>
      </c>
      <c r="Q369" s="167">
        <v>3.46231570264976</v>
      </c>
      <c r="R369" s="167">
        <v>1.23820325119428</v>
      </c>
      <c r="S369" s="167">
        <v>7.0461215932914003</v>
      </c>
      <c r="T369" s="167">
        <v>2.0234044746881099</v>
      </c>
      <c r="U369" s="167">
        <v>0.45279582087500397</v>
      </c>
      <c r="V369" s="167">
        <v>2.2706808262020099</v>
      </c>
      <c r="W369" s="167">
        <v>0.96951575763824405</v>
      </c>
      <c r="X369" s="167">
        <v>3.0886351277868399E-3</v>
      </c>
      <c r="Y369" s="189">
        <v>12.8470255573681</v>
      </c>
      <c r="Z369" s="207">
        <v>502</v>
      </c>
      <c r="AA369" s="207">
        <v>343</v>
      </c>
      <c r="AB369" s="167">
        <v>3313.98</v>
      </c>
      <c r="AC369" s="221"/>
      <c r="AD369" s="195">
        <v>1.0918977705274601E-2</v>
      </c>
      <c r="AE369" s="219">
        <v>7.4605764002175102E-3</v>
      </c>
      <c r="AF369" s="167">
        <v>6.6015537848605597</v>
      </c>
      <c r="AG369" s="222">
        <v>7.2082218597063596E-2</v>
      </c>
      <c r="AH369" s="223">
        <v>0.46677442528735602</v>
      </c>
      <c r="AI369" s="223">
        <v>0.31716954022988503</v>
      </c>
      <c r="AJ369" s="167">
        <v>0.45809679173463802</v>
      </c>
      <c r="AK369" s="224">
        <v>0.27321370309951098</v>
      </c>
      <c r="AL369" s="224">
        <v>5.7574768896139203E-2</v>
      </c>
      <c r="AM369" s="82">
        <v>0.34042414355628098</v>
      </c>
      <c r="AN369" s="195">
        <v>5.0490000000000004</v>
      </c>
    </row>
    <row r="370" spans="1:40" s="167" customFormat="1" ht="16.05" customHeight="1">
      <c r="A370" s="186">
        <v>43711</v>
      </c>
      <c r="B370" s="232" t="s">
        <v>51</v>
      </c>
      <c r="C370" s="188">
        <v>10072</v>
      </c>
      <c r="D370" s="188">
        <v>45358</v>
      </c>
      <c r="E370" s="189">
        <v>4.5033756949960297</v>
      </c>
      <c r="F370" s="167">
        <v>0.52122390566162502</v>
      </c>
      <c r="G370" s="190">
        <v>9.0399999999999991</v>
      </c>
      <c r="H370" s="190">
        <v>16.760000000000002</v>
      </c>
      <c r="I370" s="219">
        <v>0.248</v>
      </c>
      <c r="J370" s="219">
        <v>0.11899999999999999</v>
      </c>
      <c r="K370" s="219">
        <v>6.2E-2</v>
      </c>
      <c r="L370" s="167">
        <v>10.8855328718197</v>
      </c>
      <c r="M370" s="220">
        <v>12.093191939679899</v>
      </c>
      <c r="N370" s="167">
        <v>18.936787958295898</v>
      </c>
      <c r="O370" s="193">
        <v>0.63860840425062804</v>
      </c>
      <c r="P370" s="167">
        <v>2.6772768072913098</v>
      </c>
      <c r="Q370" s="167">
        <v>3.2506386798315301</v>
      </c>
      <c r="R370" s="167">
        <v>1.1431333287302401</v>
      </c>
      <c r="S370" s="167">
        <v>6.4138300075951102</v>
      </c>
      <c r="T370" s="167">
        <v>1.8939446247324501</v>
      </c>
      <c r="U370" s="167">
        <v>0.48950493682248197</v>
      </c>
      <c r="V370" s="167">
        <v>2.1227300973555199</v>
      </c>
      <c r="W370" s="167">
        <v>0.94572947593730605</v>
      </c>
      <c r="X370" s="167">
        <v>1.7857930243837901E-3</v>
      </c>
      <c r="Y370" s="189">
        <v>12.094977732704301</v>
      </c>
      <c r="Z370" s="207">
        <v>480</v>
      </c>
      <c r="AA370" s="207">
        <v>324</v>
      </c>
      <c r="AB370" s="167">
        <v>3127.2</v>
      </c>
      <c r="AC370" s="221"/>
      <c r="AD370" s="195">
        <v>1.0582477181533601E-2</v>
      </c>
      <c r="AE370" s="219">
        <v>7.1431720975351602E-3</v>
      </c>
      <c r="AF370" s="167">
        <v>6.5149999999999997</v>
      </c>
      <c r="AG370" s="222">
        <v>6.8944838837691202E-2</v>
      </c>
      <c r="AH370" s="223">
        <v>0.48888006354249403</v>
      </c>
      <c r="AI370" s="223">
        <v>0.35176727561556798</v>
      </c>
      <c r="AJ370" s="167">
        <v>0.49124740949777301</v>
      </c>
      <c r="AK370" s="224">
        <v>0.29710304687155498</v>
      </c>
      <c r="AL370" s="224">
        <v>6.1863397857048398E-2</v>
      </c>
      <c r="AM370" s="82">
        <v>0.30124785043432301</v>
      </c>
      <c r="AN370" s="195">
        <v>5.2380000000000004</v>
      </c>
    </row>
    <row r="371" spans="1:40" s="167" customFormat="1" ht="16.05" customHeight="1">
      <c r="A371" s="186">
        <v>43712</v>
      </c>
      <c r="B371" s="232" t="s">
        <v>51</v>
      </c>
      <c r="C371" s="188">
        <v>7461</v>
      </c>
      <c r="D371" s="188">
        <v>40346</v>
      </c>
      <c r="E371" s="189">
        <v>5.4075861144618704</v>
      </c>
      <c r="F371" s="167">
        <v>0.43554711869826002</v>
      </c>
      <c r="G371" s="190">
        <v>9.7799999999999994</v>
      </c>
      <c r="H371" s="190">
        <v>17.86</v>
      </c>
      <c r="I371" s="219">
        <v>0.255</v>
      </c>
      <c r="J371" s="219">
        <v>0.13100000000000001</v>
      </c>
      <c r="K371" s="219">
        <v>6.6000000000000003E-2</v>
      </c>
      <c r="L371" s="167">
        <v>9.7741287860010893</v>
      </c>
      <c r="M371" s="220">
        <v>10.297204183810001</v>
      </c>
      <c r="N371" s="167">
        <v>16.022020825298899</v>
      </c>
      <c r="O371" s="193">
        <v>0.64269072522678805</v>
      </c>
      <c r="P371" s="167">
        <v>2.4183185499421498</v>
      </c>
      <c r="Q371" s="167">
        <v>2.64863092942538</v>
      </c>
      <c r="R371" s="167">
        <v>0.93779406093328199</v>
      </c>
      <c r="S371" s="167">
        <v>5.2185499421519497</v>
      </c>
      <c r="T371" s="167">
        <v>1.6310065561126099</v>
      </c>
      <c r="U371" s="167">
        <v>0.52294639413806399</v>
      </c>
      <c r="V371" s="167">
        <v>1.7903200925568801</v>
      </c>
      <c r="W371" s="167">
        <v>0.85445430003856504</v>
      </c>
      <c r="X371" s="167">
        <v>1.1153522034402399E-3</v>
      </c>
      <c r="Y371" s="189">
        <v>10.2983195360135</v>
      </c>
      <c r="Z371" s="207">
        <v>303</v>
      </c>
      <c r="AA371" s="207">
        <v>227</v>
      </c>
      <c r="AB371" s="167">
        <v>1689.97</v>
      </c>
      <c r="AC371" s="221"/>
      <c r="AD371" s="195">
        <v>7.5100381698309602E-3</v>
      </c>
      <c r="AE371" s="219">
        <v>5.6263322262430004E-3</v>
      </c>
      <c r="AF371" s="167">
        <v>5.5774587458745897</v>
      </c>
      <c r="AG371" s="222">
        <v>4.18869280721757E-2</v>
      </c>
      <c r="AH371" s="223">
        <v>0.50784077201447497</v>
      </c>
      <c r="AI371" s="223">
        <v>0.37622302640396699</v>
      </c>
      <c r="AJ371" s="167">
        <v>0.59634164477271601</v>
      </c>
      <c r="AK371" s="224">
        <v>0.33646458137113999</v>
      </c>
      <c r="AL371" s="224">
        <v>6.6970703415456301E-2</v>
      </c>
      <c r="AM371" s="82">
        <v>0</v>
      </c>
      <c r="AN371" s="195">
        <v>5.226</v>
      </c>
    </row>
    <row r="372" spans="1:40" s="167" customFormat="1" ht="16.05" customHeight="1">
      <c r="A372" s="186">
        <v>43713</v>
      </c>
      <c r="B372" s="232" t="s">
        <v>51</v>
      </c>
      <c r="C372" s="188">
        <v>5921</v>
      </c>
      <c r="D372" s="188">
        <v>37393</v>
      </c>
      <c r="E372" s="189">
        <v>6.3153183583854098</v>
      </c>
      <c r="F372" s="167">
        <v>0.44636082582301501</v>
      </c>
      <c r="G372" s="190">
        <v>9.6199999999999992</v>
      </c>
      <c r="H372" s="190">
        <v>17.309999999999999</v>
      </c>
      <c r="I372" s="219">
        <v>0.27300000000000002</v>
      </c>
      <c r="J372" s="219">
        <v>0.127</v>
      </c>
      <c r="K372" s="219">
        <v>7.0000000000000007E-2</v>
      </c>
      <c r="L372" s="167">
        <v>9.7769101168667891</v>
      </c>
      <c r="M372" s="220">
        <v>10.655603990051601</v>
      </c>
      <c r="N372" s="167">
        <v>16.3471321900386</v>
      </c>
      <c r="O372" s="193">
        <v>0.65183323081860201</v>
      </c>
      <c r="P372" s="167">
        <v>2.5014359563469299</v>
      </c>
      <c r="Q372" s="167">
        <v>2.7677443177156</v>
      </c>
      <c r="R372" s="167">
        <v>0.95138262082546998</v>
      </c>
      <c r="S372" s="167">
        <v>5.2093214080577699</v>
      </c>
      <c r="T372" s="167">
        <v>1.70242881759252</v>
      </c>
      <c r="U372" s="167">
        <v>0.52707803397062403</v>
      </c>
      <c r="V372" s="167">
        <v>1.8217773036842499</v>
      </c>
      <c r="W372" s="167">
        <v>0.86596373184540898</v>
      </c>
      <c r="X372" s="167">
        <v>2.0057229962827301E-3</v>
      </c>
      <c r="Y372" s="189">
        <v>10.657609713047901</v>
      </c>
      <c r="Z372" s="207">
        <v>302</v>
      </c>
      <c r="AA372" s="207">
        <v>206</v>
      </c>
      <c r="AB372" s="167">
        <v>1669.98</v>
      </c>
      <c r="AC372" s="221"/>
      <c r="AD372" s="195">
        <v>8.0763779316984502E-3</v>
      </c>
      <c r="AE372" s="219">
        <v>5.5090524964565603E-3</v>
      </c>
      <c r="AF372" s="167">
        <v>5.5297350993377501</v>
      </c>
      <c r="AG372" s="222">
        <v>4.4660230524429703E-2</v>
      </c>
      <c r="AH372" s="223">
        <v>0.51325789562573898</v>
      </c>
      <c r="AI372" s="223">
        <v>0.39385238979901999</v>
      </c>
      <c r="AJ372" s="167">
        <v>0.60971304789666503</v>
      </c>
      <c r="AK372" s="224">
        <v>0.35311421923889502</v>
      </c>
      <c r="AL372" s="224">
        <v>7.0895622175273398E-2</v>
      </c>
      <c r="AM372" s="82">
        <v>0</v>
      </c>
      <c r="AN372" s="195">
        <v>5.9989999999999997</v>
      </c>
    </row>
    <row r="373" spans="1:40" s="167" customFormat="1" ht="16.05" customHeight="1">
      <c r="A373" s="186">
        <v>43714</v>
      </c>
      <c r="B373" s="232" t="s">
        <v>51</v>
      </c>
      <c r="C373" s="188">
        <v>4713</v>
      </c>
      <c r="D373" s="188">
        <v>35301</v>
      </c>
      <c r="E373" s="189">
        <v>7.4901336728198604</v>
      </c>
      <c r="F373" s="167">
        <v>0.43900204283164901</v>
      </c>
      <c r="G373" s="190">
        <v>8.93</v>
      </c>
      <c r="H373" s="190">
        <v>16.850000000000001</v>
      </c>
      <c r="I373" s="219">
        <v>0.27300000000000002</v>
      </c>
      <c r="J373" s="219">
        <v>0.14199999999999999</v>
      </c>
      <c r="K373" s="219"/>
      <c r="L373" s="167">
        <v>9.9443075266989602</v>
      </c>
      <c r="M373" s="220">
        <v>10.7219908784454</v>
      </c>
      <c r="N373" s="167">
        <v>16.332125134843601</v>
      </c>
      <c r="O373" s="193">
        <v>0.65649698308829896</v>
      </c>
      <c r="P373" s="167">
        <v>2.4959654800431501</v>
      </c>
      <c r="Q373" s="167">
        <v>2.7333764832793999</v>
      </c>
      <c r="R373" s="167">
        <v>0.97566343042071202</v>
      </c>
      <c r="S373" s="167">
        <v>5.2179072276159699</v>
      </c>
      <c r="T373" s="167">
        <v>1.7277238403452</v>
      </c>
      <c r="U373" s="167">
        <v>0.51754045307443397</v>
      </c>
      <c r="V373" s="167">
        <v>1.7942179072276201</v>
      </c>
      <c r="W373" s="167">
        <v>0.869730312837109</v>
      </c>
      <c r="X373" s="167">
        <v>9.2348658678224407E-3</v>
      </c>
      <c r="Y373" s="189">
        <v>10.7312257443132</v>
      </c>
      <c r="Z373" s="207">
        <v>334</v>
      </c>
      <c r="AA373" s="207">
        <v>233</v>
      </c>
      <c r="AB373" s="167">
        <v>1766.66</v>
      </c>
      <c r="AC373" s="221"/>
      <c r="AD373" s="195">
        <v>9.4614883431064292E-3</v>
      </c>
      <c r="AE373" s="219">
        <v>6.6003795926460997E-3</v>
      </c>
      <c r="AF373" s="167">
        <v>5.2894011976047901</v>
      </c>
      <c r="AG373" s="222">
        <v>5.0045607773150903E-2</v>
      </c>
      <c r="AH373" s="223">
        <v>0.55399957564184199</v>
      </c>
      <c r="AI373" s="223">
        <v>0.43114788881816302</v>
      </c>
      <c r="AJ373" s="167">
        <v>0.61746126172063098</v>
      </c>
      <c r="AK373" s="224">
        <v>0.36930965128466597</v>
      </c>
      <c r="AL373" s="224">
        <v>7.5012039318999496E-2</v>
      </c>
      <c r="AM373" s="82">
        <v>0</v>
      </c>
      <c r="AN373" s="195">
        <v>5.2119999999999997</v>
      </c>
    </row>
    <row r="374" spans="1:40" s="167" customFormat="1" ht="16.05" customHeight="1">
      <c r="A374" s="186">
        <v>43715</v>
      </c>
      <c r="B374" s="232" t="s">
        <v>51</v>
      </c>
      <c r="C374" s="188">
        <v>5630</v>
      </c>
      <c r="D374" s="188">
        <v>35876</v>
      </c>
      <c r="E374" s="189">
        <v>6.3722912966252201</v>
      </c>
      <c r="F374" s="167">
        <v>0.71194254822165204</v>
      </c>
      <c r="G374" s="190">
        <v>8.57</v>
      </c>
      <c r="H374" s="190">
        <v>16.670000000000002</v>
      </c>
      <c r="I374" s="219">
        <v>0.29399999999999998</v>
      </c>
      <c r="J374" s="219">
        <v>0.128</v>
      </c>
      <c r="K374" s="219"/>
      <c r="L374" s="167">
        <v>13.459638755714099</v>
      </c>
      <c r="M374" s="220">
        <v>15.6949492697068</v>
      </c>
      <c r="N374" s="167">
        <v>23.420347724814899</v>
      </c>
      <c r="O374" s="193">
        <v>0.67014159884044999</v>
      </c>
      <c r="P374" s="167">
        <v>3.10876798935197</v>
      </c>
      <c r="Q374" s="167">
        <v>3.5424673488062601</v>
      </c>
      <c r="R374" s="167">
        <v>1.5838532568006001</v>
      </c>
      <c r="S374" s="167">
        <v>9.0389734631062293</v>
      </c>
      <c r="T374" s="167">
        <v>2.2161217868729701</v>
      </c>
      <c r="U374" s="167">
        <v>0.44825721653772599</v>
      </c>
      <c r="V374" s="167">
        <v>2.52200316113468</v>
      </c>
      <c r="W374" s="167">
        <v>0.95990350220447596</v>
      </c>
      <c r="X374" s="167">
        <v>1.3658155870219599E-3</v>
      </c>
      <c r="Y374" s="189">
        <v>15.696315085293801</v>
      </c>
      <c r="Z374" s="207">
        <v>575</v>
      </c>
      <c r="AA374" s="207">
        <v>361</v>
      </c>
      <c r="AB374" s="167">
        <v>4139.25</v>
      </c>
      <c r="AC374" s="221"/>
      <c r="AD374" s="195">
        <v>1.6027427806890399E-2</v>
      </c>
      <c r="AE374" s="219">
        <v>1.00624372839781E-2</v>
      </c>
      <c r="AF374" s="167">
        <v>7.1986956521739103</v>
      </c>
      <c r="AG374" s="222">
        <v>0.115376574868993</v>
      </c>
      <c r="AH374" s="223">
        <v>0.47868561278863198</v>
      </c>
      <c r="AI374" s="223">
        <v>0.33197158081705203</v>
      </c>
      <c r="AJ374" s="167">
        <v>0.48929646560374601</v>
      </c>
      <c r="AK374" s="224">
        <v>0.31962872115063001</v>
      </c>
      <c r="AL374" s="224">
        <v>6.8764633738432404E-2</v>
      </c>
      <c r="AM374" s="82">
        <v>0.37674211171813998</v>
      </c>
      <c r="AN374" s="195">
        <v>5.96</v>
      </c>
    </row>
    <row r="375" spans="1:40" s="167" customFormat="1" ht="16.05" customHeight="1">
      <c r="A375" s="186">
        <v>43716</v>
      </c>
      <c r="B375" s="232" t="s">
        <v>51</v>
      </c>
      <c r="C375" s="188">
        <v>13533</v>
      </c>
      <c r="D375" s="188">
        <v>45195</v>
      </c>
      <c r="E375" s="189">
        <v>3.3396142762137</v>
      </c>
      <c r="F375" s="167">
        <v>0.65724358473282396</v>
      </c>
      <c r="G375" s="190">
        <v>10.119999999999999</v>
      </c>
      <c r="H375" s="190">
        <v>19.62</v>
      </c>
      <c r="I375" s="219">
        <v>0.26400000000000001</v>
      </c>
      <c r="J375" s="219">
        <v>0.13</v>
      </c>
      <c r="K375" s="219"/>
      <c r="L375" s="167">
        <v>11.6548290740126</v>
      </c>
      <c r="M375" s="220">
        <v>13.042239185750599</v>
      </c>
      <c r="N375" s="167">
        <v>20.874880475971199</v>
      </c>
      <c r="O375" s="193">
        <v>0.62478150237858199</v>
      </c>
      <c r="P375" s="167">
        <v>2.8845486418528901</v>
      </c>
      <c r="Q375" s="167">
        <v>3.44338987852817</v>
      </c>
      <c r="R375" s="167">
        <v>1.33463186599143</v>
      </c>
      <c r="S375" s="167">
        <v>7.5108899670644904</v>
      </c>
      <c r="T375" s="167">
        <v>2.0170343875057499</v>
      </c>
      <c r="U375" s="167">
        <v>0.47667953394482399</v>
      </c>
      <c r="V375" s="167">
        <v>2.2678046534688501</v>
      </c>
      <c r="W375" s="167">
        <v>0.93990154761483102</v>
      </c>
      <c r="X375" s="167">
        <v>1.32758048456688E-3</v>
      </c>
      <c r="Y375" s="189">
        <v>13.0435667662352</v>
      </c>
      <c r="Z375" s="207">
        <v>574</v>
      </c>
      <c r="AA375" s="207">
        <v>372</v>
      </c>
      <c r="AB375" s="167">
        <v>4177.26</v>
      </c>
      <c r="AC375" s="221"/>
      <c r="AD375" s="195">
        <v>1.27005199690231E-2</v>
      </c>
      <c r="AE375" s="219">
        <v>8.2309990043146399E-3</v>
      </c>
      <c r="AF375" s="167">
        <v>7.27745644599303</v>
      </c>
      <c r="AG375" s="222">
        <v>9.2427480916030494E-2</v>
      </c>
      <c r="AH375" s="223">
        <v>0.49782014335328501</v>
      </c>
      <c r="AI375" s="223">
        <v>0.27185398655139298</v>
      </c>
      <c r="AJ375" s="167">
        <v>0.42566655603496001</v>
      </c>
      <c r="AK375" s="224">
        <v>0.25412103108751</v>
      </c>
      <c r="AL375" s="224">
        <v>5.4475052550060798E-2</v>
      </c>
      <c r="AM375" s="82">
        <v>0.34105542648523102</v>
      </c>
      <c r="AN375" s="195">
        <v>7.2910000000000004</v>
      </c>
    </row>
    <row r="376" spans="1:40" s="167" customFormat="1" ht="16.05" customHeight="1">
      <c r="A376" s="186">
        <v>43717</v>
      </c>
      <c r="B376" s="232" t="s">
        <v>51</v>
      </c>
      <c r="C376" s="188">
        <v>13139</v>
      </c>
      <c r="D376" s="188">
        <v>47248</v>
      </c>
      <c r="E376" s="189">
        <v>3.5960118730496999</v>
      </c>
      <c r="F376" s="167">
        <v>0.62624101047663405</v>
      </c>
      <c r="G376" s="190">
        <v>10.41</v>
      </c>
      <c r="H376" s="190">
        <v>18.670000000000002</v>
      </c>
      <c r="I376" s="219">
        <v>0.28799999999999998</v>
      </c>
      <c r="J376" s="219">
        <v>0.14099999999999999</v>
      </c>
      <c r="K376" s="219"/>
      <c r="L376" s="167">
        <v>11.3957204537758</v>
      </c>
      <c r="M376" s="220">
        <v>12.4407170673891</v>
      </c>
      <c r="N376" s="167">
        <v>19.599179753926201</v>
      </c>
      <c r="O376" s="193">
        <v>0.63475702675245504</v>
      </c>
      <c r="P376" s="167">
        <v>2.7964722750158399</v>
      </c>
      <c r="Q376" s="167">
        <v>3.39091727518255</v>
      </c>
      <c r="R376" s="167">
        <v>1.1923243639758601</v>
      </c>
      <c r="S376" s="167">
        <v>6.6817711980260697</v>
      </c>
      <c r="T376" s="167">
        <v>1.9464172585108901</v>
      </c>
      <c r="U376" s="167">
        <v>0.46547297522590098</v>
      </c>
      <c r="V376" s="167">
        <v>2.1926577973392001</v>
      </c>
      <c r="W376" s="167">
        <v>0.93314661064986204</v>
      </c>
      <c r="X376" s="167">
        <v>5.2912292583813102E-4</v>
      </c>
      <c r="Y376" s="189">
        <v>12.441246190314899</v>
      </c>
      <c r="Z376" s="207">
        <v>554</v>
      </c>
      <c r="AA376" s="207">
        <v>380</v>
      </c>
      <c r="AB376" s="167">
        <v>3664.46</v>
      </c>
      <c r="AC376" s="221"/>
      <c r="AD376" s="195">
        <v>1.1725364036573E-2</v>
      </c>
      <c r="AE376" s="219">
        <v>8.0426684727395899E-3</v>
      </c>
      <c r="AF376" s="167">
        <v>6.6145487364620896</v>
      </c>
      <c r="AG376" s="222">
        <v>7.7557991872671803E-2</v>
      </c>
      <c r="AH376" s="223">
        <v>0.51366161808356803</v>
      </c>
      <c r="AI376" s="223">
        <v>0.31783240733693602</v>
      </c>
      <c r="AJ376" s="167">
        <v>0.44638926515408101</v>
      </c>
      <c r="AK376" s="224">
        <v>0.256285980358957</v>
      </c>
      <c r="AL376" s="224">
        <v>5.3166271588215401E-2</v>
      </c>
      <c r="AM376" s="82">
        <v>0.338215374195733</v>
      </c>
      <c r="AN376" s="195">
        <v>7.0519999999999996</v>
      </c>
    </row>
    <row r="377" spans="1:40" s="167" customFormat="1" ht="16.05" customHeight="1">
      <c r="A377" s="186">
        <v>43718</v>
      </c>
      <c r="B377" s="232" t="s">
        <v>51</v>
      </c>
      <c r="C377" s="188">
        <v>13028</v>
      </c>
      <c r="D377" s="188">
        <v>47920</v>
      </c>
      <c r="E377" s="189">
        <v>3.67823150138164</v>
      </c>
      <c r="F377" s="167">
        <v>0.61365407554257101</v>
      </c>
      <c r="G377" s="190">
        <v>12.69</v>
      </c>
      <c r="H377" s="190">
        <v>21</v>
      </c>
      <c r="I377" s="219">
        <v>0.29499999999999998</v>
      </c>
      <c r="J377" s="219"/>
      <c r="K377" s="219"/>
      <c r="L377" s="167">
        <v>10.393384808013399</v>
      </c>
      <c r="M377" s="220">
        <v>11.2090984974958</v>
      </c>
      <c r="N377" s="167">
        <v>17.825048118404499</v>
      </c>
      <c r="O377" s="193">
        <v>0.62883973288814698</v>
      </c>
      <c r="P377" s="167">
        <v>2.5627198513307201</v>
      </c>
      <c r="Q377" s="167">
        <v>3.0934160748655999</v>
      </c>
      <c r="R377" s="167">
        <v>1.08664631313467</v>
      </c>
      <c r="S377" s="167">
        <v>5.8822924271586903</v>
      </c>
      <c r="T377" s="167">
        <v>1.78525917568195</v>
      </c>
      <c r="U377" s="167">
        <v>0.50325214043937105</v>
      </c>
      <c r="V377" s="167">
        <v>2.01997743412756</v>
      </c>
      <c r="W377" s="167">
        <v>0.891484701665892</v>
      </c>
      <c r="X377" s="167">
        <v>2.5041736227045101E-3</v>
      </c>
      <c r="Y377" s="189">
        <v>11.2116026711185</v>
      </c>
      <c r="Z377" s="207">
        <v>462</v>
      </c>
      <c r="AA377" s="207">
        <v>338</v>
      </c>
      <c r="AB377" s="167">
        <v>2946.38</v>
      </c>
      <c r="AC377" s="221"/>
      <c r="AD377" s="195">
        <v>9.6410684474123494E-3</v>
      </c>
      <c r="AE377" s="219">
        <v>7.0534223706176999E-3</v>
      </c>
      <c r="AF377" s="167">
        <v>6.3774458874458899</v>
      </c>
      <c r="AG377" s="222">
        <v>6.1485392320534203E-2</v>
      </c>
      <c r="AH377" s="223">
        <v>0.52755603315934896</v>
      </c>
      <c r="AI377" s="223">
        <v>0.33128645993245298</v>
      </c>
      <c r="AJ377" s="167">
        <v>0.49472036727879798</v>
      </c>
      <c r="AK377" s="224">
        <v>0.26809265442404001</v>
      </c>
      <c r="AL377" s="224">
        <v>5.5133555926544203E-2</v>
      </c>
      <c r="AM377" s="82">
        <v>0.28355592654424</v>
      </c>
      <c r="AN377" s="195">
        <v>6.7220000000000004</v>
      </c>
    </row>
    <row r="378" spans="1:40" s="167" customFormat="1" ht="16.05" customHeight="1">
      <c r="A378" s="186">
        <v>43719</v>
      </c>
      <c r="B378" s="232" t="s">
        <v>51</v>
      </c>
      <c r="C378" s="188">
        <v>12095</v>
      </c>
      <c r="D378" s="188">
        <v>46484</v>
      </c>
      <c r="E378" s="189">
        <v>3.8432410086812698</v>
      </c>
      <c r="F378" s="167">
        <v>0.56509313871439604</v>
      </c>
      <c r="G378" s="190">
        <v>13.6</v>
      </c>
      <c r="H378" s="190">
        <v>21.75</v>
      </c>
      <c r="I378" s="219">
        <v>0.29399999999999998</v>
      </c>
      <c r="J378" s="219"/>
      <c r="K378" s="219"/>
      <c r="L378" s="167">
        <v>9.15286980466397</v>
      </c>
      <c r="M378" s="220">
        <v>9.4296317012305302</v>
      </c>
      <c r="N378" s="167">
        <v>15.1434444636379</v>
      </c>
      <c r="O378" s="193">
        <v>0.62268737630152304</v>
      </c>
      <c r="P378" s="167">
        <v>2.34178614613923</v>
      </c>
      <c r="Q378" s="167">
        <v>2.5226118500604602</v>
      </c>
      <c r="R378" s="167">
        <v>0.91093453100708199</v>
      </c>
      <c r="S378" s="167">
        <v>4.7580238383140401</v>
      </c>
      <c r="T378" s="167">
        <v>1.5347382967697401</v>
      </c>
      <c r="U378" s="167">
        <v>0.54904128519606199</v>
      </c>
      <c r="V378" s="167">
        <v>1.70920711694593</v>
      </c>
      <c r="W378" s="167">
        <v>0.81710139920539004</v>
      </c>
      <c r="X378" s="167">
        <v>9.2504947939075805E-4</v>
      </c>
      <c r="Y378" s="189">
        <v>9.4305567507099202</v>
      </c>
      <c r="Z378" s="207">
        <v>473</v>
      </c>
      <c r="AA378" s="207">
        <v>342</v>
      </c>
      <c r="AB378" s="167">
        <v>2855.27</v>
      </c>
      <c r="AC378" s="221"/>
      <c r="AD378" s="195">
        <v>1.0175544273298301E-2</v>
      </c>
      <c r="AE378" s="219">
        <v>7.3573702779451003E-3</v>
      </c>
      <c r="AF378" s="167">
        <v>6.0365116279069797</v>
      </c>
      <c r="AG378" s="222">
        <v>6.1424791326047702E-2</v>
      </c>
      <c r="AH378" s="223">
        <v>0.54270359652749101</v>
      </c>
      <c r="AI378" s="223">
        <v>0.357916494419181</v>
      </c>
      <c r="AJ378" s="167">
        <v>0.56363479907064795</v>
      </c>
      <c r="AK378" s="224">
        <v>0.29356337664572801</v>
      </c>
      <c r="AL378" s="224">
        <v>5.6234403235521903E-2</v>
      </c>
      <c r="AM378" s="82">
        <v>0</v>
      </c>
      <c r="AN378" s="195"/>
    </row>
    <row r="379" spans="1:40" s="167" customFormat="1" ht="16.05" customHeight="1">
      <c r="A379" s="186">
        <v>43720</v>
      </c>
      <c r="B379" s="232" t="s">
        <v>51</v>
      </c>
      <c r="C379" s="188">
        <f>源!$M$20</f>
        <v>12951</v>
      </c>
      <c r="D379" s="188">
        <f>源!$M$21</f>
        <v>47571</v>
      </c>
      <c r="E379" s="189">
        <f t="shared" ref="E379" si="23">D379/C379</f>
        <v>3.6731526523048412</v>
      </c>
      <c r="F379" s="167">
        <f t="shared" ref="F379" si="24">3.3*M379*G379/1000+3.3*AB379/D379*0.7</f>
        <v>0.48252703361291538</v>
      </c>
      <c r="G379" s="190">
        <f>源!$M$18</f>
        <v>12.04</v>
      </c>
      <c r="H379" s="190">
        <f>源!$M$19</f>
        <v>18.579999999999998</v>
      </c>
      <c r="I379" s="219"/>
      <c r="J379" s="219"/>
      <c r="K379" s="219"/>
      <c r="L379" s="167">
        <f>源!$M$22/D379</f>
        <v>8.8895335393411958</v>
      </c>
      <c r="M379" s="220">
        <f>源!$M$24/D379</f>
        <v>8.9784322381282706</v>
      </c>
      <c r="N379" s="167">
        <f>源!$M$24/源!$M$25</f>
        <v>14.799480249480249</v>
      </c>
      <c r="O379" s="193">
        <f t="shared" ref="O379" si="25">M379/N379</f>
        <v>0.60667213218137095</v>
      </c>
      <c r="P379" s="167">
        <f>SUMIFS(源!B:B,源!A:A,"double_cash")/D379*N379/M379</f>
        <v>2.311850311850312</v>
      </c>
      <c r="Q379" s="167">
        <f>SUMIFS(源!B:B,源!A:A,"Offline")/D379*N379/M379</f>
        <v>2.5037422037422039</v>
      </c>
      <c r="R379" s="167">
        <f>SUMIFS(源!B:B,源!A:A,"AdClaim")/D379*N379/M379</f>
        <v>0.88322938322938327</v>
      </c>
      <c r="S379" s="167">
        <f>SUMIFS(源!B:B,源!A:A,"FreeBonus_money")/D379*N379/M379+SUMIFS(源!B:B,源!A:A,"FreeBonus_gold")/D379*N379/M379</f>
        <v>4.5780665280665271</v>
      </c>
      <c r="T379" s="167">
        <f>SUMIFS(源!B:B,源!A:A,"speedUp")/D379*N379/M379</f>
        <v>1.5163894663894664</v>
      </c>
      <c r="U379" s="167">
        <f>SUMIFS(源!B:B,源!A:A,"Slot")/D379*N379/M379</f>
        <v>0.54005544005544004</v>
      </c>
      <c r="V379" s="167">
        <f>SUMIFS(源!B:B,源!A:A,"skip_30_minutes")/D379*N379/M379</f>
        <v>1.6621275121275123</v>
      </c>
      <c r="W379" s="167">
        <f>SUMIFS(源!B:B,源!A:A,"cost_50%_off")/D379*N379/M379</f>
        <v>0.80401940401940419</v>
      </c>
      <c r="X379" s="167">
        <f>源!$M$23/D379</f>
        <v>6.0961510163755231E-4</v>
      </c>
      <c r="Y379" s="189">
        <f t="shared" ref="Y379" si="26">M379+X379</f>
        <v>8.9790418532299086</v>
      </c>
      <c r="Z379" s="207">
        <f>源!$M$30</f>
        <v>442</v>
      </c>
      <c r="AA379" s="207">
        <f>源!$M$26</f>
        <v>312</v>
      </c>
      <c r="AB379" s="167">
        <f>源!$M$31</f>
        <v>2590.58</v>
      </c>
      <c r="AC379" s="221"/>
      <c r="AD379" s="195">
        <f t="shared" ref="AD379" si="27">Z379/D379</f>
        <v>9.2913749973723495E-3</v>
      </c>
      <c r="AE379" s="219">
        <f t="shared" ref="AE379" si="28">AA379/D379</f>
        <v>6.558617645204011E-3</v>
      </c>
      <c r="AF379" s="167">
        <f t="shared" ref="AF379" si="29">AB379/Z379</f>
        <v>5.8610407239819002</v>
      </c>
      <c r="AG379" s="222">
        <f t="shared" ref="AG379" si="30">AD379*AF379</f>
        <v>5.4457127241386565E-2</v>
      </c>
      <c r="AH379" s="223">
        <f>源!$M$33/C379</f>
        <v>0.52521040846266698</v>
      </c>
      <c r="AI379" s="223">
        <f>源!$M$34/C379</f>
        <v>0.31287159292718708</v>
      </c>
      <c r="AJ379" s="167">
        <f>源!$M$32/D379</f>
        <v>0.54951546110025018</v>
      </c>
      <c r="AK379" s="224">
        <f>源!$M$27/D379</f>
        <v>0.29072333984990856</v>
      </c>
      <c r="AL379" s="224">
        <f>源!$M$28/D379</f>
        <v>5.2721195686447626E-2</v>
      </c>
      <c r="AM379" s="82" t="e">
        <f>源!$M$29/D379</f>
        <v>#VALUE!</v>
      </c>
      <c r="AN379" s="195"/>
    </row>
  </sheetData>
  <mergeCells count="33"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M1:AM2"/>
    <mergeCell ref="AN1:AN2"/>
    <mergeCell ref="AH1:AH2"/>
    <mergeCell ref="AI1:AI2"/>
    <mergeCell ref="AJ1:AJ2"/>
    <mergeCell ref="AK1:AK2"/>
    <mergeCell ref="AL1:AL2"/>
  </mergeCells>
  <phoneticPr fontId="4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E1" workbookViewId="0">
      <selection activeCell="F3" sqref="F3"/>
    </sheetView>
  </sheetViews>
  <sheetFormatPr defaultColWidth="10.81640625" defaultRowHeight="15.6"/>
  <cols>
    <col min="1" max="1" width="15.36328125" style="96" customWidth="1"/>
    <col min="2" max="4" width="10.1796875" style="96" customWidth="1"/>
    <col min="5" max="5" width="7.36328125" style="96" customWidth="1"/>
    <col min="6" max="6" width="19.1796875" style="96" customWidth="1"/>
    <col min="7" max="9" width="10.1796875" style="96" customWidth="1"/>
    <col min="10" max="10" width="7.36328125" style="96" customWidth="1"/>
    <col min="11" max="11" width="14.453125" style="97" customWidth="1"/>
    <col min="12" max="12" width="35.1796875" style="96" customWidth="1"/>
    <col min="13" max="14" width="10.81640625" style="96"/>
    <col min="15" max="22" width="10.81640625" style="96" customWidth="1"/>
    <col min="23" max="16384" width="10.81640625" style="96"/>
  </cols>
  <sheetData>
    <row r="1" spans="1:16" ht="16.2">
      <c r="A1" s="98" t="s">
        <v>51</v>
      </c>
      <c r="B1" s="98" t="s">
        <v>52</v>
      </c>
      <c r="C1" s="98" t="s">
        <v>52</v>
      </c>
      <c r="D1" s="98" t="s">
        <v>52</v>
      </c>
      <c r="E1" s="111"/>
      <c r="F1" s="98" t="s">
        <v>41</v>
      </c>
      <c r="G1" s="98" t="s">
        <v>52</v>
      </c>
      <c r="H1" s="98" t="s">
        <v>52</v>
      </c>
      <c r="I1" s="98" t="s">
        <v>52</v>
      </c>
      <c r="J1" s="115"/>
      <c r="K1" s="116" t="s">
        <v>53</v>
      </c>
      <c r="L1" s="117" t="s">
        <v>54</v>
      </c>
      <c r="M1" s="117" t="s">
        <v>55</v>
      </c>
      <c r="N1" s="117" t="s">
        <v>56</v>
      </c>
      <c r="O1" s="117" t="s">
        <v>57</v>
      </c>
    </row>
    <row r="2" spans="1:16">
      <c r="A2" s="99" t="s">
        <v>54</v>
      </c>
      <c r="B2" s="99" t="s">
        <v>55</v>
      </c>
      <c r="C2" s="99" t="s">
        <v>56</v>
      </c>
      <c r="D2" s="99" t="s">
        <v>57</v>
      </c>
      <c r="E2" s="112"/>
      <c r="F2" s="99" t="s">
        <v>54</v>
      </c>
      <c r="G2" s="99" t="s">
        <v>55</v>
      </c>
      <c r="H2" s="99" t="s">
        <v>56</v>
      </c>
      <c r="I2" s="99" t="s">
        <v>57</v>
      </c>
      <c r="J2" s="118"/>
      <c r="K2" s="119">
        <f t="shared" ref="K2:K14" si="0">M2*IF(RIGHT(L2,4)="spin",0.99,IF(RIGHT(L2,14)="christmasoffer",19.99,IF(RIGHT(L2,14)="eventdeal19.99",19.99,IFERROR(RIGHT(L2,LEN(L2)-IFERROR(FIND("r",L2,15),FIND("d",L2,15))),0))))</f>
        <v>158.4</v>
      </c>
      <c r="L2" s="100" t="s">
        <v>58</v>
      </c>
      <c r="M2" s="100">
        <v>160</v>
      </c>
      <c r="N2" s="101">
        <v>0.36199999999999999</v>
      </c>
      <c r="O2" s="102" t="s">
        <v>59</v>
      </c>
    </row>
    <row r="3" spans="1:16">
      <c r="A3" s="100" t="s">
        <v>60</v>
      </c>
      <c r="B3" s="100">
        <v>95291</v>
      </c>
      <c r="C3" s="101">
        <v>0.30499999999999999</v>
      </c>
      <c r="D3" s="102" t="s">
        <v>59</v>
      </c>
      <c r="E3" s="113"/>
      <c r="F3" s="100" t="s">
        <v>60</v>
      </c>
      <c r="G3" s="100">
        <v>80264</v>
      </c>
      <c r="H3" s="101">
        <v>0.29099999999999998</v>
      </c>
      <c r="I3" s="102" t="s">
        <v>59</v>
      </c>
      <c r="J3" s="118"/>
      <c r="K3" s="119">
        <f t="shared" si="0"/>
        <v>527.34</v>
      </c>
      <c r="L3" s="100" t="s">
        <v>61</v>
      </c>
      <c r="M3" s="100">
        <v>66</v>
      </c>
      <c r="N3" s="101">
        <v>0.14899999999999999</v>
      </c>
      <c r="O3" s="102" t="s">
        <v>59</v>
      </c>
    </row>
    <row r="4" spans="1:16">
      <c r="A4" s="100" t="s">
        <v>62</v>
      </c>
      <c r="B4" s="100">
        <v>51843</v>
      </c>
      <c r="C4" s="101">
        <v>0.16600000000000001</v>
      </c>
      <c r="D4" s="102" t="s">
        <v>59</v>
      </c>
      <c r="E4" s="113"/>
      <c r="F4" s="100" t="s">
        <v>62</v>
      </c>
      <c r="G4" s="100">
        <v>60085</v>
      </c>
      <c r="H4" s="101">
        <v>0.218</v>
      </c>
      <c r="I4" s="102" t="s">
        <v>59</v>
      </c>
      <c r="J4" s="118"/>
      <c r="K4" s="119">
        <f t="shared" si="0"/>
        <v>329.34000000000003</v>
      </c>
      <c r="L4" s="100" t="s">
        <v>63</v>
      </c>
      <c r="M4" s="100">
        <v>66</v>
      </c>
      <c r="N4" s="101">
        <v>0.14899999999999999</v>
      </c>
      <c r="O4" s="102" t="s">
        <v>59</v>
      </c>
    </row>
    <row r="5" spans="1:16">
      <c r="A5" s="100" t="s">
        <v>64</v>
      </c>
      <c r="B5" s="100">
        <v>47130</v>
      </c>
      <c r="C5" s="101">
        <v>0.151</v>
      </c>
      <c r="D5" s="102" t="s">
        <v>59</v>
      </c>
      <c r="E5" s="113"/>
      <c r="F5" s="100" t="s">
        <v>64</v>
      </c>
      <c r="G5" s="100">
        <v>38670</v>
      </c>
      <c r="H5" s="103">
        <v>0.14000000000000001</v>
      </c>
      <c r="I5" s="102" t="s">
        <v>59</v>
      </c>
      <c r="J5" s="118"/>
      <c r="K5" s="119">
        <f t="shared" si="0"/>
        <v>176.41000000000003</v>
      </c>
      <c r="L5" s="100" t="s">
        <v>65</v>
      </c>
      <c r="M5" s="100">
        <v>59</v>
      </c>
      <c r="N5" s="101">
        <v>0.13300000000000001</v>
      </c>
      <c r="O5" s="102" t="s">
        <v>59</v>
      </c>
    </row>
    <row r="6" spans="1:16">
      <c r="A6" s="100" t="s">
        <v>66</v>
      </c>
      <c r="B6" s="100">
        <v>34573</v>
      </c>
      <c r="C6" s="101">
        <v>0.111</v>
      </c>
      <c r="D6" s="102" t="s">
        <v>59</v>
      </c>
      <c r="E6" s="113"/>
      <c r="F6" s="100" t="s">
        <v>66</v>
      </c>
      <c r="G6" s="100">
        <v>29144</v>
      </c>
      <c r="H6" s="101">
        <v>0.106</v>
      </c>
      <c r="I6" s="102" t="s">
        <v>59</v>
      </c>
      <c r="J6" s="118"/>
      <c r="K6" s="119">
        <f t="shared" si="0"/>
        <v>369.63</v>
      </c>
      <c r="L6" s="100" t="s">
        <v>67</v>
      </c>
      <c r="M6" s="100">
        <v>37</v>
      </c>
      <c r="N6" s="101">
        <v>8.4000000000000005E-2</v>
      </c>
      <c r="O6" s="102" t="s">
        <v>59</v>
      </c>
    </row>
    <row r="7" spans="1:16">
      <c r="A7" s="100" t="s">
        <v>68</v>
      </c>
      <c r="B7" s="100">
        <v>30329</v>
      </c>
      <c r="C7" s="101">
        <v>9.7000000000000003E-2</v>
      </c>
      <c r="D7" s="102" t="s">
        <v>59</v>
      </c>
      <c r="E7" s="113"/>
      <c r="F7" s="100" t="s">
        <v>68</v>
      </c>
      <c r="G7" s="100">
        <v>24466</v>
      </c>
      <c r="H7" s="101">
        <v>8.8999999999999996E-2</v>
      </c>
      <c r="I7" s="102" t="s">
        <v>59</v>
      </c>
      <c r="J7" s="118"/>
      <c r="K7" s="119">
        <f t="shared" si="0"/>
        <v>189.81</v>
      </c>
      <c r="L7" s="100" t="s">
        <v>69</v>
      </c>
      <c r="M7" s="100">
        <v>19</v>
      </c>
      <c r="N7" s="101">
        <v>4.2999999999999997E-2</v>
      </c>
      <c r="O7" s="102" t="s">
        <v>59</v>
      </c>
    </row>
    <row r="8" spans="1:16">
      <c r="A8" s="100" t="s">
        <v>70</v>
      </c>
      <c r="B8" s="100">
        <v>17327</v>
      </c>
      <c r="C8" s="101">
        <v>5.6000000000000001E-2</v>
      </c>
      <c r="D8" s="102" t="s">
        <v>59</v>
      </c>
      <c r="E8" s="113"/>
      <c r="F8" s="100" t="s">
        <v>71</v>
      </c>
      <c r="G8" s="100">
        <v>14838</v>
      </c>
      <c r="H8" s="101">
        <v>5.3999999999999999E-2</v>
      </c>
      <c r="I8" s="102" t="s">
        <v>59</v>
      </c>
      <c r="J8" s="118"/>
      <c r="K8" s="119">
        <f t="shared" si="0"/>
        <v>359.82</v>
      </c>
      <c r="L8" s="100" t="s">
        <v>72</v>
      </c>
      <c r="M8" s="100">
        <v>18</v>
      </c>
      <c r="N8" s="101">
        <v>4.1000000000000002E-2</v>
      </c>
      <c r="O8" s="102" t="s">
        <v>59</v>
      </c>
    </row>
    <row r="9" spans="1:16">
      <c r="A9" s="100" t="s">
        <v>71</v>
      </c>
      <c r="B9" s="100">
        <v>17005</v>
      </c>
      <c r="C9" s="101">
        <v>5.5E-2</v>
      </c>
      <c r="D9" s="102" t="s">
        <v>59</v>
      </c>
      <c r="E9" s="113"/>
      <c r="F9" s="100" t="s">
        <v>70</v>
      </c>
      <c r="G9" s="100">
        <v>14313</v>
      </c>
      <c r="H9" s="101">
        <v>5.1999999999999998E-2</v>
      </c>
      <c r="I9" s="102" t="s">
        <v>59</v>
      </c>
      <c r="J9" s="118"/>
      <c r="K9" s="119">
        <f t="shared" si="0"/>
        <v>279.85999999999996</v>
      </c>
      <c r="L9" s="100" t="s">
        <v>73</v>
      </c>
      <c r="M9" s="100">
        <v>14</v>
      </c>
      <c r="N9" s="101">
        <v>3.2000000000000001E-2</v>
      </c>
      <c r="O9" s="102" t="s">
        <v>59</v>
      </c>
    </row>
    <row r="10" spans="1:16">
      <c r="A10" s="100" t="s">
        <v>74</v>
      </c>
      <c r="B10" s="100">
        <v>13626</v>
      </c>
      <c r="C10" s="101">
        <v>4.3999999999999997E-2</v>
      </c>
      <c r="D10" s="102" t="s">
        <v>59</v>
      </c>
      <c r="E10" s="113"/>
      <c r="F10" s="100" t="s">
        <v>74</v>
      </c>
      <c r="G10" s="100">
        <v>10761</v>
      </c>
      <c r="H10" s="101">
        <v>3.9E-2</v>
      </c>
      <c r="I10" s="102" t="s">
        <v>59</v>
      </c>
      <c r="J10" s="118"/>
      <c r="K10" s="119">
        <f t="shared" si="0"/>
        <v>99.98</v>
      </c>
      <c r="L10" s="100" t="s">
        <v>75</v>
      </c>
      <c r="M10" s="100">
        <v>2</v>
      </c>
      <c r="N10" s="101">
        <v>5.0000000000000001E-3</v>
      </c>
      <c r="O10" s="102" t="s">
        <v>59</v>
      </c>
    </row>
    <row r="11" spans="1:16">
      <c r="A11" s="100" t="s">
        <v>76</v>
      </c>
      <c r="B11" s="100">
        <v>4829</v>
      </c>
      <c r="C11" s="101">
        <v>1.4999999999999999E-2</v>
      </c>
      <c r="D11" s="102" t="s">
        <v>59</v>
      </c>
      <c r="E11" s="113"/>
      <c r="F11" s="100" t="s">
        <v>76</v>
      </c>
      <c r="G11" s="100">
        <v>2957</v>
      </c>
      <c r="H11" s="101">
        <v>1.0999999999999999E-2</v>
      </c>
      <c r="I11" s="102" t="s">
        <v>59</v>
      </c>
      <c r="J11" s="118"/>
      <c r="K11" s="119">
        <f t="shared" si="0"/>
        <v>99.99</v>
      </c>
      <c r="L11" s="100" t="s">
        <v>77</v>
      </c>
      <c r="M11" s="100">
        <v>1</v>
      </c>
      <c r="N11" s="101">
        <v>2E-3</v>
      </c>
      <c r="O11" s="102" t="s">
        <v>59</v>
      </c>
    </row>
    <row r="12" spans="1:16">
      <c r="A12" s="100" t="s">
        <v>60</v>
      </c>
      <c r="B12" s="100">
        <v>535</v>
      </c>
      <c r="C12" s="103">
        <v>0.38</v>
      </c>
      <c r="D12" s="102" t="s">
        <v>59</v>
      </c>
      <c r="E12" s="113"/>
      <c r="F12" s="100" t="s">
        <v>60</v>
      </c>
      <c r="G12" s="100">
        <v>433</v>
      </c>
      <c r="H12" s="101">
        <v>0.45900000000000002</v>
      </c>
      <c r="I12" s="102" t="s">
        <v>59</v>
      </c>
      <c r="J12" s="118"/>
      <c r="K12" s="119">
        <f t="shared" si="0"/>
        <v>0</v>
      </c>
      <c r="L12" s="104"/>
      <c r="M12" s="104"/>
      <c r="N12" s="114"/>
      <c r="O12" s="129"/>
    </row>
    <row r="13" spans="1:16">
      <c r="A13" s="100" t="s">
        <v>62</v>
      </c>
      <c r="B13" s="100">
        <v>207</v>
      </c>
      <c r="C13" s="101">
        <v>0.14699999999999999</v>
      </c>
      <c r="D13" s="102" t="s">
        <v>59</v>
      </c>
      <c r="E13" s="113"/>
      <c r="F13" s="100" t="s">
        <v>62</v>
      </c>
      <c r="G13" s="100">
        <v>148</v>
      </c>
      <c r="H13" s="101">
        <v>0.157</v>
      </c>
      <c r="I13" s="102" t="s">
        <v>59</v>
      </c>
      <c r="J13" s="118"/>
      <c r="K13" s="119">
        <f t="shared" si="0"/>
        <v>0</v>
      </c>
      <c r="L13" s="104"/>
      <c r="M13" s="104"/>
      <c r="N13" s="114"/>
      <c r="O13" s="129"/>
    </row>
    <row r="14" spans="1:16">
      <c r="A14" s="100" t="s">
        <v>66</v>
      </c>
      <c r="B14" s="100">
        <v>203</v>
      </c>
      <c r="C14" s="101">
        <v>0.14399999999999999</v>
      </c>
      <c r="D14" s="102" t="s">
        <v>59</v>
      </c>
      <c r="E14" s="113"/>
      <c r="F14" s="100" t="s">
        <v>66</v>
      </c>
      <c r="G14" s="100">
        <v>110</v>
      </c>
      <c r="H14" s="101">
        <v>0.11700000000000001</v>
      </c>
      <c r="I14" s="102" t="s">
        <v>59</v>
      </c>
      <c r="J14" s="118"/>
      <c r="K14" s="119">
        <f t="shared" si="0"/>
        <v>0</v>
      </c>
      <c r="L14" s="120"/>
      <c r="M14" s="120"/>
      <c r="N14" s="133"/>
      <c r="O14" s="134"/>
      <c r="P14" s="118"/>
    </row>
    <row r="15" spans="1:16">
      <c r="A15" s="100" t="s">
        <v>64</v>
      </c>
      <c r="B15" s="100">
        <v>148</v>
      </c>
      <c r="C15" s="101">
        <v>0.105</v>
      </c>
      <c r="D15" s="102" t="s">
        <v>59</v>
      </c>
      <c r="E15" s="113"/>
      <c r="F15" s="100" t="s">
        <v>64</v>
      </c>
      <c r="G15" s="100">
        <v>86</v>
      </c>
      <c r="H15" s="101">
        <v>9.0999999999999998E-2</v>
      </c>
      <c r="I15" s="102" t="s">
        <v>59</v>
      </c>
      <c r="J15" s="118"/>
    </row>
    <row r="16" spans="1:16">
      <c r="A16" s="100" t="s">
        <v>68</v>
      </c>
      <c r="B16" s="100">
        <v>136</v>
      </c>
      <c r="C16" s="101">
        <v>9.7000000000000003E-2</v>
      </c>
      <c r="D16" s="102" t="s">
        <v>59</v>
      </c>
      <c r="E16" s="113"/>
      <c r="F16" s="100" t="s">
        <v>68</v>
      </c>
      <c r="G16" s="100">
        <v>76</v>
      </c>
      <c r="H16" s="101">
        <v>8.1000000000000003E-2</v>
      </c>
      <c r="I16" s="102" t="s">
        <v>59</v>
      </c>
      <c r="J16" s="118"/>
      <c r="K16" s="96"/>
    </row>
    <row r="17" spans="1:21">
      <c r="A17" s="100" t="s">
        <v>71</v>
      </c>
      <c r="B17" s="100">
        <v>103</v>
      </c>
      <c r="C17" s="101">
        <v>7.2999999999999995E-2</v>
      </c>
      <c r="D17" s="102" t="s">
        <v>59</v>
      </c>
      <c r="E17" s="113"/>
      <c r="F17" s="100" t="s">
        <v>70</v>
      </c>
      <c r="G17" s="100">
        <v>49</v>
      </c>
      <c r="H17" s="101">
        <v>5.1999999999999998E-2</v>
      </c>
      <c r="I17" s="102" t="s">
        <v>59</v>
      </c>
      <c r="J17" s="118"/>
      <c r="K17" s="121"/>
      <c r="L17" s="122"/>
      <c r="M17" s="122" t="s">
        <v>51</v>
      </c>
      <c r="N17" s="122" t="s">
        <v>41</v>
      </c>
      <c r="O17" s="122"/>
    </row>
    <row r="18" spans="1:21">
      <c r="A18" s="100" t="s">
        <v>70</v>
      </c>
      <c r="B18" s="100">
        <v>69</v>
      </c>
      <c r="C18" s="101">
        <v>4.9000000000000002E-2</v>
      </c>
      <c r="D18" s="102" t="s">
        <v>59</v>
      </c>
      <c r="E18" s="113"/>
      <c r="F18" s="100" t="s">
        <v>71</v>
      </c>
      <c r="G18" s="100">
        <v>38</v>
      </c>
      <c r="H18" s="103">
        <v>0.04</v>
      </c>
      <c r="I18" s="102" t="s">
        <v>59</v>
      </c>
      <c r="J18" s="118"/>
      <c r="K18" s="123"/>
      <c r="L18" s="123" t="s">
        <v>78</v>
      </c>
      <c r="M18" s="135">
        <v>12.04</v>
      </c>
      <c r="N18" s="135">
        <v>12.99</v>
      </c>
      <c r="O18" s="136">
        <v>12.99</v>
      </c>
      <c r="P18" s="137"/>
      <c r="Q18" s="154"/>
    </row>
    <row r="19" spans="1:21">
      <c r="A19" s="100" t="s">
        <v>76</v>
      </c>
      <c r="B19" s="100">
        <v>6</v>
      </c>
      <c r="C19" s="101">
        <v>4.0000000000000001E-3</v>
      </c>
      <c r="D19" s="102" t="s">
        <v>59</v>
      </c>
      <c r="E19" s="113"/>
      <c r="F19" s="100" t="s">
        <v>76</v>
      </c>
      <c r="G19" s="100">
        <v>3</v>
      </c>
      <c r="H19" s="101">
        <v>3.0000000000000001E-3</v>
      </c>
      <c r="I19" s="102" t="s">
        <v>59</v>
      </c>
      <c r="J19" s="118"/>
      <c r="K19" s="124"/>
      <c r="L19" s="124" t="s">
        <v>79</v>
      </c>
      <c r="M19" s="138">
        <v>18.579999999999998</v>
      </c>
      <c r="N19" s="138">
        <v>19.91</v>
      </c>
      <c r="O19" s="139">
        <v>19.91</v>
      </c>
      <c r="P19" s="137"/>
      <c r="Q19" s="154"/>
    </row>
    <row r="20" spans="1:21">
      <c r="A20" s="100" t="s">
        <v>60</v>
      </c>
      <c r="B20" s="100">
        <v>25008</v>
      </c>
      <c r="C20" s="101">
        <v>0.26200000000000001</v>
      </c>
      <c r="D20" s="102" t="s">
        <v>59</v>
      </c>
      <c r="E20" s="113"/>
      <c r="F20" s="100" t="s">
        <v>60</v>
      </c>
      <c r="G20" s="100">
        <v>20841</v>
      </c>
      <c r="H20" s="101">
        <v>0.25900000000000001</v>
      </c>
      <c r="I20" s="102" t="s">
        <v>59</v>
      </c>
      <c r="J20" s="118"/>
      <c r="L20" s="97" t="s">
        <v>2</v>
      </c>
      <c r="M20" s="140">
        <v>12951</v>
      </c>
      <c r="N20" s="140">
        <v>6442</v>
      </c>
      <c r="O20" s="111">
        <v>12951</v>
      </c>
      <c r="P20" s="137"/>
      <c r="Q20" s="154"/>
    </row>
    <row r="21" spans="1:21">
      <c r="A21" s="100" t="s">
        <v>62</v>
      </c>
      <c r="B21" s="100">
        <v>17401</v>
      </c>
      <c r="C21" s="101">
        <v>0.182</v>
      </c>
      <c r="D21" s="102" t="s">
        <v>59</v>
      </c>
      <c r="E21" s="113"/>
      <c r="F21" s="100" t="s">
        <v>62</v>
      </c>
      <c r="G21" s="100">
        <v>15441</v>
      </c>
      <c r="H21" s="101">
        <v>0.192</v>
      </c>
      <c r="I21" s="102" t="s">
        <v>59</v>
      </c>
      <c r="J21" s="118"/>
      <c r="L21" s="97" t="s">
        <v>80</v>
      </c>
      <c r="M21" s="140">
        <v>47571</v>
      </c>
      <c r="N21" s="140">
        <v>39747</v>
      </c>
      <c r="O21" s="111">
        <v>47571</v>
      </c>
      <c r="P21" s="137"/>
      <c r="Q21" s="154"/>
    </row>
    <row r="22" spans="1:21">
      <c r="A22" s="100" t="s">
        <v>64</v>
      </c>
      <c r="B22" s="100">
        <v>15911</v>
      </c>
      <c r="C22" s="101">
        <v>0.16700000000000001</v>
      </c>
      <c r="D22" s="102" t="s">
        <v>59</v>
      </c>
      <c r="E22" s="113"/>
      <c r="F22" s="100" t="s">
        <v>64</v>
      </c>
      <c r="G22" s="100">
        <v>13314</v>
      </c>
      <c r="H22" s="101">
        <v>0.16600000000000001</v>
      </c>
      <c r="I22" s="102" t="s">
        <v>59</v>
      </c>
      <c r="J22" s="118"/>
      <c r="K22" s="121"/>
      <c r="L22" s="121" t="s">
        <v>81</v>
      </c>
      <c r="M22" s="140">
        <v>422884</v>
      </c>
      <c r="N22" s="140">
        <v>311355</v>
      </c>
      <c r="O22" s="111">
        <v>422884</v>
      </c>
      <c r="P22" s="137"/>
      <c r="Q22" s="154"/>
    </row>
    <row r="23" spans="1:21">
      <c r="A23" s="100" t="s">
        <v>66</v>
      </c>
      <c r="B23" s="100">
        <v>11400</v>
      </c>
      <c r="C23" s="101">
        <v>0.11899999999999999</v>
      </c>
      <c r="D23" s="102" t="s">
        <v>59</v>
      </c>
      <c r="E23" s="113"/>
      <c r="F23" s="100" t="s">
        <v>66</v>
      </c>
      <c r="G23" s="100">
        <v>9687</v>
      </c>
      <c r="H23" s="101">
        <v>0.121</v>
      </c>
      <c r="I23" s="102" t="s">
        <v>59</v>
      </c>
      <c r="J23" s="118"/>
      <c r="K23" s="125"/>
      <c r="L23" s="125" t="s">
        <v>82</v>
      </c>
      <c r="M23" s="141">
        <v>29</v>
      </c>
      <c r="N23" s="141">
        <v>497</v>
      </c>
      <c r="O23" s="142">
        <f>M40</f>
        <v>29</v>
      </c>
      <c r="P23" s="137"/>
      <c r="Q23" s="154"/>
      <c r="R23" s="115"/>
      <c r="S23" s="115"/>
      <c r="T23" s="115"/>
      <c r="U23" s="115"/>
    </row>
    <row r="24" spans="1:21">
      <c r="A24" s="100" t="s">
        <v>68</v>
      </c>
      <c r="B24" s="100">
        <v>10757</v>
      </c>
      <c r="C24" s="101">
        <v>0.113</v>
      </c>
      <c r="D24" s="102" t="s">
        <v>59</v>
      </c>
      <c r="E24" s="113"/>
      <c r="F24" s="100" t="s">
        <v>68</v>
      </c>
      <c r="G24" s="100">
        <v>8547</v>
      </c>
      <c r="H24" s="101">
        <v>0.106</v>
      </c>
      <c r="I24" s="102" t="s">
        <v>59</v>
      </c>
      <c r="J24" s="118"/>
      <c r="L24" s="97" t="s">
        <v>83</v>
      </c>
      <c r="M24" s="143">
        <v>427113</v>
      </c>
      <c r="N24" s="143">
        <v>372570</v>
      </c>
      <c r="O24" s="107">
        <f>M41</f>
        <v>427113</v>
      </c>
      <c r="P24" s="137"/>
      <c r="Q24" s="154"/>
      <c r="R24" s="115"/>
      <c r="S24" s="115"/>
      <c r="T24" s="115"/>
      <c r="U24" s="115"/>
    </row>
    <row r="25" spans="1:21">
      <c r="A25" s="100" t="s">
        <v>70</v>
      </c>
      <c r="B25" s="100">
        <v>6791</v>
      </c>
      <c r="C25" s="101">
        <v>7.0999999999999994E-2</v>
      </c>
      <c r="D25" s="102" t="s">
        <v>59</v>
      </c>
      <c r="E25" s="113"/>
      <c r="F25" s="100" t="s">
        <v>70</v>
      </c>
      <c r="G25" s="100">
        <v>5383</v>
      </c>
      <c r="H25" s="101">
        <v>6.7000000000000004E-2</v>
      </c>
      <c r="I25" s="102" t="s">
        <v>59</v>
      </c>
      <c r="J25" s="118"/>
      <c r="L25" s="97" t="s">
        <v>84</v>
      </c>
      <c r="M25" s="143">
        <v>28860</v>
      </c>
      <c r="N25" s="143">
        <v>24185</v>
      </c>
      <c r="O25" s="107">
        <f>O41</f>
        <v>28860</v>
      </c>
      <c r="P25" s="137"/>
      <c r="Q25" s="154"/>
      <c r="R25" s="115"/>
      <c r="S25" s="115"/>
      <c r="T25" s="115"/>
    </row>
    <row r="26" spans="1:21">
      <c r="A26" s="100" t="s">
        <v>71</v>
      </c>
      <c r="B26" s="100">
        <v>5369</v>
      </c>
      <c r="C26" s="101">
        <v>5.6000000000000001E-2</v>
      </c>
      <c r="D26" s="102" t="s">
        <v>59</v>
      </c>
      <c r="E26" s="113"/>
      <c r="F26" s="100" t="s">
        <v>71</v>
      </c>
      <c r="G26" s="100">
        <v>4889</v>
      </c>
      <c r="H26" s="101">
        <v>6.0999999999999999E-2</v>
      </c>
      <c r="I26" s="102" t="s">
        <v>59</v>
      </c>
      <c r="J26" s="118"/>
      <c r="L26" s="97" t="s">
        <v>85</v>
      </c>
      <c r="M26" s="143">
        <v>312</v>
      </c>
      <c r="N26" s="143">
        <v>285</v>
      </c>
      <c r="O26" s="107">
        <f>O42</f>
        <v>312</v>
      </c>
      <c r="P26" s="137"/>
      <c r="Q26" s="154"/>
    </row>
    <row r="27" spans="1:21">
      <c r="A27" s="100" t="s">
        <v>74</v>
      </c>
      <c r="B27" s="100">
        <v>1759</v>
      </c>
      <c r="C27" s="101">
        <v>1.7999999999999999E-2</v>
      </c>
      <c r="D27" s="102" t="s">
        <v>59</v>
      </c>
      <c r="E27" s="113"/>
      <c r="F27" s="100" t="s">
        <v>74</v>
      </c>
      <c r="G27" s="100">
        <v>1611</v>
      </c>
      <c r="H27" s="103">
        <v>0.02</v>
      </c>
      <c r="I27" s="102" t="s">
        <v>59</v>
      </c>
      <c r="J27" s="118"/>
      <c r="L27" s="97" t="s">
        <v>86</v>
      </c>
      <c r="M27" s="143">
        <v>13830</v>
      </c>
      <c r="N27" s="143">
        <v>12667</v>
      </c>
      <c r="O27" s="107">
        <f>O43</f>
        <v>13830</v>
      </c>
      <c r="P27" s="137"/>
      <c r="Q27" s="154"/>
    </row>
    <row r="28" spans="1:21">
      <c r="A28" s="100" t="s">
        <v>76</v>
      </c>
      <c r="B28" s="100">
        <v>1023</v>
      </c>
      <c r="C28" s="101">
        <v>1.0999999999999999E-2</v>
      </c>
      <c r="D28" s="102" t="s">
        <v>59</v>
      </c>
      <c r="E28" s="113"/>
      <c r="F28" s="100" t="s">
        <v>76</v>
      </c>
      <c r="G28" s="100">
        <v>605</v>
      </c>
      <c r="H28" s="101">
        <v>8.0000000000000002E-3</v>
      </c>
      <c r="I28" s="102" t="s">
        <v>59</v>
      </c>
      <c r="J28" s="118"/>
      <c r="L28" s="97" t="s">
        <v>87</v>
      </c>
      <c r="M28" s="143">
        <v>2508</v>
      </c>
      <c r="N28" s="143">
        <v>2439</v>
      </c>
      <c r="O28" s="107">
        <f>O44</f>
        <v>2508</v>
      </c>
      <c r="P28" s="137"/>
      <c r="Q28" s="154"/>
    </row>
    <row r="29" spans="1:21">
      <c r="A29" s="100" t="s">
        <v>60</v>
      </c>
      <c r="B29" s="100">
        <v>5391</v>
      </c>
      <c r="C29" s="101">
        <v>0.29399999999999998</v>
      </c>
      <c r="D29" s="102" t="s">
        <v>59</v>
      </c>
      <c r="E29" s="113"/>
      <c r="F29" s="100" t="s">
        <v>60</v>
      </c>
      <c r="G29" s="100">
        <v>3614</v>
      </c>
      <c r="H29" s="101">
        <v>0.22900000000000001</v>
      </c>
      <c r="I29" s="102" t="s">
        <v>59</v>
      </c>
      <c r="J29" s="118"/>
      <c r="K29" s="121"/>
      <c r="L29" s="121" t="s">
        <v>88</v>
      </c>
      <c r="M29" s="144" t="s">
        <v>52</v>
      </c>
      <c r="N29" s="145" t="s">
        <v>52</v>
      </c>
      <c r="O29" s="146">
        <f>O45</f>
        <v>886</v>
      </c>
      <c r="P29" s="137"/>
      <c r="Q29" s="154"/>
    </row>
    <row r="30" spans="1:21">
      <c r="A30" s="100" t="s">
        <v>64</v>
      </c>
      <c r="B30" s="100">
        <v>3531</v>
      </c>
      <c r="C30" s="101">
        <v>0.193</v>
      </c>
      <c r="D30" s="102" t="s">
        <v>59</v>
      </c>
      <c r="E30" s="113"/>
      <c r="F30" s="100" t="s">
        <v>64</v>
      </c>
      <c r="G30" s="100">
        <v>3457</v>
      </c>
      <c r="H30" s="101">
        <v>0.219</v>
      </c>
      <c r="I30" s="102" t="s">
        <v>59</v>
      </c>
      <c r="J30" s="118"/>
      <c r="K30" s="126"/>
      <c r="L30" s="126" t="s">
        <v>89</v>
      </c>
      <c r="M30" s="147">
        <v>442</v>
      </c>
      <c r="N30" s="147">
        <v>389</v>
      </c>
      <c r="O30" s="148">
        <f>SUM(M2:M14)</f>
        <v>442</v>
      </c>
      <c r="P30" s="137"/>
      <c r="Q30" s="154"/>
    </row>
    <row r="31" spans="1:21">
      <c r="A31" s="100" t="s">
        <v>62</v>
      </c>
      <c r="B31" s="100">
        <v>2807</v>
      </c>
      <c r="C31" s="101">
        <v>0.153</v>
      </c>
      <c r="D31" s="102" t="s">
        <v>59</v>
      </c>
      <c r="E31" s="113"/>
      <c r="F31" s="100" t="s">
        <v>62</v>
      </c>
      <c r="G31" s="100">
        <v>2599</v>
      </c>
      <c r="H31" s="101">
        <v>0.16400000000000001</v>
      </c>
      <c r="I31" s="102" t="s">
        <v>59</v>
      </c>
      <c r="J31" s="118"/>
      <c r="K31" s="126"/>
      <c r="L31" s="126" t="s">
        <v>90</v>
      </c>
      <c r="M31" s="147">
        <v>2590.58</v>
      </c>
      <c r="N31" s="147">
        <v>2175.11</v>
      </c>
      <c r="O31" s="148">
        <f>SUM(K2:K14)</f>
        <v>2590.58</v>
      </c>
      <c r="P31" s="137"/>
      <c r="Q31" s="154"/>
      <c r="R31" s="115"/>
      <c r="S31" s="115"/>
      <c r="T31" s="115"/>
    </row>
    <row r="32" spans="1:21">
      <c r="A32" s="100" t="s">
        <v>68</v>
      </c>
      <c r="B32" s="100">
        <v>2541</v>
      </c>
      <c r="C32" s="101">
        <v>0.13900000000000001</v>
      </c>
      <c r="D32" s="102" t="s">
        <v>59</v>
      </c>
      <c r="E32" s="113"/>
      <c r="F32" s="100" t="s">
        <v>68</v>
      </c>
      <c r="G32" s="100">
        <v>2321</v>
      </c>
      <c r="H32" s="101">
        <v>0.14699999999999999</v>
      </c>
      <c r="I32" s="102" t="s">
        <v>59</v>
      </c>
      <c r="J32" s="118"/>
      <c r="K32" s="126"/>
      <c r="L32" s="126" t="s">
        <v>91</v>
      </c>
      <c r="M32" s="149">
        <v>26141</v>
      </c>
      <c r="N32" s="140">
        <v>21639</v>
      </c>
      <c r="O32" s="150">
        <v>26141</v>
      </c>
      <c r="P32" s="137"/>
      <c r="Q32" s="154"/>
      <c r="T32" s="115"/>
      <c r="U32" s="115"/>
    </row>
    <row r="33" spans="1:23">
      <c r="A33" s="100" t="s">
        <v>66</v>
      </c>
      <c r="B33" s="100">
        <v>1793</v>
      </c>
      <c r="C33" s="101">
        <v>9.8000000000000004E-2</v>
      </c>
      <c r="D33" s="102" t="s">
        <v>59</v>
      </c>
      <c r="E33" s="113"/>
      <c r="F33" s="100" t="s">
        <v>66</v>
      </c>
      <c r="G33" s="100">
        <v>1688</v>
      </c>
      <c r="H33" s="101">
        <v>0.107</v>
      </c>
      <c r="I33" s="102" t="s">
        <v>59</v>
      </c>
      <c r="J33" s="118"/>
      <c r="K33" s="126"/>
      <c r="L33" s="126" t="s">
        <v>92</v>
      </c>
      <c r="M33" s="143">
        <v>6802</v>
      </c>
      <c r="N33" s="143">
        <v>3101</v>
      </c>
      <c r="O33" s="150">
        <v>6802</v>
      </c>
      <c r="P33" s="137"/>
      <c r="Q33" s="154"/>
      <c r="R33" s="115"/>
      <c r="S33" s="115"/>
      <c r="T33" s="115"/>
      <c r="U33" s="115"/>
    </row>
    <row r="34" spans="1:23">
      <c r="A34" s="100" t="s">
        <v>70</v>
      </c>
      <c r="B34" s="100">
        <v>1303</v>
      </c>
      <c r="C34" s="101">
        <v>7.0999999999999994E-2</v>
      </c>
      <c r="D34" s="102" t="s">
        <v>59</v>
      </c>
      <c r="E34" s="113"/>
      <c r="F34" s="100" t="s">
        <v>70</v>
      </c>
      <c r="G34" s="100">
        <v>1138</v>
      </c>
      <c r="H34" s="101">
        <v>7.1999999999999995E-2</v>
      </c>
      <c r="I34" s="102" t="s">
        <v>59</v>
      </c>
      <c r="J34" s="118"/>
      <c r="K34" s="126"/>
      <c r="L34" s="126" t="s">
        <v>93</v>
      </c>
      <c r="M34" s="143">
        <v>4052</v>
      </c>
      <c r="N34" s="143">
        <v>2186</v>
      </c>
      <c r="O34" s="150">
        <v>4052</v>
      </c>
      <c r="P34" s="137"/>
      <c r="Q34" s="154"/>
      <c r="R34" s="115"/>
      <c r="S34" s="115"/>
      <c r="T34" s="115"/>
      <c r="U34" s="115"/>
    </row>
    <row r="35" spans="1:23">
      <c r="A35" s="100" t="s">
        <v>71</v>
      </c>
      <c r="B35" s="100">
        <v>727</v>
      </c>
      <c r="C35" s="103">
        <v>0.04</v>
      </c>
      <c r="D35" s="102" t="s">
        <v>59</v>
      </c>
      <c r="E35" s="113"/>
      <c r="F35" s="100" t="s">
        <v>71</v>
      </c>
      <c r="G35" s="100">
        <v>753</v>
      </c>
      <c r="H35" s="101">
        <v>4.8000000000000001E-2</v>
      </c>
      <c r="I35" s="102" t="s">
        <v>59</v>
      </c>
      <c r="J35" s="118"/>
      <c r="M35" s="107"/>
      <c r="N35" s="107"/>
      <c r="Q35" s="154"/>
    </row>
    <row r="36" spans="1:23">
      <c r="A36" s="100" t="s">
        <v>74</v>
      </c>
      <c r="B36" s="100">
        <v>201</v>
      </c>
      <c r="C36" s="101">
        <v>1.0999999999999999E-2</v>
      </c>
      <c r="D36" s="102" t="s">
        <v>59</v>
      </c>
      <c r="E36" s="113"/>
      <c r="F36" s="100" t="s">
        <v>74</v>
      </c>
      <c r="G36" s="100">
        <v>216</v>
      </c>
      <c r="H36" s="101">
        <v>1.4E-2</v>
      </c>
      <c r="I36" s="102" t="s">
        <v>59</v>
      </c>
      <c r="J36" s="118"/>
    </row>
    <row r="37" spans="1:23">
      <c r="A37" s="100" t="s">
        <v>76</v>
      </c>
      <c r="B37" s="100">
        <v>40</v>
      </c>
      <c r="C37" s="101">
        <v>2E-3</v>
      </c>
      <c r="D37" s="102" t="s">
        <v>59</v>
      </c>
      <c r="E37" s="99"/>
      <c r="F37" s="100" t="s">
        <v>76</v>
      </c>
      <c r="G37" s="100">
        <v>25</v>
      </c>
      <c r="H37" s="101">
        <v>2E-3</v>
      </c>
      <c r="I37" s="102" t="s">
        <v>59</v>
      </c>
      <c r="J37" s="127"/>
      <c r="K37" s="128"/>
      <c r="L37" s="127"/>
      <c r="M37" s="127"/>
      <c r="N37" s="127"/>
      <c r="O37" s="127"/>
      <c r="P37" s="127"/>
    </row>
    <row r="38" spans="1:23">
      <c r="A38" s="104"/>
      <c r="B38" s="104"/>
      <c r="C38" s="105"/>
      <c r="D38" s="106"/>
      <c r="E38" s="107"/>
      <c r="F38" s="104"/>
      <c r="G38" s="104"/>
      <c r="H38" s="114"/>
      <c r="I38" s="129"/>
      <c r="J38" s="127"/>
      <c r="K38" s="128"/>
      <c r="L38" s="127"/>
      <c r="M38" s="127"/>
      <c r="N38" s="127"/>
      <c r="O38" s="127"/>
      <c r="P38" s="127"/>
    </row>
    <row r="39" spans="1:23">
      <c r="A39" s="107"/>
      <c r="B39" s="107"/>
      <c r="C39" s="108"/>
      <c r="D39" s="107"/>
      <c r="E39" s="107"/>
      <c r="F39" s="107"/>
      <c r="G39" s="107"/>
      <c r="H39" s="107"/>
      <c r="I39" s="107"/>
      <c r="J39" s="127"/>
      <c r="K39"/>
      <c r="L39"/>
      <c r="M39"/>
      <c r="N39"/>
      <c r="O39"/>
      <c r="P39"/>
    </row>
    <row r="40" spans="1:23">
      <c r="C40" s="109"/>
      <c r="J40" s="127"/>
      <c r="K40" s="102" t="s">
        <v>94</v>
      </c>
      <c r="L40" s="100" t="s">
        <v>95</v>
      </c>
      <c r="M40" s="100">
        <v>29</v>
      </c>
      <c r="N40" s="100">
        <v>16</v>
      </c>
      <c r="O40" s="100">
        <v>20</v>
      </c>
      <c r="P40" s="102" t="s">
        <v>96</v>
      </c>
      <c r="Q40" s="155"/>
      <c r="R40" s="156"/>
      <c r="S40" s="156"/>
      <c r="T40" s="120"/>
      <c r="U40" s="161"/>
      <c r="V40" s="120"/>
      <c r="W40" s="157"/>
    </row>
    <row r="41" spans="1:23">
      <c r="C41" s="109"/>
      <c r="J41" s="127"/>
      <c r="K41" s="102" t="s">
        <v>97</v>
      </c>
      <c r="L41" s="100" t="s">
        <v>98</v>
      </c>
      <c r="M41" s="100">
        <v>427113</v>
      </c>
      <c r="N41" s="100">
        <v>357618</v>
      </c>
      <c r="O41" s="100">
        <v>28860</v>
      </c>
      <c r="P41" s="102" t="s">
        <v>96</v>
      </c>
      <c r="Q41" s="155"/>
      <c r="R41" s="157"/>
      <c r="S41" s="156"/>
      <c r="T41" s="120"/>
      <c r="U41" s="161"/>
      <c r="V41" s="120"/>
      <c r="W41" s="157"/>
    </row>
    <row r="42" spans="1:23">
      <c r="C42" s="109"/>
      <c r="J42" s="127"/>
      <c r="K42" s="102" t="s">
        <v>99</v>
      </c>
      <c r="L42" s="100" t="s">
        <v>100</v>
      </c>
      <c r="M42" s="100">
        <v>889</v>
      </c>
      <c r="N42" s="100">
        <v>788</v>
      </c>
      <c r="O42" s="100">
        <v>312</v>
      </c>
      <c r="P42" s="102" t="s">
        <v>96</v>
      </c>
      <c r="Q42" s="155"/>
      <c r="R42" s="157"/>
      <c r="S42" s="156"/>
      <c r="T42" s="120"/>
      <c r="U42" s="161"/>
      <c r="V42" s="120"/>
      <c r="W42" s="157"/>
    </row>
    <row r="43" spans="1:23">
      <c r="J43" s="127"/>
      <c r="K43" s="102" t="s">
        <v>101</v>
      </c>
      <c r="L43" s="100" t="s">
        <v>102</v>
      </c>
      <c r="M43" s="100">
        <v>43161</v>
      </c>
      <c r="N43" s="100">
        <v>36814</v>
      </c>
      <c r="O43" s="100">
        <v>13830</v>
      </c>
      <c r="P43" s="102" t="s">
        <v>96</v>
      </c>
      <c r="Q43" s="155"/>
      <c r="R43" s="157"/>
      <c r="S43" s="156"/>
      <c r="T43" s="120"/>
      <c r="U43" s="161"/>
      <c r="V43" s="120"/>
      <c r="W43" s="157"/>
    </row>
    <row r="44" spans="1:23">
      <c r="J44" s="127"/>
      <c r="K44" s="102" t="s">
        <v>103</v>
      </c>
      <c r="L44" s="100" t="s">
        <v>104</v>
      </c>
      <c r="M44" s="100">
        <v>5926</v>
      </c>
      <c r="N44" s="100">
        <v>5222</v>
      </c>
      <c r="O44" s="100">
        <v>2508</v>
      </c>
      <c r="P44" s="102" t="s">
        <v>96</v>
      </c>
      <c r="Q44" s="155"/>
      <c r="R44" s="157"/>
      <c r="S44" s="156"/>
      <c r="T44" s="120"/>
      <c r="U44" s="161"/>
      <c r="V44" s="120"/>
      <c r="W44" s="157"/>
    </row>
    <row r="45" spans="1:23">
      <c r="J45" s="127"/>
      <c r="K45" s="102" t="s">
        <v>105</v>
      </c>
      <c r="L45" s="100" t="s">
        <v>106</v>
      </c>
      <c r="M45" s="100">
        <v>1076</v>
      </c>
      <c r="N45" s="100">
        <v>618</v>
      </c>
      <c r="O45" s="100">
        <v>886</v>
      </c>
      <c r="P45" s="102" t="s">
        <v>96</v>
      </c>
      <c r="Q45" s="155"/>
      <c r="R45" s="158"/>
      <c r="S45" s="159"/>
      <c r="T45" s="120"/>
      <c r="U45" s="162"/>
      <c r="V45" s="120"/>
      <c r="W45" s="158"/>
    </row>
    <row r="46" spans="1:23">
      <c r="J46" s="127"/>
      <c r="K46" s="129"/>
      <c r="L46" s="104"/>
      <c r="M46" s="104"/>
      <c r="N46" s="104"/>
      <c r="O46" s="104"/>
      <c r="P46" s="129"/>
      <c r="Q46" s="155"/>
    </row>
    <row r="47" spans="1:23">
      <c r="J47" s="127"/>
      <c r="K47" s="128"/>
      <c r="L47" s="127"/>
      <c r="M47" s="127"/>
      <c r="N47" s="127"/>
      <c r="O47" s="127"/>
      <c r="P47" s="151"/>
    </row>
    <row r="48" spans="1:23">
      <c r="P48" s="120"/>
    </row>
    <row r="49" spans="2:20">
      <c r="P49" s="152"/>
    </row>
    <row r="50" spans="2:20">
      <c r="P50" s="152"/>
    </row>
    <row r="51" spans="2:20">
      <c r="P51" s="152"/>
    </row>
    <row r="52" spans="2:20">
      <c r="K52" s="130"/>
      <c r="L52" s="120"/>
      <c r="N52" s="120"/>
      <c r="O52" s="120"/>
      <c r="P52" s="152"/>
    </row>
    <row r="53" spans="2:20">
      <c r="K53" s="131"/>
      <c r="L53" s="115"/>
      <c r="M53" s="115"/>
      <c r="N53" s="115"/>
      <c r="O53" s="115"/>
      <c r="P53" s="153"/>
    </row>
    <row r="54" spans="2:20">
      <c r="K54" s="131"/>
      <c r="L54" s="115"/>
      <c r="M54" s="115"/>
      <c r="N54" s="115"/>
      <c r="O54" s="115"/>
      <c r="P54" s="153"/>
    </row>
    <row r="60" spans="2:20">
      <c r="B60" s="110"/>
      <c r="G60" s="110"/>
    </row>
    <row r="61" spans="2:20">
      <c r="B61" s="110"/>
      <c r="G61" s="110"/>
    </row>
    <row r="62" spans="2:20">
      <c r="B62" s="110"/>
      <c r="G62" s="110"/>
      <c r="K62" s="132"/>
      <c r="L62" s="132"/>
      <c r="M62" s="132"/>
      <c r="N62" s="132"/>
      <c r="O62" s="132"/>
      <c r="P62" s="132"/>
      <c r="Q62" s="132"/>
      <c r="R62" s="132"/>
      <c r="S62" s="132"/>
      <c r="T62" s="132"/>
    </row>
    <row r="63" spans="2:20">
      <c r="B63" s="110"/>
      <c r="G63" s="110"/>
      <c r="K63" s="130"/>
      <c r="L63" s="120"/>
      <c r="M63" s="133"/>
      <c r="N63" s="133"/>
      <c r="O63" s="133"/>
      <c r="P63" s="133"/>
      <c r="Q63" s="133"/>
      <c r="R63" s="120"/>
      <c r="S63" s="120"/>
      <c r="T63" s="120"/>
    </row>
    <row r="64" spans="2:20">
      <c r="B64" s="110"/>
      <c r="G64" s="110"/>
      <c r="K64" s="130"/>
      <c r="L64" s="120"/>
      <c r="M64" s="133"/>
      <c r="N64" s="133"/>
      <c r="O64" s="133"/>
      <c r="P64" s="133"/>
      <c r="Q64" s="160"/>
      <c r="R64" s="120"/>
      <c r="S64" s="120"/>
      <c r="T64" s="120"/>
    </row>
    <row r="65" spans="2:20">
      <c r="B65" s="110"/>
      <c r="G65" s="110"/>
      <c r="K65" s="130"/>
      <c r="L65" s="120"/>
      <c r="M65" s="133"/>
      <c r="N65" s="133"/>
      <c r="O65" s="133"/>
      <c r="P65" s="133"/>
      <c r="Q65" s="133"/>
      <c r="R65" s="120"/>
      <c r="S65" s="120"/>
      <c r="T65" s="120"/>
    </row>
    <row r="66" spans="2:20">
      <c r="B66" s="110"/>
      <c r="G66" s="110"/>
      <c r="K66" s="130"/>
      <c r="L66" s="120"/>
      <c r="M66" s="133"/>
      <c r="N66" s="133"/>
      <c r="O66" s="133"/>
      <c r="P66" s="133"/>
      <c r="Q66" s="133"/>
      <c r="R66" s="120"/>
      <c r="S66" s="120"/>
      <c r="T66" s="120"/>
    </row>
    <row r="67" spans="2:20">
      <c r="B67" s="110"/>
      <c r="G67" s="110"/>
      <c r="K67" s="130"/>
      <c r="L67" s="120"/>
      <c r="M67" s="133"/>
      <c r="N67" s="133"/>
      <c r="O67" s="133"/>
      <c r="P67" s="133"/>
      <c r="Q67" s="160"/>
      <c r="R67" s="120"/>
      <c r="S67" s="120"/>
      <c r="T67" s="120"/>
    </row>
    <row r="68" spans="2:20">
      <c r="K68" s="130"/>
      <c r="L68" s="120"/>
      <c r="M68" s="133"/>
      <c r="N68" s="133"/>
      <c r="O68" s="133"/>
      <c r="P68" s="133"/>
      <c r="Q68" s="120"/>
      <c r="R68" s="120"/>
      <c r="S68" s="120"/>
      <c r="T68" s="120"/>
    </row>
    <row r="69" spans="2:20">
      <c r="K69" s="130"/>
      <c r="L69" s="120"/>
      <c r="M69" s="133"/>
      <c r="N69" s="133"/>
      <c r="O69" s="133"/>
      <c r="P69" s="133"/>
      <c r="Q69" s="120"/>
      <c r="R69" s="120"/>
      <c r="S69" s="120"/>
      <c r="T69" s="120"/>
    </row>
    <row r="70" spans="2:20">
      <c r="K70" s="130"/>
      <c r="L70" s="120"/>
      <c r="M70" s="133"/>
      <c r="N70" s="133"/>
      <c r="O70" s="133"/>
      <c r="P70" s="160"/>
      <c r="Q70" s="120"/>
      <c r="R70" s="120"/>
      <c r="S70" s="120"/>
      <c r="T70" s="120"/>
    </row>
    <row r="71" spans="2:20">
      <c r="K71" s="130"/>
      <c r="L71" s="120"/>
      <c r="M71" s="133"/>
      <c r="N71" s="133"/>
      <c r="O71" s="133"/>
      <c r="P71" s="133"/>
      <c r="Q71" s="120"/>
      <c r="R71" s="120"/>
      <c r="S71" s="120"/>
      <c r="T71" s="120"/>
    </row>
    <row r="72" spans="2:20">
      <c r="K72" s="130"/>
      <c r="L72" s="120"/>
      <c r="M72" s="133"/>
      <c r="N72" s="133"/>
      <c r="O72" s="133"/>
      <c r="P72" s="120"/>
      <c r="Q72" s="120"/>
      <c r="R72" s="120"/>
      <c r="S72" s="120"/>
      <c r="T72" s="120"/>
    </row>
    <row r="73" spans="2:20">
      <c r="K73" s="130"/>
      <c r="L73" s="120"/>
      <c r="M73" s="133"/>
      <c r="N73" s="133"/>
      <c r="O73" s="132"/>
      <c r="P73" s="132"/>
      <c r="Q73" s="132"/>
      <c r="R73" s="132"/>
      <c r="S73" s="132"/>
      <c r="T73" s="132"/>
    </row>
    <row r="74" spans="2:20">
      <c r="K74" s="110"/>
      <c r="M74" s="163"/>
      <c r="N74" s="163"/>
    </row>
    <row r="1048459" spans="5:5">
      <c r="E1048459" s="164"/>
    </row>
    <row r="1048576" spans="17:17">
      <c r="Q1048576" s="96" t="s">
        <v>107</v>
      </c>
    </row>
  </sheetData>
  <phoneticPr fontId="40" type="noConversion"/>
  <hyperlinks>
    <hyperlink ref="D3" location="源!##" display="详情" xr:uid="{00000000-0004-0000-0200-000000000000}"/>
    <hyperlink ref="I3" location="源!##" display="详情" xr:uid="{00000000-0004-0000-0200-000001000000}"/>
    <hyperlink ref="D4" location="源!##" display="详情" xr:uid="{00000000-0004-0000-0200-000002000000}"/>
    <hyperlink ref="I4" location="源!##" display="详情" xr:uid="{00000000-0004-0000-0200-000003000000}"/>
    <hyperlink ref="D5" location="源!##" display="详情" xr:uid="{00000000-0004-0000-0200-000004000000}"/>
    <hyperlink ref="I5" location="源!##" display="详情" xr:uid="{00000000-0004-0000-0200-000005000000}"/>
    <hyperlink ref="D6" location="源!##" display="详情" xr:uid="{00000000-0004-0000-0200-000006000000}"/>
    <hyperlink ref="I6" location="源!##" display="详情" xr:uid="{00000000-0004-0000-0200-000007000000}"/>
    <hyperlink ref="D7" location="源!##" display="详情" xr:uid="{00000000-0004-0000-0200-000008000000}"/>
    <hyperlink ref="I7" location="源!##" display="详情" xr:uid="{00000000-0004-0000-0200-000009000000}"/>
    <hyperlink ref="D8" location="源!##" display="详情" xr:uid="{00000000-0004-0000-0200-00000A000000}"/>
    <hyperlink ref="I8" location="源!##" display="详情" xr:uid="{00000000-0004-0000-0200-00000B000000}"/>
    <hyperlink ref="D9" location="源!##" display="详情" xr:uid="{00000000-0004-0000-0200-00000C000000}"/>
    <hyperlink ref="I9" location="源!##" display="详情" xr:uid="{00000000-0004-0000-0200-00000D000000}"/>
    <hyperlink ref="D10" location="源!##" display="详情" xr:uid="{00000000-0004-0000-0200-00000E000000}"/>
    <hyperlink ref="I10" location="源!##" display="详情" xr:uid="{00000000-0004-0000-0200-00000F000000}"/>
    <hyperlink ref="D11" location="源!##" display="详情" xr:uid="{00000000-0004-0000-0200-000010000000}"/>
    <hyperlink ref="I11" location="源!##" display="详情" xr:uid="{00000000-0004-0000-0200-000011000000}"/>
    <hyperlink ref="D12" location="源!##" display="详情" xr:uid="{00000000-0004-0000-0200-000012000000}"/>
    <hyperlink ref="I12" location="源!##" display="详情" xr:uid="{00000000-0004-0000-0200-000013000000}"/>
    <hyperlink ref="D13" location="源!##" display="详情" xr:uid="{00000000-0004-0000-0200-000014000000}"/>
    <hyperlink ref="I13" location="源!##" display="详情" xr:uid="{00000000-0004-0000-0200-000015000000}"/>
    <hyperlink ref="D14" location="源!##" display="详情" xr:uid="{00000000-0004-0000-0200-000016000000}"/>
    <hyperlink ref="I14" location="源!##" display="详情" xr:uid="{00000000-0004-0000-0200-000017000000}"/>
    <hyperlink ref="D15" location="源!##" display="详情" xr:uid="{00000000-0004-0000-0200-000018000000}"/>
    <hyperlink ref="I15" location="源!##" display="详情" xr:uid="{00000000-0004-0000-0200-000019000000}"/>
    <hyperlink ref="D16" location="源!##" display="详情" xr:uid="{00000000-0004-0000-0200-00001A000000}"/>
    <hyperlink ref="I16" location="源!##" display="详情" xr:uid="{00000000-0004-0000-0200-00001B000000}"/>
    <hyperlink ref="D17" location="源!##" display="详情" xr:uid="{00000000-0004-0000-0200-00001C000000}"/>
    <hyperlink ref="I17" location="源!##" display="详情" xr:uid="{00000000-0004-0000-0200-00001D000000}"/>
    <hyperlink ref="D18" location="源!##" display="详情" xr:uid="{00000000-0004-0000-0200-00001E000000}"/>
    <hyperlink ref="I18" location="源!##" display="详情" xr:uid="{00000000-0004-0000-0200-00001F000000}"/>
    <hyperlink ref="D19" location="源!##" display="详情" xr:uid="{00000000-0004-0000-0200-000020000000}"/>
    <hyperlink ref="I19" location="源!##" display="详情" xr:uid="{00000000-0004-0000-0200-000021000000}"/>
    <hyperlink ref="D20" location="源!##" display="详情" xr:uid="{00000000-0004-0000-0200-000022000000}"/>
    <hyperlink ref="I20" location="源!##" display="详情" xr:uid="{00000000-0004-0000-0200-000023000000}"/>
    <hyperlink ref="D21" location="源!##" display="详情" xr:uid="{00000000-0004-0000-0200-000024000000}"/>
    <hyperlink ref="I21" location="源!##" display="详情" xr:uid="{00000000-0004-0000-0200-000025000000}"/>
    <hyperlink ref="D22" location="源!##" display="详情" xr:uid="{00000000-0004-0000-0200-000026000000}"/>
    <hyperlink ref="I22" location="源!##" display="详情" xr:uid="{00000000-0004-0000-0200-000027000000}"/>
    <hyperlink ref="D23" location="源!##" display="详情" xr:uid="{00000000-0004-0000-0200-000028000000}"/>
    <hyperlink ref="I23" location="源!##" display="详情" xr:uid="{00000000-0004-0000-0200-000029000000}"/>
    <hyperlink ref="D24" location="源!##" display="详情" xr:uid="{00000000-0004-0000-0200-00002A000000}"/>
    <hyperlink ref="I24" location="源!##" display="详情" xr:uid="{00000000-0004-0000-0200-00002B000000}"/>
    <hyperlink ref="D25" location="源!##" display="详情" xr:uid="{00000000-0004-0000-0200-00002C000000}"/>
    <hyperlink ref="I25" location="源!##" display="详情" xr:uid="{00000000-0004-0000-0200-00002D000000}"/>
    <hyperlink ref="D26" location="源!##" display="详情" xr:uid="{00000000-0004-0000-0200-00002E000000}"/>
    <hyperlink ref="I26" location="源!##" display="详情" xr:uid="{00000000-0004-0000-0200-00002F000000}"/>
    <hyperlink ref="D27" location="源!##" display="详情" xr:uid="{00000000-0004-0000-0200-000030000000}"/>
    <hyperlink ref="I27" location="源!##" display="详情" xr:uid="{00000000-0004-0000-0200-000031000000}"/>
    <hyperlink ref="D28" location="源!##" display="详情" xr:uid="{00000000-0004-0000-0200-000032000000}"/>
    <hyperlink ref="I28" location="源!##" display="详情" xr:uid="{00000000-0004-0000-0200-000033000000}"/>
    <hyperlink ref="D29" location="源!##" display="详情" xr:uid="{00000000-0004-0000-0200-000034000000}"/>
    <hyperlink ref="I29" location="源!##" display="详情" xr:uid="{00000000-0004-0000-0200-000035000000}"/>
    <hyperlink ref="D30" location="源!##" display="详情" xr:uid="{00000000-0004-0000-0200-000036000000}"/>
    <hyperlink ref="I30" location="源!##" display="详情" xr:uid="{00000000-0004-0000-0200-000037000000}"/>
    <hyperlink ref="D31" location="源!##" display="详情" xr:uid="{00000000-0004-0000-0200-000038000000}"/>
    <hyperlink ref="I31" location="源!##" display="详情" xr:uid="{00000000-0004-0000-0200-000039000000}"/>
    <hyperlink ref="D32" location="源!##" display="详情" xr:uid="{00000000-0004-0000-0200-00003A000000}"/>
    <hyperlink ref="I32" location="源!##" display="详情" xr:uid="{00000000-0004-0000-0200-00003B000000}"/>
    <hyperlink ref="D33" location="源!##" display="详情" xr:uid="{00000000-0004-0000-0200-00003C000000}"/>
    <hyperlink ref="I33" location="源!##" display="详情" xr:uid="{00000000-0004-0000-0200-00003D000000}"/>
    <hyperlink ref="D34" location="源!##" display="详情" xr:uid="{00000000-0004-0000-0200-00003E000000}"/>
    <hyperlink ref="I34" location="源!##" display="详情" xr:uid="{00000000-0004-0000-0200-00003F000000}"/>
    <hyperlink ref="D35" location="源!##" display="详情" xr:uid="{00000000-0004-0000-0200-000040000000}"/>
    <hyperlink ref="I35" location="源!##" display="详情" xr:uid="{00000000-0004-0000-0200-000041000000}"/>
    <hyperlink ref="D36" location="源!##" display="详情" xr:uid="{00000000-0004-0000-0200-000042000000}"/>
    <hyperlink ref="I36" location="源!##" display="详情" xr:uid="{00000000-0004-0000-0200-000043000000}"/>
    <hyperlink ref="D37" location="源!##" display="详情" xr:uid="{00000000-0004-0000-0200-000044000000}"/>
    <hyperlink ref="I37" location="源!##" display="详情" xr:uid="{00000000-0004-0000-0200-000045000000}"/>
    <hyperlink ref="K40" r:id="rId1" tooltip="https://mobile.umeng.com/apps/eb00006c4684e34ff9d8d3b5/events/dashboard?game=true&amp;frame=0" xr:uid="{00000000-0004-0000-0200-000046000000}"/>
    <hyperlink ref="P40" r:id="rId2" tooltip="https://mobile.umeng.com/apps/eb00006c4684e34ff9d8d3b5/events/5b3de4bca40fa3572900007d?version=" xr:uid="{00000000-0004-0000-0200-000047000000}"/>
    <hyperlink ref="K41" r:id="rId3" tooltip="https://mobile.umeng.com/apps/eb00006c4684e34ff9d8d3b5/events/dashboard?game=true&amp;frame=0" xr:uid="{00000000-0004-0000-0200-000048000000}"/>
    <hyperlink ref="P41" r:id="rId4" tooltip="https://mobile.umeng.com/apps/eb00006c4684e34ff9d8d3b5/events/5b3de4bca40fa35729000065?version=" xr:uid="{00000000-0004-0000-0200-000049000000}"/>
    <hyperlink ref="K42" r:id="rId5" tooltip="https://mobile.umeng.com/apps/eb00006c4684e34ff9d8d3b5/events/dashboard?game=true&amp;frame=0" xr:uid="{00000000-0004-0000-0200-00004A000000}"/>
    <hyperlink ref="P42" r:id="rId6" tooltip="https://mobile.umeng.com/apps/eb00006c4684e34ff9d8d3b5/events/5b7e21c5f43e48055e000042?version=" xr:uid="{00000000-0004-0000-0200-00004B000000}"/>
    <hyperlink ref="K43" r:id="rId7" tooltip="https://mobile.umeng.com/apps/eb00006c4684e34ff9d8d3b5/events/dashboard?game=true&amp;frame=0" xr:uid="{00000000-0004-0000-0200-00004C000000}"/>
    <hyperlink ref="P43" r:id="rId8" tooltip="https://mobile.umeng.com/apps/eb00006c4684e34ff9d8d3b5/events/5b7e2198b27b0a7a4200001b?version=" xr:uid="{00000000-0004-0000-0200-00004D000000}"/>
    <hyperlink ref="K44" r:id="rId9" tooltip="https://mobile.umeng.com/apps/eb00006c4684e34ff9d8d3b5/events/dashboard?game=true&amp;frame=0" xr:uid="{00000000-0004-0000-0200-00004E000000}"/>
    <hyperlink ref="P44" r:id="rId10" tooltip="https://mobile.umeng.com/apps/eb00006c4684e34ff9d8d3b5/events/5b9a23a1f29d983795000100?version=" xr:uid="{00000000-0004-0000-0200-00004F000000}"/>
    <hyperlink ref="K45" r:id="rId11" tooltip="https://mobile.umeng.com/apps/eb00006c4684e34ff9d8d3b5/events/dashboard?game=true&amp;frame=0" xr:uid="{00000000-0004-0000-0200-000050000000}"/>
    <hyperlink ref="P45" r:id="rId12" tooltip="https://mobile.umeng.com/apps/eb00006c4684e34ff9d8d3b5/events/5b642551f29d98672d000163?version=" xr:uid="{00000000-0004-0000-0200-000051000000}"/>
    <hyperlink ref="O2" location="源!##" display="详情" xr:uid="{00000000-0004-0000-0200-000052000000}"/>
    <hyperlink ref="O3" location="源!##" display="详情" xr:uid="{00000000-0004-0000-0200-000053000000}"/>
    <hyperlink ref="O4" location="源!##" display="详情" xr:uid="{00000000-0004-0000-0200-000054000000}"/>
    <hyperlink ref="O5" location="源!##" display="详情" xr:uid="{00000000-0004-0000-0200-000055000000}"/>
    <hyperlink ref="O6" location="源!##" display="详情" xr:uid="{00000000-0004-0000-0200-000056000000}"/>
    <hyperlink ref="O7" location="源!##" display="详情" xr:uid="{00000000-0004-0000-0200-000057000000}"/>
    <hyperlink ref="O8" location="源!##" display="详情" xr:uid="{00000000-0004-0000-0200-000058000000}"/>
    <hyperlink ref="O9" location="源!##" display="详情" xr:uid="{00000000-0004-0000-0200-000059000000}"/>
    <hyperlink ref="O10" location="源!##" display="详情" xr:uid="{00000000-0004-0000-0200-00005A000000}"/>
    <hyperlink ref="O11" location="源!##" display="详情" xr:uid="{00000000-0004-0000-0200-00005B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0" zoomScaleNormal="80" workbookViewId="0">
      <selection activeCell="P10" sqref="P10"/>
    </sheetView>
  </sheetViews>
  <sheetFormatPr defaultColWidth="11" defaultRowHeight="15.6"/>
  <cols>
    <col min="2" max="2" width="26.6328125" customWidth="1"/>
    <col min="3" max="3" width="10.1796875" customWidth="1"/>
    <col min="4" max="4" width="4.6328125" style="6" customWidth="1"/>
    <col min="5" max="6" width="10.1796875" customWidth="1"/>
    <col min="7" max="7" width="31" customWidth="1"/>
    <col min="8" max="8" width="10.1796875" customWidth="1"/>
    <col min="9" max="9" width="5" style="6" customWidth="1"/>
    <col min="10" max="11" width="10.1796875" customWidth="1"/>
    <col min="12" max="12" width="31" customWidth="1"/>
    <col min="13" max="13" width="15.6328125" customWidth="1"/>
    <col min="15" max="15" width="8.1796875" customWidth="1"/>
    <col min="16" max="16" width="68" customWidth="1"/>
    <col min="17" max="17" width="7.1796875" customWidth="1"/>
    <col min="18" max="18" width="30.81640625" customWidth="1"/>
    <col min="19" max="19" width="10.1796875" customWidth="1"/>
    <col min="20" max="20" width="8" style="6" customWidth="1"/>
    <col min="21" max="22" width="10.1796875" customWidth="1"/>
    <col min="23" max="23" width="31" customWidth="1"/>
    <col min="24" max="24" width="10.1796875" customWidth="1"/>
    <col min="25" max="25" width="5" style="6" customWidth="1"/>
    <col min="26" max="27" width="10.1796875" customWidth="1"/>
    <col min="28" max="28" width="31" customWidth="1"/>
    <col min="31" max="31" width="8" customWidth="1"/>
    <col min="32" max="32" width="80.453125" customWidth="1"/>
  </cols>
  <sheetData>
    <row r="1" spans="1:29">
      <c r="B1" s="7">
        <v>43720</v>
      </c>
      <c r="D1" s="8">
        <v>0.05</v>
      </c>
      <c r="I1" s="8">
        <v>0.05</v>
      </c>
      <c r="Q1" s="66"/>
      <c r="R1" s="67"/>
      <c r="S1" s="66"/>
      <c r="T1" s="68"/>
      <c r="U1" s="66"/>
      <c r="V1" s="66"/>
      <c r="W1" s="66"/>
      <c r="X1" s="66"/>
      <c r="Y1" s="68"/>
      <c r="Z1" s="66"/>
      <c r="AA1" s="66"/>
      <c r="AB1" s="66"/>
      <c r="AC1" s="66"/>
    </row>
    <row r="2" spans="1:29">
      <c r="D2" s="8">
        <v>0.03</v>
      </c>
      <c r="I2" s="8">
        <v>0.03</v>
      </c>
      <c r="Q2" s="66"/>
      <c r="R2" s="66"/>
      <c r="S2" s="66"/>
      <c r="T2" s="68"/>
      <c r="U2" s="66"/>
      <c r="V2" s="66"/>
      <c r="W2" s="66"/>
      <c r="X2" s="66"/>
      <c r="Y2" s="68"/>
      <c r="Z2" s="66"/>
      <c r="AA2" s="66"/>
      <c r="AB2" s="66"/>
      <c r="AC2" s="66"/>
    </row>
    <row r="3" spans="1:29" s="1" customFormat="1">
      <c r="B3" s="307" t="s">
        <v>108</v>
      </c>
      <c r="C3" s="308"/>
      <c r="D3" s="308"/>
      <c r="E3" s="308"/>
      <c r="F3" s="308"/>
      <c r="G3" s="308"/>
      <c r="H3" s="308"/>
      <c r="I3" s="308"/>
      <c r="J3" s="308"/>
      <c r="K3" s="308"/>
      <c r="L3" s="309"/>
      <c r="M3" s="60"/>
      <c r="N3" s="61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6"/>
    </row>
    <row r="4" spans="1:29" ht="18" customHeight="1">
      <c r="B4" s="313" t="s">
        <v>109</v>
      </c>
      <c r="C4" s="310" t="s">
        <v>110</v>
      </c>
      <c r="D4" s="311"/>
      <c r="E4" s="311"/>
      <c r="F4" s="311"/>
      <c r="G4" s="312"/>
      <c r="H4" s="310" t="s">
        <v>111</v>
      </c>
      <c r="I4" s="311"/>
      <c r="J4" s="311"/>
      <c r="K4" s="311"/>
      <c r="L4" s="312"/>
      <c r="M4" s="62"/>
      <c r="Q4" s="66"/>
      <c r="R4" s="70"/>
      <c r="S4" s="71"/>
      <c r="T4" s="71"/>
      <c r="U4" s="71"/>
      <c r="V4" s="71"/>
      <c r="W4" s="71"/>
      <c r="X4" s="71"/>
      <c r="Y4" s="71"/>
      <c r="Z4" s="71"/>
      <c r="AA4" s="71"/>
      <c r="AB4" s="71"/>
      <c r="AC4" s="66"/>
    </row>
    <row r="5" spans="1:29" ht="15" hidden="1" customHeight="1">
      <c r="B5" s="314"/>
      <c r="C5" s="9">
        <f>B1</f>
        <v>43720</v>
      </c>
      <c r="D5" s="10"/>
      <c r="E5" s="10">
        <f>B1-1</f>
        <v>43719</v>
      </c>
      <c r="F5" s="10">
        <f>B1-7</f>
        <v>43713</v>
      </c>
      <c r="G5" s="41"/>
      <c r="H5" s="9">
        <f>B1</f>
        <v>43720</v>
      </c>
      <c r="I5" s="10"/>
      <c r="J5" s="10">
        <f>B1-1</f>
        <v>43719</v>
      </c>
      <c r="K5" s="10">
        <f>B1-7</f>
        <v>43713</v>
      </c>
      <c r="L5" s="41"/>
      <c r="M5" s="62"/>
      <c r="Q5" s="66"/>
      <c r="R5" s="70"/>
      <c r="S5" s="72"/>
      <c r="T5" s="72"/>
      <c r="U5" s="72"/>
      <c r="V5" s="72"/>
      <c r="W5" s="72"/>
      <c r="X5" s="72"/>
      <c r="Y5" s="72"/>
      <c r="Z5" s="72"/>
      <c r="AA5" s="72"/>
      <c r="AB5" s="72"/>
      <c r="AC5" s="66"/>
    </row>
    <row r="6" spans="1:29" s="2" customFormat="1" ht="15" customHeight="1">
      <c r="A6" s="2" t="s">
        <v>112</v>
      </c>
      <c r="B6" s="315"/>
      <c r="C6" s="11" t="s">
        <v>113</v>
      </c>
      <c r="D6" s="12" t="s">
        <v>114</v>
      </c>
      <c r="E6" s="12" t="s">
        <v>115</v>
      </c>
      <c r="F6" s="12" t="s">
        <v>116</v>
      </c>
      <c r="G6" s="42" t="s">
        <v>117</v>
      </c>
      <c r="H6" s="11" t="s">
        <v>113</v>
      </c>
      <c r="I6" s="12" t="s">
        <v>114</v>
      </c>
      <c r="J6" s="12" t="s">
        <v>115</v>
      </c>
      <c r="K6" s="12" t="s">
        <v>116</v>
      </c>
      <c r="L6" s="42" t="s">
        <v>117</v>
      </c>
      <c r="M6" s="63"/>
      <c r="Q6" s="73"/>
      <c r="R6" s="70"/>
      <c r="S6" s="74"/>
      <c r="T6" s="75"/>
      <c r="U6" s="75"/>
      <c r="V6" s="75"/>
      <c r="W6" s="87"/>
      <c r="X6" s="74"/>
      <c r="Y6" s="75"/>
      <c r="Z6" s="75"/>
      <c r="AA6" s="75"/>
      <c r="AB6" s="87"/>
      <c r="AC6" s="73"/>
    </row>
    <row r="7" spans="1:29" ht="28.05" customHeight="1">
      <c r="B7" s="13" t="s">
        <v>2</v>
      </c>
      <c r="C7" s="14">
        <f>VLOOKUP(C$5,安卓!$A:$AM,3,0)</f>
        <v>12951</v>
      </c>
      <c r="D7" s="15" t="str">
        <f>IF(C7/F7&lt;1-D$1,"↓",IF(C7/F7&gt;1+D$2,"↑","-"))</f>
        <v>↑</v>
      </c>
      <c r="E7" s="43">
        <f>VLOOKUP(E$5,安卓!$A:$AM,3,0)</f>
        <v>12095</v>
      </c>
      <c r="F7" s="43">
        <f>VLOOKUP(F$5,安卓!$A:$AM,3,0)</f>
        <v>5921</v>
      </c>
      <c r="G7" s="300"/>
      <c r="H7" s="14">
        <f>VLOOKUP(H$5,iOS!$A:$AM,3,0)</f>
        <v>6442</v>
      </c>
      <c r="I7" s="15" t="str">
        <f>IF(H7/K7&lt;1-I$1,"↓",IF(H7/K7&gt;1+I$2,"↑","-"))</f>
        <v>↓</v>
      </c>
      <c r="J7" s="43">
        <f>VLOOKUP(J$5,iOS!$A:$AM,3,0)</f>
        <v>5974</v>
      </c>
      <c r="K7" s="43">
        <f>VLOOKUP(K$5,iOS!$A:$AM,3,0)</f>
        <v>7812</v>
      </c>
      <c r="L7" s="300"/>
      <c r="M7" s="62"/>
      <c r="Q7" s="66"/>
      <c r="R7" s="76"/>
      <c r="S7" s="76"/>
      <c r="T7" s="77"/>
      <c r="U7" s="66"/>
      <c r="V7" s="66"/>
      <c r="W7" s="88"/>
      <c r="X7" s="76"/>
      <c r="Y7" s="77"/>
      <c r="Z7" s="66"/>
      <c r="AA7" s="66"/>
      <c r="AB7" s="88"/>
      <c r="AC7" s="66"/>
    </row>
    <row r="8" spans="1:29" ht="28.05" customHeight="1">
      <c r="B8" s="16" t="s">
        <v>80</v>
      </c>
      <c r="C8" s="17">
        <f>VLOOKUP(C$5,安卓!$A:$AM,4,0)</f>
        <v>47571</v>
      </c>
      <c r="D8" s="18" t="str">
        <f t="shared" ref="D8:D18" si="0">IF(C8/F8&lt;1-D$1,"↓",IF(C8/F8&gt;1+D$2,"↑","-"))</f>
        <v>↑</v>
      </c>
      <c r="E8" s="44">
        <f>VLOOKUP(E$5,安卓!$A:$AM,4,0)</f>
        <v>46484</v>
      </c>
      <c r="F8" s="44">
        <f>VLOOKUP(F$5,安卓!$A:$AM,4,0)</f>
        <v>37393</v>
      </c>
      <c r="G8" s="295"/>
      <c r="H8" s="17">
        <f>VLOOKUP(H$5,iOS!$A:$AM,4,0)</f>
        <v>39747</v>
      </c>
      <c r="I8" s="18" t="str">
        <f t="shared" ref="I8:I18" si="1">IF(H8/K8&lt;1-I$1,"↓",IF(H8/K8&gt;1+I$2,"↑","-"))</f>
        <v>↓</v>
      </c>
      <c r="J8" s="44">
        <f>VLOOKUP(J$5,iOS!$A:$AM,4,0)</f>
        <v>39969</v>
      </c>
      <c r="K8" s="44">
        <f>VLOOKUP(K$5,iOS!$A:$AM,4,0)</f>
        <v>45987</v>
      </c>
      <c r="L8" s="295"/>
      <c r="M8" s="62"/>
      <c r="Q8" s="66"/>
      <c r="R8" s="76"/>
      <c r="S8" s="76"/>
      <c r="T8" s="77"/>
      <c r="U8" s="66"/>
      <c r="V8" s="66"/>
      <c r="W8" s="88"/>
      <c r="X8" s="76"/>
      <c r="Y8" s="77"/>
      <c r="Z8" s="66"/>
      <c r="AA8" s="66"/>
      <c r="AB8" s="88"/>
      <c r="AC8" s="66"/>
    </row>
    <row r="9" spans="1:29" ht="28.05" customHeight="1">
      <c r="B9" s="19" t="s">
        <v>118</v>
      </c>
      <c r="C9" s="20">
        <f>VLOOKUP(C$5-1,安卓!$A:$AM,9,0)</f>
        <v>0.29399999999999998</v>
      </c>
      <c r="D9" s="21" t="str">
        <f t="shared" si="0"/>
        <v>↑</v>
      </c>
      <c r="E9" s="45">
        <f>VLOOKUP(E$5-1,安卓!$A:$AM,9,0)</f>
        <v>0.29499999999999998</v>
      </c>
      <c r="F9" s="45">
        <f>VLOOKUP(F$5-1,安卓!$A:$AM,9,0)</f>
        <v>0.255</v>
      </c>
      <c r="G9" s="291"/>
      <c r="H9" s="20">
        <f>VLOOKUP(H$5-1,iOS!$A:$AM,9,0)</f>
        <v>0.313</v>
      </c>
      <c r="I9" s="21" t="str">
        <f t="shared" si="1"/>
        <v>↑</v>
      </c>
      <c r="J9" s="45">
        <f>VLOOKUP(J$5-1,iOS!$A:$AM,9,0)</f>
        <v>0.317</v>
      </c>
      <c r="K9" s="45">
        <f>VLOOKUP(K$5-1,iOS!$A:$AM,9,0)</f>
        <v>0.29699999999999999</v>
      </c>
      <c r="L9" s="291"/>
      <c r="M9" s="62"/>
      <c r="Q9" s="66"/>
      <c r="R9" s="76"/>
      <c r="S9" s="78"/>
      <c r="T9" s="77"/>
      <c r="U9" s="79"/>
      <c r="V9" s="79"/>
      <c r="W9" s="89"/>
      <c r="X9" s="78"/>
      <c r="Y9" s="77"/>
      <c r="Z9" s="79"/>
      <c r="AA9" s="79"/>
      <c r="AB9" s="89"/>
      <c r="AC9" s="66"/>
    </row>
    <row r="10" spans="1:29" ht="28.05" customHeight="1">
      <c r="B10" s="22" t="s">
        <v>119</v>
      </c>
      <c r="C10" s="23">
        <f>VLOOKUP(C$5-3,安卓!$A:$AM,10,0)</f>
        <v>0.14099999999999999</v>
      </c>
      <c r="D10" s="24" t="str">
        <f t="shared" si="0"/>
        <v>↑</v>
      </c>
      <c r="E10" s="46">
        <f>VLOOKUP(E$5-3,安卓!$A:$AM,10,0)</f>
        <v>0.13</v>
      </c>
      <c r="F10" s="46">
        <f>VLOOKUP(F$5-3,安卓!$A:$AM,10,0)</f>
        <v>0.11799999999999999</v>
      </c>
      <c r="G10" s="292"/>
      <c r="H10" s="23">
        <f>VLOOKUP(H$5-3,iOS!$A:$AM,10,0)</f>
        <v>0.156</v>
      </c>
      <c r="I10" s="24" t="str">
        <f t="shared" si="1"/>
        <v>↑</v>
      </c>
      <c r="J10" s="46">
        <f>VLOOKUP(J$5-3,iOS!$A:$AM,10,0)</f>
        <v>0.14299999999999999</v>
      </c>
      <c r="K10" s="46">
        <f>VLOOKUP(K$5-3,iOS!$A:$AM,10,0)</f>
        <v>0.13700000000000001</v>
      </c>
      <c r="L10" s="301"/>
      <c r="M10" s="62"/>
      <c r="Q10" s="66"/>
      <c r="R10" s="76"/>
      <c r="S10" s="78"/>
      <c r="T10" s="77"/>
      <c r="U10" s="79"/>
      <c r="V10" s="79"/>
      <c r="W10" s="89"/>
      <c r="X10" s="78"/>
      <c r="Y10" s="77"/>
      <c r="Z10" s="79"/>
      <c r="AA10" s="79"/>
      <c r="AB10" s="89"/>
      <c r="AC10" s="66"/>
    </row>
    <row r="11" spans="1:29" ht="28.05" customHeight="1">
      <c r="B11" s="16" t="s">
        <v>120</v>
      </c>
      <c r="C11" s="25">
        <f>VLOOKUP(C$5-7,安卓!$A:$AM,11,0)</f>
        <v>7.0000000000000007E-2</v>
      </c>
      <c r="D11" s="18" t="str">
        <f t="shared" si="0"/>
        <v>-</v>
      </c>
      <c r="E11" s="47">
        <f>VLOOKUP(E$5-7,安卓!$A:$AM,11,0)</f>
        <v>6.6000000000000003E-2</v>
      </c>
      <c r="F11" s="47">
        <f>VLOOKUP(F$5-7,安卓!$A:$AM,11,0)</f>
        <v>7.0000000000000007E-2</v>
      </c>
      <c r="G11" s="293"/>
      <c r="H11" s="25">
        <f>VLOOKUP(H$5-7,iOS!$A:$AM,11,0)</f>
        <v>8.4000000000000005E-2</v>
      </c>
      <c r="I11" s="18" t="str">
        <f t="shared" si="1"/>
        <v>↑</v>
      </c>
      <c r="J11" s="47">
        <f>VLOOKUP(J$5-7,iOS!$A:$AM,11,0)</f>
        <v>7.8E-2</v>
      </c>
      <c r="K11" s="47">
        <f>VLOOKUP(K$5-7,iOS!$A:$AM,11,0)</f>
        <v>6.8000000000000005E-2</v>
      </c>
      <c r="L11" s="302"/>
      <c r="M11" s="62"/>
      <c r="Q11" s="66"/>
      <c r="R11" s="76"/>
      <c r="S11" s="78"/>
      <c r="T11" s="77"/>
      <c r="U11" s="79"/>
      <c r="V11" s="79"/>
      <c r="W11" s="89"/>
      <c r="X11" s="78"/>
      <c r="Y11" s="77"/>
      <c r="Z11" s="79"/>
      <c r="AA11" s="79"/>
      <c r="AB11" s="89"/>
      <c r="AC11" s="66"/>
    </row>
    <row r="12" spans="1:29" ht="28.05" customHeight="1">
      <c r="B12" s="19" t="s">
        <v>121</v>
      </c>
      <c r="C12" s="26">
        <f>VLOOKUP(C$5,安卓!$A:$AM,7,0)</f>
        <v>12.04</v>
      </c>
      <c r="D12" s="21" t="str">
        <f t="shared" si="0"/>
        <v>↑</v>
      </c>
      <c r="E12" s="48">
        <f>VLOOKUP(E$5,安卓!$A:$AM,7,0)</f>
        <v>13.6</v>
      </c>
      <c r="F12" s="48">
        <f>VLOOKUP(F$5,安卓!$A:$AM,7,0)</f>
        <v>9.6199999999999992</v>
      </c>
      <c r="G12" s="294"/>
      <c r="H12" s="26">
        <f>VLOOKUP(H$5,iOS!$A:$AM,7,0)</f>
        <v>12.99</v>
      </c>
      <c r="I12" s="21" t="str">
        <f t="shared" si="1"/>
        <v>↓</v>
      </c>
      <c r="J12" s="48">
        <f>VLOOKUP(J$5,iOS!$A:$AM,7,0)</f>
        <v>16.77</v>
      </c>
      <c r="K12" s="48">
        <f>VLOOKUP(K$5,iOS!$A:$AM,7,0)</f>
        <v>17.940000000000001</v>
      </c>
      <c r="L12" s="303"/>
      <c r="M12" s="62"/>
      <c r="Q12" s="66"/>
      <c r="R12" s="76"/>
      <c r="S12" s="76"/>
      <c r="T12" s="77"/>
      <c r="U12" s="66"/>
      <c r="V12" s="66"/>
      <c r="W12" s="88"/>
      <c r="X12" s="76"/>
      <c r="Y12" s="77"/>
      <c r="Z12" s="66"/>
      <c r="AA12" s="66"/>
      <c r="AB12" s="88"/>
      <c r="AC12" s="66"/>
    </row>
    <row r="13" spans="1:29" ht="28.05" customHeight="1">
      <c r="B13" s="16" t="s">
        <v>7</v>
      </c>
      <c r="C13" s="17">
        <f>VLOOKUP(C$5,安卓!$A:$AM,8,0)</f>
        <v>18.579999999999998</v>
      </c>
      <c r="D13" s="18" t="str">
        <f t="shared" si="0"/>
        <v>↑</v>
      </c>
      <c r="E13" s="44">
        <f>VLOOKUP(E$5,安卓!$A:$AM,8,0)</f>
        <v>21.75</v>
      </c>
      <c r="F13" s="44">
        <f>VLOOKUP(F$5,安卓!$A:$AM,8,0)</f>
        <v>17.309999999999999</v>
      </c>
      <c r="G13" s="295"/>
      <c r="H13" s="17">
        <f>VLOOKUP(H$5,iOS!$A:$AM,8,0)</f>
        <v>19.91</v>
      </c>
      <c r="I13" s="18" t="str">
        <f t="shared" si="1"/>
        <v>↓</v>
      </c>
      <c r="J13" s="44">
        <f>VLOOKUP(J$5,iOS!$A:$AM,8,0)</f>
        <v>25.77</v>
      </c>
      <c r="K13" s="44">
        <f>VLOOKUP(K$5,iOS!$A:$AM,8,0)</f>
        <v>26.81</v>
      </c>
      <c r="L13" s="304"/>
      <c r="M13" s="62"/>
      <c r="Q13" s="66"/>
      <c r="R13" s="76"/>
      <c r="S13" s="76"/>
      <c r="T13" s="77"/>
      <c r="U13" s="66"/>
      <c r="V13" s="66"/>
      <c r="W13" s="88"/>
      <c r="X13" s="76"/>
      <c r="Y13" s="77"/>
      <c r="Z13" s="66"/>
      <c r="AA13" s="66"/>
      <c r="AB13" s="88"/>
      <c r="AC13" s="66"/>
    </row>
    <row r="14" spans="1:29" s="3" customFormat="1" ht="28.05" customHeight="1">
      <c r="B14" s="27" t="s">
        <v>14</v>
      </c>
      <c r="C14" s="20">
        <f>VLOOKUP(C$5,安卓!$A:$AM,15,0)</f>
        <v>0.60667213218137095</v>
      </c>
      <c r="D14" s="28" t="str">
        <f t="shared" si="0"/>
        <v>↓</v>
      </c>
      <c r="E14" s="45">
        <f>VLOOKUP(E$5,安卓!$A:$AM,15,0)</f>
        <v>0.62268737630152304</v>
      </c>
      <c r="F14" s="45">
        <f>VLOOKUP(F$5,安卓!$A:$AM,15,0)</f>
        <v>0.65183323081860201</v>
      </c>
      <c r="G14" s="296"/>
      <c r="H14" s="20">
        <f>VLOOKUP(H$5,iOS!$A:$AM,15,0)</f>
        <v>0.60847359549148361</v>
      </c>
      <c r="I14" s="28" t="str">
        <f t="shared" si="1"/>
        <v>-</v>
      </c>
      <c r="J14" s="45">
        <f>VLOOKUP(J$5,iOS!$A:$AM,15,0)</f>
        <v>0.61362555980885203</v>
      </c>
      <c r="K14" s="45">
        <f>VLOOKUP(K$5,iOS!$A:$AM,15,0)</f>
        <v>0.617196164133342</v>
      </c>
      <c r="L14" s="305"/>
      <c r="M14" s="64"/>
      <c r="Q14" s="79"/>
      <c r="R14" s="78"/>
      <c r="S14" s="78"/>
      <c r="T14" s="80"/>
      <c r="U14" s="79"/>
      <c r="V14" s="79"/>
      <c r="W14" s="90"/>
      <c r="X14" s="78"/>
      <c r="Y14" s="80"/>
      <c r="Z14" s="79"/>
      <c r="AA14" s="79"/>
      <c r="AB14" s="90"/>
      <c r="AC14" s="79"/>
    </row>
    <row r="15" spans="1:29" ht="28.05" customHeight="1">
      <c r="B15" s="16" t="s">
        <v>122</v>
      </c>
      <c r="C15" s="29">
        <f>VLOOKUP(C$5,安卓!$A:$AM,25,0)</f>
        <v>8.9790418532299086</v>
      </c>
      <c r="D15" s="18" t="str">
        <f t="shared" si="0"/>
        <v>↓</v>
      </c>
      <c r="E15" s="49">
        <f>VLOOKUP(E$5,安卓!$A:$AM,25,0)</f>
        <v>9.4305567507099202</v>
      </c>
      <c r="F15" s="49">
        <f>VLOOKUP(F$5,安卓!$A:$AM,25,0)</f>
        <v>10.657609713047901</v>
      </c>
      <c r="G15" s="297"/>
      <c r="H15" s="29">
        <f>VLOOKUP(H$5,iOS!$A:$AM,25,0)</f>
        <v>9.3860417138400383</v>
      </c>
      <c r="I15" s="18" t="str">
        <f t="shared" si="1"/>
        <v>-</v>
      </c>
      <c r="J15" s="49">
        <f>VLOOKUP(J$5,iOS!$A:$AM,25,0)</f>
        <v>9.7495308864369896</v>
      </c>
      <c r="K15" s="49">
        <f>VLOOKUP(K$5,iOS!$A:$AM,25,0)</f>
        <v>9.5161023767586492</v>
      </c>
      <c r="L15" s="306"/>
      <c r="M15" s="62"/>
      <c r="Q15" s="66"/>
      <c r="R15" s="76"/>
      <c r="S15" s="81"/>
      <c r="T15" s="77"/>
      <c r="U15" s="91"/>
      <c r="V15" s="91"/>
      <c r="W15" s="92"/>
      <c r="X15" s="81"/>
      <c r="Y15" s="77"/>
      <c r="Z15" s="91"/>
      <c r="AA15" s="91"/>
      <c r="AB15" s="92"/>
      <c r="AC15" s="66"/>
    </row>
    <row r="16" spans="1:29" ht="28.05" customHeight="1">
      <c r="B16" s="22" t="s">
        <v>32</v>
      </c>
      <c r="C16" s="29">
        <f>VLOOKUP($B92,安卓!$A:$AN,40,0)</f>
        <v>6.7220000000000004</v>
      </c>
      <c r="D16" s="18" t="str">
        <f t="shared" si="0"/>
        <v>↑</v>
      </c>
      <c r="E16" s="50">
        <f>VLOOKUP($B91,安卓!$A:$AN,40,0)</f>
        <v>7.0519999999999996</v>
      </c>
      <c r="F16" s="50">
        <f>VLOOKUP($B85,安卓!$A:$AN,40,0)</f>
        <v>5.2380000000000004</v>
      </c>
      <c r="G16" s="51"/>
      <c r="H16" s="52">
        <f>VLOOKUP($B92,iOS!$A:$AN,40,0)</f>
        <v>6.7190000000000003</v>
      </c>
      <c r="I16" s="18" t="str">
        <f t="shared" si="1"/>
        <v>↑</v>
      </c>
      <c r="J16" s="50">
        <f>VLOOKUP($B91,iOS!$A:$AN,40,0)</f>
        <v>5.1029999999999998</v>
      </c>
      <c r="K16" s="50">
        <f>VLOOKUP($B85,iOS!$A:$AN,40,0)</f>
        <v>5.94</v>
      </c>
      <c r="L16" s="56"/>
      <c r="M16" s="62"/>
      <c r="Q16" s="66"/>
      <c r="R16" s="76"/>
      <c r="S16" s="81"/>
      <c r="T16" s="77"/>
      <c r="U16" s="91"/>
      <c r="V16" s="91"/>
      <c r="W16" s="92"/>
      <c r="X16" s="81"/>
      <c r="Y16" s="77"/>
      <c r="Z16" s="91"/>
      <c r="AA16" s="91"/>
      <c r="AB16" s="92"/>
      <c r="AC16" s="66"/>
    </row>
    <row r="17" spans="1:32" ht="28.05" customHeight="1">
      <c r="B17" s="19" t="s">
        <v>123</v>
      </c>
      <c r="C17" s="30">
        <f>VLOOKUP(C$5,安卓!$A:$AM,31,0)</f>
        <v>6.558617645204011E-3</v>
      </c>
      <c r="D17" s="31" t="str">
        <f t="shared" si="0"/>
        <v>↑</v>
      </c>
      <c r="E17" s="53">
        <f>VLOOKUP(E$5,安卓!$A:$AM,31,0)</f>
        <v>7.3573702779451003E-3</v>
      </c>
      <c r="F17" s="53">
        <f>VLOOKUP(F$5,安卓!$A:$AM,31,0)</f>
        <v>5.5090524964565603E-3</v>
      </c>
      <c r="G17" s="298"/>
      <c r="H17" s="30">
        <f>VLOOKUP(H$5,iOS!$A:$AM,31,0)</f>
        <v>7.1703524794324101E-3</v>
      </c>
      <c r="I17" s="31" t="str">
        <f t="shared" si="1"/>
        <v>↑</v>
      </c>
      <c r="J17" s="53">
        <f>VLOOKUP(J$5,iOS!$A:$AM,31,0)</f>
        <v>7.4057394480722596E-3</v>
      </c>
      <c r="K17" s="53">
        <f>VLOOKUP(K$5,iOS!$A:$AM,31,0)</f>
        <v>6.6757996825189698E-3</v>
      </c>
      <c r="L17" s="298"/>
      <c r="M17" s="62"/>
      <c r="Q17" s="66"/>
      <c r="R17" s="76"/>
      <c r="S17" s="82"/>
      <c r="T17" s="83"/>
      <c r="U17" s="93"/>
      <c r="V17" s="93"/>
      <c r="W17" s="94"/>
      <c r="X17" s="82"/>
      <c r="Y17" s="83"/>
      <c r="Z17" s="93"/>
      <c r="AA17" s="93"/>
      <c r="AB17" s="94"/>
      <c r="AC17" s="66"/>
    </row>
    <row r="18" spans="1:32" ht="28.05" customHeight="1">
      <c r="B18" s="32" t="s">
        <v>124</v>
      </c>
      <c r="C18" s="33">
        <f>VLOOKUP(C$5,安卓!$A:$AM,33,0)</f>
        <v>5.4457127241386565E-2</v>
      </c>
      <c r="D18" s="34" t="str">
        <f t="shared" si="0"/>
        <v>↑</v>
      </c>
      <c r="E18" s="54">
        <f>VLOOKUP(E$5,安卓!$A:$AM,33,0)</f>
        <v>6.1424791326047702E-2</v>
      </c>
      <c r="F18" s="54">
        <f>VLOOKUP(F$5,安卓!$A:$AM,33,0)</f>
        <v>4.4660230524429703E-2</v>
      </c>
      <c r="G18" s="299"/>
      <c r="H18" s="33">
        <f>VLOOKUP(H$5,iOS!$A:$AM,33,0)</f>
        <v>5.4723878531713094E-2</v>
      </c>
      <c r="I18" s="34" t="str">
        <f t="shared" si="1"/>
        <v>↓</v>
      </c>
      <c r="J18" s="54">
        <f>VLOOKUP(J$5,iOS!$A:$AM,33,0)</f>
        <v>5.8343966574094901E-2</v>
      </c>
      <c r="K18" s="54">
        <f>VLOOKUP(K$5,iOS!$A:$AM,33,0)</f>
        <v>5.8901211211864202E-2</v>
      </c>
      <c r="L18" s="299"/>
      <c r="M18" s="62"/>
      <c r="Q18" s="66"/>
      <c r="R18" s="76"/>
      <c r="S18" s="84"/>
      <c r="T18" s="77"/>
      <c r="U18" s="95"/>
      <c r="V18" s="95"/>
      <c r="W18" s="94"/>
      <c r="X18" s="84"/>
      <c r="Y18" s="77"/>
      <c r="Z18" s="95"/>
      <c r="AA18" s="95"/>
      <c r="AB18" s="94"/>
      <c r="AC18" s="66"/>
    </row>
    <row r="19" spans="1:32" s="4" customFormat="1">
      <c r="D19" s="35"/>
      <c r="I19" s="35"/>
      <c r="Q19" s="85"/>
      <c r="R19" s="85"/>
      <c r="S19" s="85"/>
      <c r="T19" s="86"/>
      <c r="U19" s="85"/>
      <c r="V19" s="85"/>
      <c r="W19" s="85"/>
      <c r="X19" s="85"/>
      <c r="Y19" s="86"/>
      <c r="Z19" s="85"/>
      <c r="AA19" s="85"/>
      <c r="AB19" s="85"/>
      <c r="AC19" s="85"/>
    </row>
    <row r="20" spans="1:32" s="5" customFormat="1" ht="14.25" customHeight="1">
      <c r="A20" s="289" t="s">
        <v>125</v>
      </c>
      <c r="B20" s="28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90" t="s">
        <v>126</v>
      </c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</row>
    <row r="21" spans="1:32" s="5" customFormat="1" ht="14.25" customHeight="1">
      <c r="A21" s="289"/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</row>
    <row r="22" spans="1:32" s="4" customFormat="1">
      <c r="A22" s="36"/>
      <c r="B22" s="36"/>
      <c r="C22" s="36"/>
      <c r="D22" s="37"/>
      <c r="E22" s="36"/>
      <c r="F22" s="36"/>
      <c r="G22" s="36"/>
      <c r="H22" s="36"/>
      <c r="I22" s="3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36"/>
      <c r="V22" s="36"/>
      <c r="W22" s="36"/>
      <c r="X22" s="36"/>
      <c r="Y22" s="37"/>
      <c r="Z22" s="36"/>
      <c r="AA22" s="36"/>
      <c r="AB22" s="36"/>
      <c r="AC22" s="36"/>
      <c r="AD22" s="36"/>
      <c r="AE22" s="36"/>
      <c r="AF22" s="36"/>
    </row>
    <row r="23" spans="1:32" s="4" customFormat="1">
      <c r="A23" s="36"/>
      <c r="B23" s="36"/>
      <c r="C23" s="36"/>
      <c r="D23" s="37"/>
      <c r="E23" s="36"/>
      <c r="F23" s="36"/>
      <c r="G23" s="36"/>
      <c r="H23" s="36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36"/>
      <c r="V23" s="36"/>
      <c r="W23" s="36"/>
      <c r="X23" s="36"/>
      <c r="Y23" s="37"/>
      <c r="Z23" s="36"/>
      <c r="AA23" s="36"/>
      <c r="AB23" s="36"/>
      <c r="AC23" s="36"/>
      <c r="AD23" s="36"/>
      <c r="AE23" s="36"/>
      <c r="AF23" s="36"/>
    </row>
    <row r="24" spans="1:32" s="4" customFormat="1">
      <c r="A24" s="36"/>
      <c r="B24" s="36"/>
      <c r="C24" s="36"/>
      <c r="D24" s="37"/>
      <c r="E24" s="36"/>
      <c r="F24" s="36"/>
      <c r="G24" s="36"/>
      <c r="H24" s="36"/>
      <c r="I24" s="3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36"/>
      <c r="V24" s="36"/>
      <c r="W24" s="36"/>
      <c r="X24" s="36"/>
      <c r="Y24" s="37"/>
      <c r="Z24" s="36"/>
      <c r="AA24" s="36"/>
      <c r="AB24" s="36"/>
      <c r="AC24" s="36"/>
      <c r="AD24" s="36"/>
      <c r="AE24" s="36"/>
      <c r="AF24" s="36"/>
    </row>
    <row r="25" spans="1:32" s="4" customFormat="1">
      <c r="A25" s="36"/>
      <c r="B25" s="36"/>
      <c r="C25" s="36"/>
      <c r="D25" s="37"/>
      <c r="E25" s="36"/>
      <c r="F25" s="36"/>
      <c r="G25" s="36"/>
      <c r="H25" s="36"/>
      <c r="I25" s="3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36"/>
      <c r="W25" s="36"/>
      <c r="X25" s="36"/>
      <c r="Y25" s="37"/>
      <c r="Z25" s="36"/>
      <c r="AA25" s="36"/>
      <c r="AB25" s="36"/>
      <c r="AC25" s="36"/>
      <c r="AD25" s="36"/>
      <c r="AE25" s="36"/>
      <c r="AF25" s="36"/>
    </row>
    <row r="26" spans="1:32" s="4" customFormat="1">
      <c r="A26" s="36"/>
      <c r="B26" s="36"/>
      <c r="C26" s="36"/>
      <c r="D26" s="37"/>
      <c r="E26" s="36"/>
      <c r="F26" s="36"/>
      <c r="G26" s="36"/>
      <c r="H26" s="36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36"/>
      <c r="V26" s="36"/>
      <c r="W26" s="36"/>
      <c r="X26" s="36"/>
      <c r="Y26" s="37"/>
      <c r="Z26" s="36"/>
      <c r="AA26" s="36"/>
      <c r="AB26" s="36"/>
      <c r="AC26" s="36"/>
      <c r="AD26" s="36"/>
      <c r="AE26" s="36"/>
      <c r="AF26" s="36"/>
    </row>
    <row r="27" spans="1:32" s="4" customFormat="1">
      <c r="A27" s="36"/>
      <c r="B27" s="36"/>
      <c r="C27" s="36"/>
      <c r="D27" s="37"/>
      <c r="E27" s="36"/>
      <c r="F27" s="36"/>
      <c r="G27" s="36"/>
      <c r="H27" s="36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6"/>
      <c r="V27" s="36"/>
      <c r="W27" s="36"/>
      <c r="X27" s="36"/>
      <c r="Y27" s="37"/>
      <c r="Z27" s="36"/>
      <c r="AA27" s="36"/>
      <c r="AB27" s="36"/>
      <c r="AC27" s="36"/>
      <c r="AD27" s="36"/>
      <c r="AE27" s="36"/>
      <c r="AF27" s="36"/>
    </row>
    <row r="28" spans="1:32" s="4" customFormat="1">
      <c r="A28" s="36"/>
      <c r="B28" s="36"/>
      <c r="C28" s="36"/>
      <c r="D28" s="37"/>
      <c r="E28" s="36"/>
      <c r="F28" s="36"/>
      <c r="G28" s="36"/>
      <c r="H28" s="36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6"/>
      <c r="AE28" s="36"/>
      <c r="AF28" s="36"/>
    </row>
    <row r="29" spans="1:32" s="4" customFormat="1">
      <c r="A29" s="36"/>
      <c r="B29" s="36"/>
      <c r="C29" s="36"/>
      <c r="D29" s="37"/>
      <c r="E29" s="36"/>
      <c r="F29" s="36"/>
      <c r="G29" s="36"/>
      <c r="H29" s="36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36"/>
      <c r="W29" s="36"/>
      <c r="X29" s="36"/>
      <c r="Y29" s="37"/>
      <c r="Z29" s="36"/>
      <c r="AA29" s="36"/>
      <c r="AB29" s="36"/>
      <c r="AC29" s="36"/>
      <c r="AD29" s="36"/>
      <c r="AE29" s="36"/>
      <c r="AF29" s="36"/>
    </row>
    <row r="30" spans="1:32" s="4" customFormat="1" ht="20.25" customHeight="1">
      <c r="A30" s="36"/>
      <c r="B30" s="36"/>
      <c r="C30" s="36"/>
      <c r="D30" s="37"/>
      <c r="E30" s="36"/>
      <c r="F30" s="36"/>
      <c r="G30" s="36"/>
      <c r="H30" s="36"/>
      <c r="I30" s="37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6"/>
      <c r="V30" s="36"/>
      <c r="W30" s="36"/>
      <c r="X30" s="36"/>
      <c r="Y30" s="37"/>
      <c r="Z30" s="36"/>
      <c r="AA30" s="36"/>
      <c r="AB30" s="36"/>
      <c r="AC30" s="36"/>
      <c r="AD30" s="36"/>
      <c r="AE30" s="36"/>
      <c r="AF30" s="36"/>
    </row>
    <row r="31" spans="1:32" s="4" customFormat="1">
      <c r="A31" s="36"/>
      <c r="B31" s="36"/>
      <c r="C31" s="36"/>
      <c r="D31" s="37"/>
      <c r="E31" s="36"/>
      <c r="F31" s="36"/>
      <c r="G31" s="36"/>
      <c r="H31" s="36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6"/>
      <c r="V31" s="36"/>
      <c r="W31" s="36"/>
      <c r="X31" s="36"/>
      <c r="Y31" s="37"/>
      <c r="Z31" s="36"/>
      <c r="AA31" s="36"/>
      <c r="AB31" s="36"/>
      <c r="AC31" s="36"/>
      <c r="AD31" s="36"/>
      <c r="AE31" s="36"/>
      <c r="AF31" s="36"/>
    </row>
    <row r="32" spans="1:32" s="4" customFormat="1">
      <c r="A32" s="36"/>
      <c r="B32" s="36"/>
      <c r="C32" s="36"/>
      <c r="D32" s="37"/>
      <c r="E32" s="36"/>
      <c r="F32" s="36"/>
      <c r="G32" s="36"/>
      <c r="H32" s="36"/>
      <c r="I32" s="3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36"/>
      <c r="V32" s="36"/>
      <c r="W32" s="36"/>
      <c r="X32" s="36"/>
      <c r="Y32" s="37"/>
      <c r="Z32" s="36"/>
      <c r="AA32" s="36"/>
      <c r="AB32" s="36"/>
      <c r="AC32" s="36"/>
      <c r="AD32" s="36"/>
      <c r="AE32" s="36"/>
      <c r="AF32" s="36"/>
    </row>
    <row r="33" spans="1:32" s="4" customFormat="1">
      <c r="A33" s="36"/>
      <c r="B33" s="36"/>
      <c r="C33" s="36"/>
      <c r="D33" s="37"/>
      <c r="E33" s="36"/>
      <c r="F33" s="36"/>
      <c r="G33" s="36"/>
      <c r="H33" s="36"/>
      <c r="I33" s="3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  <c r="U33" s="36"/>
      <c r="V33" s="36"/>
      <c r="W33" s="36"/>
      <c r="X33" s="36"/>
      <c r="Y33" s="37"/>
      <c r="Z33" s="36"/>
      <c r="AA33" s="36"/>
      <c r="AB33" s="36"/>
      <c r="AC33" s="36"/>
      <c r="AD33" s="36"/>
      <c r="AE33" s="36"/>
      <c r="AF33" s="36"/>
    </row>
    <row r="34" spans="1:32" s="4" customFormat="1">
      <c r="A34" s="36"/>
      <c r="B34" s="36"/>
      <c r="C34" s="36"/>
      <c r="D34" s="37"/>
      <c r="E34" s="36"/>
      <c r="F34" s="36"/>
      <c r="G34" s="36"/>
      <c r="H34" s="36"/>
      <c r="I34" s="37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7"/>
      <c r="Z34" s="36"/>
      <c r="AA34" s="36"/>
      <c r="AB34" s="36"/>
      <c r="AC34" s="36"/>
      <c r="AD34" s="36"/>
      <c r="AE34" s="36"/>
      <c r="AF34" s="36"/>
    </row>
    <row r="35" spans="1:32" s="4" customFormat="1">
      <c r="A35" s="36"/>
      <c r="B35" s="36"/>
      <c r="C35" s="36"/>
      <c r="D35" s="37"/>
      <c r="E35" s="36"/>
      <c r="F35" s="36"/>
      <c r="G35" s="36"/>
      <c r="H35" s="36"/>
      <c r="I35" s="37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6"/>
      <c r="V35" s="36"/>
      <c r="W35" s="36"/>
      <c r="X35" s="36"/>
      <c r="Y35" s="37"/>
      <c r="Z35" s="36"/>
      <c r="AA35" s="36"/>
      <c r="AB35" s="36"/>
      <c r="AC35" s="36"/>
      <c r="AD35" s="36"/>
      <c r="AE35" s="36"/>
      <c r="AF35" s="36"/>
    </row>
    <row r="36" spans="1:32" s="4" customFormat="1">
      <c r="A36" s="36"/>
      <c r="B36" s="36"/>
      <c r="C36" s="36"/>
      <c r="D36" s="37"/>
      <c r="E36" s="36"/>
      <c r="F36" s="36"/>
      <c r="G36" s="36"/>
      <c r="H36" s="36"/>
      <c r="I36" s="37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6"/>
      <c r="V36" s="36"/>
      <c r="W36" s="36"/>
      <c r="X36" s="36"/>
      <c r="Y36" s="37"/>
      <c r="Z36" s="36"/>
      <c r="AA36" s="36"/>
      <c r="AB36" s="36"/>
      <c r="AC36" s="36"/>
      <c r="AD36" s="36"/>
      <c r="AE36" s="36"/>
      <c r="AF36" s="36"/>
    </row>
    <row r="37" spans="1:32" s="4" customFormat="1">
      <c r="A37" s="36"/>
      <c r="B37" s="36"/>
      <c r="C37" s="36"/>
      <c r="D37" s="37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6"/>
      <c r="V37" s="36"/>
      <c r="W37" s="36"/>
      <c r="X37" s="36"/>
      <c r="Y37" s="37"/>
      <c r="Z37" s="36"/>
      <c r="AA37" s="36"/>
      <c r="AB37" s="36"/>
      <c r="AC37" s="36"/>
      <c r="AD37" s="36"/>
      <c r="AE37" s="36"/>
      <c r="AF37" s="36"/>
    </row>
    <row r="38" spans="1:32" s="4" customFormat="1">
      <c r="A38" s="36"/>
      <c r="B38" s="36"/>
      <c r="C38" s="36"/>
      <c r="D38" s="37"/>
      <c r="E38" s="36"/>
      <c r="F38" s="36"/>
      <c r="G38" s="36"/>
      <c r="H38" s="36"/>
      <c r="I38" s="3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6"/>
      <c r="V38" s="36"/>
      <c r="W38" s="36"/>
      <c r="X38" s="36"/>
      <c r="Y38" s="37"/>
      <c r="Z38" s="36"/>
      <c r="AA38" s="36"/>
      <c r="AB38" s="36"/>
      <c r="AC38" s="36"/>
      <c r="AD38" s="36"/>
      <c r="AE38" s="36"/>
      <c r="AF38" s="36"/>
    </row>
    <row r="39" spans="1:32" s="4" customFormat="1">
      <c r="A39" s="36"/>
      <c r="B39" s="36"/>
      <c r="C39" s="36"/>
      <c r="D39" s="37"/>
      <c r="E39" s="36"/>
      <c r="F39" s="36"/>
      <c r="G39" s="36"/>
      <c r="H39" s="36"/>
      <c r="I39" s="37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7"/>
      <c r="U39" s="36"/>
      <c r="V39" s="36"/>
      <c r="W39" s="36"/>
      <c r="X39" s="36"/>
      <c r="Y39" s="37"/>
      <c r="Z39" s="36"/>
      <c r="AA39" s="36"/>
      <c r="AB39" s="36"/>
      <c r="AC39" s="36"/>
      <c r="AD39" s="36"/>
      <c r="AE39" s="36"/>
      <c r="AF39" s="36"/>
    </row>
    <row r="40" spans="1:32" s="4" customFormat="1">
      <c r="A40" s="36"/>
      <c r="B40" s="36"/>
      <c r="C40" s="36"/>
      <c r="D40" s="37"/>
      <c r="E40" s="36"/>
      <c r="F40" s="36"/>
      <c r="G40" s="36"/>
      <c r="H40" s="36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6"/>
      <c r="V40" s="36"/>
      <c r="W40" s="36"/>
      <c r="X40" s="36"/>
      <c r="Y40" s="37"/>
      <c r="Z40" s="36"/>
      <c r="AA40" s="36"/>
      <c r="AB40" s="36"/>
      <c r="AC40" s="36"/>
      <c r="AD40" s="36"/>
      <c r="AE40" s="36"/>
      <c r="AF40" s="36"/>
    </row>
    <row r="41" spans="1:32" s="4" customFormat="1">
      <c r="A41" s="36"/>
      <c r="B41" s="36"/>
      <c r="C41" s="36"/>
      <c r="D41" s="37"/>
      <c r="E41" s="36"/>
      <c r="F41" s="36"/>
      <c r="G41" s="36"/>
      <c r="H41" s="36"/>
      <c r="I41" s="37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6"/>
      <c r="V41" s="36"/>
      <c r="W41" s="36"/>
      <c r="X41" s="36"/>
      <c r="Y41" s="37"/>
      <c r="Z41" s="36"/>
      <c r="AA41" s="36"/>
      <c r="AB41" s="36"/>
      <c r="AC41" s="36"/>
      <c r="AD41" s="36"/>
      <c r="AE41" s="36"/>
      <c r="AF41" s="36"/>
    </row>
    <row r="42" spans="1:32" s="4" customFormat="1">
      <c r="A42" s="36"/>
      <c r="B42" s="36"/>
      <c r="C42" s="36"/>
      <c r="D42" s="37"/>
      <c r="E42" s="36"/>
      <c r="F42" s="36"/>
      <c r="G42" s="36"/>
      <c r="H42" s="36"/>
      <c r="I42" s="37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7"/>
      <c r="U42" s="36"/>
      <c r="V42" s="36"/>
      <c r="W42" s="36"/>
      <c r="X42" s="36"/>
      <c r="Y42" s="37"/>
      <c r="Z42" s="36"/>
      <c r="AA42" s="36"/>
      <c r="AB42" s="36"/>
      <c r="AC42" s="36"/>
      <c r="AD42" s="36"/>
      <c r="AE42" s="36"/>
      <c r="AF42" s="36"/>
    </row>
    <row r="43" spans="1:32" s="4" customFormat="1">
      <c r="A43" s="36"/>
      <c r="B43" s="36"/>
      <c r="C43" s="36"/>
      <c r="D43" s="37"/>
      <c r="E43" s="36"/>
      <c r="F43" s="36"/>
      <c r="G43" s="36"/>
      <c r="H43" s="36"/>
      <c r="I43" s="37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7"/>
      <c r="U43" s="36"/>
      <c r="V43" s="36"/>
      <c r="W43" s="36"/>
      <c r="X43" s="36"/>
      <c r="Y43" s="37"/>
      <c r="Z43" s="36"/>
      <c r="AA43" s="36"/>
      <c r="AB43" s="36"/>
      <c r="AC43" s="36"/>
      <c r="AD43" s="36"/>
      <c r="AE43" s="36"/>
      <c r="AF43" s="36"/>
    </row>
    <row r="44" spans="1:32" s="4" customFormat="1">
      <c r="A44" s="36"/>
      <c r="B44" s="36"/>
      <c r="C44" s="36"/>
      <c r="D44" s="37"/>
      <c r="E44" s="36"/>
      <c r="F44" s="36"/>
      <c r="G44" s="36"/>
      <c r="H44" s="36"/>
      <c r="I44" s="37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  <c r="U44" s="36"/>
      <c r="V44" s="36"/>
      <c r="W44" s="36"/>
      <c r="X44" s="36"/>
      <c r="Y44" s="37"/>
      <c r="Z44" s="36"/>
      <c r="AA44" s="36"/>
      <c r="AB44" s="36"/>
      <c r="AC44" s="36"/>
      <c r="AD44" s="36"/>
      <c r="AE44" s="36"/>
      <c r="AF44" s="36"/>
    </row>
    <row r="45" spans="1:32" s="4" customFormat="1">
      <c r="A45" s="36"/>
      <c r="B45" s="36"/>
      <c r="C45" s="36"/>
      <c r="D45" s="37"/>
      <c r="E45" s="36"/>
      <c r="F45" s="36"/>
      <c r="G45" s="36"/>
      <c r="H45" s="36"/>
      <c r="I45" s="37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7"/>
      <c r="U45" s="36"/>
      <c r="V45" s="36"/>
      <c r="W45" s="36"/>
      <c r="X45" s="36"/>
      <c r="Y45" s="37"/>
      <c r="Z45" s="36"/>
      <c r="AA45" s="36"/>
      <c r="AB45" s="36"/>
      <c r="AC45" s="36"/>
      <c r="AD45" s="36"/>
      <c r="AE45" s="36"/>
      <c r="AF45" s="36"/>
    </row>
    <row r="46" spans="1:32" s="4" customFormat="1">
      <c r="A46" s="36"/>
      <c r="B46" s="36"/>
      <c r="C46" s="36"/>
      <c r="D46" s="37"/>
      <c r="E46" s="36"/>
      <c r="F46" s="36"/>
      <c r="G46" s="36"/>
      <c r="H46" s="36"/>
      <c r="I46" s="37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  <c r="U46" s="36"/>
      <c r="V46" s="36"/>
      <c r="W46" s="36"/>
      <c r="X46" s="36"/>
      <c r="Y46" s="37"/>
      <c r="Z46" s="36"/>
      <c r="AA46" s="36"/>
      <c r="AB46" s="36"/>
      <c r="AC46" s="36"/>
      <c r="AD46" s="36"/>
      <c r="AE46" s="36"/>
      <c r="AF46" s="36"/>
    </row>
    <row r="47" spans="1:32" s="4" customFormat="1">
      <c r="A47" s="36"/>
      <c r="B47" s="36"/>
      <c r="C47" s="36"/>
      <c r="D47" s="37"/>
      <c r="E47" s="36"/>
      <c r="F47" s="36"/>
      <c r="G47" s="36"/>
      <c r="H47" s="36"/>
      <c r="I47" s="3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7"/>
      <c r="U47" s="36"/>
      <c r="V47" s="36"/>
      <c r="W47" s="36"/>
      <c r="X47" s="36"/>
      <c r="Y47" s="37"/>
      <c r="Z47" s="36"/>
      <c r="AA47" s="36"/>
      <c r="AB47" s="36"/>
      <c r="AC47" s="36"/>
      <c r="AD47" s="36"/>
      <c r="AE47" s="36"/>
      <c r="AF47" s="36"/>
    </row>
    <row r="48" spans="1:32" s="4" customFormat="1">
      <c r="A48" s="36"/>
      <c r="B48" s="36"/>
      <c r="C48" s="36"/>
      <c r="D48" s="37"/>
      <c r="E48" s="36"/>
      <c r="F48" s="36"/>
      <c r="G48" s="36"/>
      <c r="H48" s="36"/>
      <c r="I48" s="37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7"/>
      <c r="U48" s="36"/>
      <c r="V48" s="36"/>
      <c r="W48" s="36"/>
      <c r="X48" s="36"/>
      <c r="Y48" s="37"/>
      <c r="Z48" s="36"/>
      <c r="AA48" s="36"/>
      <c r="AB48" s="36"/>
      <c r="AC48" s="36"/>
      <c r="AD48" s="36"/>
      <c r="AE48" s="36"/>
      <c r="AF48" s="36"/>
    </row>
    <row r="49" spans="1:32" s="4" customFormat="1">
      <c r="A49" s="36"/>
      <c r="B49" s="36"/>
      <c r="C49" s="36"/>
      <c r="D49" s="37"/>
      <c r="E49" s="36"/>
      <c r="F49" s="36"/>
      <c r="G49" s="36"/>
      <c r="H49" s="36"/>
      <c r="I49" s="3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7"/>
      <c r="U49" s="36"/>
      <c r="V49" s="36"/>
      <c r="W49" s="36"/>
      <c r="X49" s="36"/>
      <c r="Y49" s="37"/>
      <c r="Z49" s="36"/>
      <c r="AA49" s="36"/>
      <c r="AB49" s="36"/>
      <c r="AC49" s="36"/>
      <c r="AD49" s="36"/>
      <c r="AE49" s="36"/>
      <c r="AF49" s="36"/>
    </row>
    <row r="50" spans="1:32" s="4" customFormat="1">
      <c r="A50" s="36"/>
      <c r="B50" s="36"/>
      <c r="C50" s="36"/>
      <c r="D50" s="37"/>
      <c r="E50" s="36"/>
      <c r="F50" s="36"/>
      <c r="G50" s="36"/>
      <c r="H50" s="36"/>
      <c r="I50" s="37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7"/>
      <c r="U50" s="36"/>
      <c r="V50" s="36"/>
      <c r="W50" s="36"/>
      <c r="X50" s="36"/>
      <c r="Y50" s="37"/>
      <c r="Z50" s="36"/>
      <c r="AA50" s="36"/>
      <c r="AB50" s="36"/>
      <c r="AC50" s="36"/>
      <c r="AD50" s="36"/>
      <c r="AE50" s="36"/>
      <c r="AF50" s="36"/>
    </row>
    <row r="53" spans="1:32">
      <c r="B53" s="38" t="s">
        <v>0</v>
      </c>
      <c r="C53" t="s">
        <v>2</v>
      </c>
      <c r="D53" s="6" t="s">
        <v>80</v>
      </c>
      <c r="E53" t="s">
        <v>127</v>
      </c>
      <c r="F53" t="s">
        <v>128</v>
      </c>
      <c r="G53" t="s">
        <v>129</v>
      </c>
      <c r="H53" t="s">
        <v>121</v>
      </c>
      <c r="I53" s="6" t="s">
        <v>7</v>
      </c>
      <c r="J53" t="s">
        <v>122</v>
      </c>
      <c r="K53" t="s">
        <v>123</v>
      </c>
      <c r="L53" t="s">
        <v>124</v>
      </c>
      <c r="M53" s="22" t="s">
        <v>32</v>
      </c>
      <c r="R53" s="38" t="s">
        <v>0</v>
      </c>
      <c r="S53" t="s">
        <v>2</v>
      </c>
      <c r="T53" s="6" t="s">
        <v>80</v>
      </c>
      <c r="U53" t="s">
        <v>127</v>
      </c>
      <c r="V53" t="s">
        <v>128</v>
      </c>
      <c r="W53" t="s">
        <v>129</v>
      </c>
      <c r="X53" t="s">
        <v>121</v>
      </c>
      <c r="Y53" s="6" t="s">
        <v>7</v>
      </c>
      <c r="Z53" t="s">
        <v>122</v>
      </c>
      <c r="AA53" t="s">
        <v>123</v>
      </c>
      <c r="AB53" t="s">
        <v>124</v>
      </c>
      <c r="AC53" t="s">
        <v>32</v>
      </c>
    </row>
    <row r="54" spans="1:32">
      <c r="B54" s="39">
        <f>$B$1-40</f>
        <v>43680</v>
      </c>
      <c r="C54" s="40">
        <f>VLOOKUP($B54,安卓!$A:$AM,3,0)</f>
        <v>7896</v>
      </c>
      <c r="D54" s="40">
        <f>VLOOKUP($B54,安卓!$A:$AM,4,0)</f>
        <v>44907</v>
      </c>
      <c r="E54" s="55">
        <f>VLOOKUP($B54,安卓!$A:$AM,9,0)</f>
        <v>0.25600000000000001</v>
      </c>
      <c r="F54" s="55">
        <f>VLOOKUP($B54,安卓!$A:$AM,10,0)</f>
        <v>0.125</v>
      </c>
      <c r="G54" s="55">
        <f>VLOOKUP($B54,安卓!$A:$AM,11,0)</f>
        <v>6.6000000000000003E-2</v>
      </c>
      <c r="H54" s="40">
        <f>VLOOKUP($B54,安卓!$A:$AM,7,0)</f>
        <v>7.3</v>
      </c>
      <c r="I54" s="40">
        <f>VLOOKUP($B54,安卓!$A:$AM,8,0)</f>
        <v>11.25</v>
      </c>
      <c r="J54" s="57">
        <f>VLOOKUP($B54,安卓!$A:$AM,25,0)</f>
        <v>15.9668648540317</v>
      </c>
      <c r="K54" s="58">
        <f>VLOOKUP($B54,安卓!$A:$AM,31,0)</f>
        <v>9.9761729797136298E-3</v>
      </c>
      <c r="L54" s="59">
        <f>VLOOKUP($B54,安卓!$A:$AM,33,0)</f>
        <v>0.13400427550270599</v>
      </c>
      <c r="M54" s="65">
        <f>VLOOKUP($B54,安卓!$A:$AN,40,0)</f>
        <v>5.7850000000000001</v>
      </c>
      <c r="R54" s="39">
        <f>$B$1-40</f>
        <v>43680</v>
      </c>
      <c r="S54" s="40">
        <f>VLOOKUP($B54,iOS!$A:$AM,3,0)</f>
        <v>10929</v>
      </c>
      <c r="T54" s="40">
        <f>VLOOKUP($B54,iOS!$A:$AM,4,0)</f>
        <v>50578</v>
      </c>
      <c r="U54" s="55">
        <f>VLOOKUP($B54,iOS!$A:$AM,9,0)</f>
        <v>0.30399999999999999</v>
      </c>
      <c r="V54" s="55">
        <f>VLOOKUP($B54,iOS!$A:$AM,10,0)</f>
        <v>0.14599999999999999</v>
      </c>
      <c r="W54" s="55">
        <f>VLOOKUP($B54,iOS!$A:$AM,11,0)</f>
        <v>8.3000000000000004E-2</v>
      </c>
      <c r="X54" s="40">
        <f>VLOOKUP($B54,iOS!$A:$AM,7,0)</f>
        <v>12.79</v>
      </c>
      <c r="Y54" s="40">
        <f>VLOOKUP($B54,iOS!$A:$AM,8,0)</f>
        <v>19.43</v>
      </c>
      <c r="Z54" s="57">
        <f>VLOOKUP($B54,iOS!$A:$AM,25,0)</f>
        <v>13.0608762703152</v>
      </c>
      <c r="AA54" s="58">
        <f>VLOOKUP($B54,iOS!$A:$AM,31,0)</f>
        <v>9.0750919372059001E-3</v>
      </c>
      <c r="AB54" s="59">
        <f>VLOOKUP($B54,iOS!$A:$AM,33,0)</f>
        <v>0.11364269049784501</v>
      </c>
      <c r="AC54" s="59">
        <f>VLOOKUP($B54,iOS!$A:$AN,40,0)</f>
        <v>6.1390000000000002</v>
      </c>
    </row>
    <row r="55" spans="1:32">
      <c r="B55" s="39">
        <f>B54+1</f>
        <v>43681</v>
      </c>
      <c r="C55" s="40">
        <f>VLOOKUP($B55,安卓!$A:$AM,3,0)</f>
        <v>7272</v>
      </c>
      <c r="D55" s="40">
        <f>VLOOKUP($B55,安卓!$A:$AM,4,0)</f>
        <v>44022</v>
      </c>
      <c r="E55" s="55">
        <f>VLOOKUP($B55,安卓!$A:$AM,9,0)</f>
        <v>0.26600000000000001</v>
      </c>
      <c r="F55" s="55">
        <f>VLOOKUP($B55,安卓!$A:$AM,10,0)</f>
        <v>0.13200000000000001</v>
      </c>
      <c r="G55" s="55">
        <f>VLOOKUP($B55,安卓!$A:$AM,11,0)</f>
        <v>7.6999999999999999E-2</v>
      </c>
      <c r="H55" s="40">
        <f>VLOOKUP($B55,安卓!$A:$AM,7,0)</f>
        <v>7.41</v>
      </c>
      <c r="I55" s="40">
        <f>VLOOKUP($B55,安卓!$A:$AM,8,0)</f>
        <v>11.46</v>
      </c>
      <c r="J55" s="57">
        <f>VLOOKUP($B55,安卓!$A:$AM,25,0)</f>
        <v>15.251328881014</v>
      </c>
      <c r="K55" s="58">
        <f>VLOOKUP($B55,安卓!$A:$AM,31,0)</f>
        <v>9.4498205442733203E-3</v>
      </c>
      <c r="L55" s="59">
        <f>VLOOKUP($B55,安卓!$A:$AM,33,0)</f>
        <v>0.103813093453273</v>
      </c>
      <c r="M55" s="65">
        <f>VLOOKUP($B55,安卓!$A:$AN,40,0)</f>
        <v>5.4509999999999996</v>
      </c>
      <c r="R55" s="39">
        <f>R54+1</f>
        <v>43681</v>
      </c>
      <c r="S55" s="40">
        <f>VLOOKUP($B55,iOS!$A:$AM,3,0)</f>
        <v>14462</v>
      </c>
      <c r="T55" s="40">
        <f>VLOOKUP($B55,iOS!$A:$AM,4,0)</f>
        <v>54228</v>
      </c>
      <c r="U55" s="55">
        <f>VLOOKUP($B55,iOS!$A:$AM,9,0)</f>
        <v>0.32400000000000001</v>
      </c>
      <c r="V55" s="55">
        <f>VLOOKUP($B55,iOS!$A:$AM,10,0)</f>
        <v>0.158</v>
      </c>
      <c r="W55" s="55">
        <f>VLOOKUP($B55,iOS!$A:$AM,11,0)</f>
        <v>8.3000000000000004E-2</v>
      </c>
      <c r="X55" s="40">
        <f>VLOOKUP($B55,iOS!$A:$AM,7,0)</f>
        <v>13.55</v>
      </c>
      <c r="Y55" s="40">
        <f>VLOOKUP($B55,iOS!$A:$AM,8,0)</f>
        <v>20.12</v>
      </c>
      <c r="Z55" s="57">
        <f>VLOOKUP($B55,iOS!$A:$AM,25,0)</f>
        <v>12.098841926679899</v>
      </c>
      <c r="AA55" s="58">
        <f>VLOOKUP($B55,iOS!$A:$AM,31,0)</f>
        <v>8.2798554252415703E-3</v>
      </c>
      <c r="AB55" s="59">
        <f>VLOOKUP($B55,iOS!$A:$AM,33,0)</f>
        <v>0.11102954193405599</v>
      </c>
      <c r="AC55" s="59">
        <f>VLOOKUP($B55,iOS!$A:$AN,40,0)</f>
        <v>6.5049999999999999</v>
      </c>
    </row>
    <row r="56" spans="1:32">
      <c r="B56" s="39">
        <f t="shared" ref="B56:B94" si="2">B55+1</f>
        <v>43682</v>
      </c>
      <c r="C56" s="40">
        <f>VLOOKUP($B56,安卓!$A:$AM,3,0)</f>
        <v>7540</v>
      </c>
      <c r="D56" s="40">
        <f>VLOOKUP($B56,安卓!$A:$AM,4,0)</f>
        <v>45205</v>
      </c>
      <c r="E56" s="55">
        <f>VLOOKUP($B56,安卓!$A:$AM,9,0)</f>
        <v>0.28599999999999998</v>
      </c>
      <c r="F56" s="55">
        <f>VLOOKUP($B56,安卓!$A:$AM,10,0)</f>
        <v>0.13600000000000001</v>
      </c>
      <c r="G56" s="55">
        <f>VLOOKUP($B56,安卓!$A:$AM,11,0)</f>
        <v>7.8E-2</v>
      </c>
      <c r="H56" s="40">
        <f>VLOOKUP($B56,安卓!$A:$AM,7,0)</f>
        <v>7.59</v>
      </c>
      <c r="I56" s="40">
        <f>VLOOKUP($B56,安卓!$A:$AM,8,0)</f>
        <v>11.42</v>
      </c>
      <c r="J56" s="57">
        <f>VLOOKUP($B56,安卓!$A:$AM,25,0)</f>
        <v>14.4005751576153</v>
      </c>
      <c r="K56" s="58">
        <f>VLOOKUP($B56,安卓!$A:$AM,31,0)</f>
        <v>8.2955425284813606E-3</v>
      </c>
      <c r="L56" s="59">
        <f>VLOOKUP($B56,安卓!$A:$AM,33,0)</f>
        <v>7.9267558898351895E-2</v>
      </c>
      <c r="M56" s="65">
        <f>VLOOKUP($B56,安卓!$A:$AN,40,0)</f>
        <v>4.827</v>
      </c>
      <c r="R56" s="39">
        <f t="shared" ref="R56:R94" si="3">R55+1</f>
        <v>43682</v>
      </c>
      <c r="S56" s="40">
        <f>VLOOKUP($B56,iOS!$A:$AM,3,0)</f>
        <v>20929</v>
      </c>
      <c r="T56" s="40">
        <f>VLOOKUP($B56,iOS!$A:$AM,4,0)</f>
        <v>63696</v>
      </c>
      <c r="U56" s="55">
        <f>VLOOKUP($B56,iOS!$A:$AM,9,0)</f>
        <v>0.32700000000000001</v>
      </c>
      <c r="V56" s="55">
        <f>VLOOKUP($B56,iOS!$A:$AM,10,0)</f>
        <v>0.16500000000000001</v>
      </c>
      <c r="W56" s="55">
        <f>VLOOKUP($B56,iOS!$A:$AM,11,0)</f>
        <v>8.6999999999999994E-2</v>
      </c>
      <c r="X56" s="40">
        <f>VLOOKUP($B56,iOS!$A:$AM,7,0)</f>
        <v>13.74</v>
      </c>
      <c r="Y56" s="40">
        <f>VLOOKUP($B56,iOS!$A:$AM,8,0)</f>
        <v>20.64</v>
      </c>
      <c r="Z56" s="57">
        <f>VLOOKUP($B56,iOS!$A:$AM,25,0)</f>
        <v>11.1871075106757</v>
      </c>
      <c r="AA56" s="58">
        <f>VLOOKUP($B56,iOS!$A:$AM,31,0)</f>
        <v>7.5200954534036697E-3</v>
      </c>
      <c r="AB56" s="59">
        <f>VLOOKUP($B56,iOS!$A:$AM,33,0)</f>
        <v>8.6662898769153507E-2</v>
      </c>
      <c r="AC56" s="59">
        <f>VLOOKUP($B56,iOS!$A:$AN,40,0)</f>
        <v>6.2859999999999996</v>
      </c>
    </row>
    <row r="57" spans="1:32">
      <c r="B57" s="39">
        <f t="shared" si="2"/>
        <v>43683</v>
      </c>
      <c r="C57" s="40">
        <f>VLOOKUP($B57,安卓!$A:$AM,3,0)</f>
        <v>8769</v>
      </c>
      <c r="D57" s="40">
        <f>VLOOKUP($B57,安卓!$A:$AM,4,0)</f>
        <v>45574</v>
      </c>
      <c r="E57" s="55">
        <f>VLOOKUP($B57,安卓!$A:$AM,9,0)</f>
        <v>0.28499999999999998</v>
      </c>
      <c r="F57" s="55">
        <f>VLOOKUP($B57,安卓!$A:$AM,10,0)</f>
        <v>0.13600000000000001</v>
      </c>
      <c r="G57" s="55">
        <f>VLOOKUP($B57,安卓!$A:$AM,11,0)</f>
        <v>7.3999999999999996E-2</v>
      </c>
      <c r="H57" s="40">
        <f>VLOOKUP($B57,安卓!$A:$AM,7,0)</f>
        <v>8.43</v>
      </c>
      <c r="I57" s="40">
        <f>VLOOKUP($B57,安卓!$A:$AM,8,0)</f>
        <v>12.17</v>
      </c>
      <c r="J57" s="57">
        <f>VLOOKUP($B57,安卓!$A:$AM,25,0)</f>
        <v>12.877847018036601</v>
      </c>
      <c r="K57" s="58">
        <f>VLOOKUP($B57,安卓!$A:$AM,31,0)</f>
        <v>8.22837582832317E-3</v>
      </c>
      <c r="L57" s="59">
        <f>VLOOKUP($B57,安卓!$A:$AM,33,0)</f>
        <v>7.3294202834949695E-2</v>
      </c>
      <c r="M57" s="65">
        <f>VLOOKUP($B57,安卓!$A:$AN,40,0)</f>
        <v>4.7789999999999999</v>
      </c>
      <c r="R57" s="39">
        <f t="shared" si="3"/>
        <v>43683</v>
      </c>
      <c r="S57" s="40">
        <f>VLOOKUP($B57,iOS!$A:$AM,3,0)</f>
        <v>24240</v>
      </c>
      <c r="T57" s="40">
        <f>VLOOKUP($B57,iOS!$A:$AM,4,0)</f>
        <v>69565</v>
      </c>
      <c r="U57" s="55">
        <f>VLOOKUP($B57,iOS!$A:$AM,9,0)</f>
        <v>0.33300000000000002</v>
      </c>
      <c r="V57" s="55">
        <f>VLOOKUP($B57,iOS!$A:$AM,10,0)</f>
        <v>0.16600000000000001</v>
      </c>
      <c r="W57" s="55">
        <f>VLOOKUP($B57,iOS!$A:$AM,11,0)</f>
        <v>8.8999999999999996E-2</v>
      </c>
      <c r="X57" s="40">
        <f>VLOOKUP($B57,iOS!$A:$AM,7,0)</f>
        <v>15.35</v>
      </c>
      <c r="Y57" s="40">
        <f>VLOOKUP($B57,iOS!$A:$AM,8,0)</f>
        <v>22.4</v>
      </c>
      <c r="Z57" s="57">
        <f>VLOOKUP($B57,iOS!$A:$AM,25,0)</f>
        <v>10.1601667505211</v>
      </c>
      <c r="AA57" s="58">
        <f>VLOOKUP($B57,iOS!$A:$AM,31,0)</f>
        <v>6.3393948106087797E-3</v>
      </c>
      <c r="AB57" s="59">
        <f>VLOOKUP($B57,iOS!$A:$AM,33,0)</f>
        <v>7.1391073097103394E-2</v>
      </c>
      <c r="AC57" s="59">
        <f>VLOOKUP($B57,iOS!$A:$AN,40,0)</f>
        <v>5.9</v>
      </c>
    </row>
    <row r="58" spans="1:32">
      <c r="B58" s="39">
        <f t="shared" si="2"/>
        <v>43684</v>
      </c>
      <c r="C58" s="40">
        <f>VLOOKUP($B58,安卓!$A:$AM,3,0)</f>
        <v>11199</v>
      </c>
      <c r="D58" s="40">
        <f>VLOOKUP($B58,安卓!$A:$AM,4,0)</f>
        <v>46930</v>
      </c>
      <c r="E58" s="55">
        <f>VLOOKUP($B58,安卓!$A:$AM,9,0)</f>
        <v>0.27400000000000002</v>
      </c>
      <c r="F58" s="55">
        <f>VLOOKUP($B58,安卓!$A:$AM,10,0)</f>
        <v>0.121</v>
      </c>
      <c r="G58" s="55">
        <f>VLOOKUP($B58,安卓!$A:$AM,11,0)</f>
        <v>7.0999999999999994E-2</v>
      </c>
      <c r="H58" s="40">
        <f>VLOOKUP($B58,安卓!$A:$AM,7,0)</f>
        <v>8.83</v>
      </c>
      <c r="I58" s="40">
        <f>VLOOKUP($B58,安卓!$A:$AM,8,0)</f>
        <v>13.42</v>
      </c>
      <c r="J58" s="57">
        <f>VLOOKUP($B58,安卓!$A:$AM,25,0)</f>
        <v>10.4046025996164</v>
      </c>
      <c r="K58" s="58">
        <f>VLOOKUP($B58,安卓!$A:$AM,31,0)</f>
        <v>6.4351161304069902E-3</v>
      </c>
      <c r="L58" s="59">
        <f>VLOOKUP($B58,安卓!$A:$AM,33,0)</f>
        <v>5.2624547197954397E-2</v>
      </c>
      <c r="M58" s="65">
        <f>VLOOKUP($B58,安卓!$A:$AN,40,0)</f>
        <v>4.7619999999999996</v>
      </c>
      <c r="R58" s="39">
        <f t="shared" si="3"/>
        <v>43684</v>
      </c>
      <c r="S58" s="40">
        <f>VLOOKUP($B58,iOS!$A:$AM,3,0)</f>
        <v>19565</v>
      </c>
      <c r="T58" s="40">
        <f>VLOOKUP($B58,iOS!$A:$AM,4,0)</f>
        <v>67040</v>
      </c>
      <c r="U58" s="55">
        <f>VLOOKUP($B58,iOS!$A:$AM,9,0)</f>
        <v>0.32200000000000001</v>
      </c>
      <c r="V58" s="55">
        <f>VLOOKUP($B58,iOS!$A:$AM,10,0)</f>
        <v>0.161</v>
      </c>
      <c r="W58" s="55">
        <f>VLOOKUP($B58,iOS!$A:$AM,11,0)</f>
        <v>8.4000000000000005E-2</v>
      </c>
      <c r="X58" s="40">
        <f>VLOOKUP($B58,iOS!$A:$AM,7,0)</f>
        <v>15.91</v>
      </c>
      <c r="Y58" s="40">
        <f>VLOOKUP($B58,iOS!$A:$AM,8,0)</f>
        <v>24.53</v>
      </c>
      <c r="Z58" s="57">
        <f>VLOOKUP($B58,iOS!$A:$AM,25,0)</f>
        <v>9.53013126491647</v>
      </c>
      <c r="AA58" s="58">
        <f>VLOOKUP($B58,iOS!$A:$AM,31,0)</f>
        <v>6.2798329355608596E-3</v>
      </c>
      <c r="AB58" s="59">
        <f>VLOOKUP($B58,iOS!$A:$AM,33,0)</f>
        <v>5.68908114558472E-2</v>
      </c>
      <c r="AC58" s="59">
        <f>VLOOKUP($B58,iOS!$A:$AN,40,0)</f>
        <v>5.4740000000000002</v>
      </c>
    </row>
    <row r="59" spans="1:32">
      <c r="B59" s="39">
        <f t="shared" si="2"/>
        <v>43685</v>
      </c>
      <c r="C59" s="40">
        <f>VLOOKUP($B59,安卓!$A:$AM,3,0)</f>
        <v>11547</v>
      </c>
      <c r="D59" s="40">
        <f>VLOOKUP($B59,安卓!$A:$AM,4,0)</f>
        <v>47384</v>
      </c>
      <c r="E59" s="55">
        <f>VLOOKUP($B59,安卓!$A:$AM,9,0)</f>
        <v>0.26600000000000001</v>
      </c>
      <c r="F59" s="55">
        <f>VLOOKUP($B59,安卓!$A:$AM,10,0)</f>
        <v>0.124</v>
      </c>
      <c r="G59" s="55">
        <f>VLOOKUP($B59,安卓!$A:$AM,11,0)</f>
        <v>6.3E-2</v>
      </c>
      <c r="H59" s="40">
        <f>VLOOKUP($B59,安卓!$A:$AM,7,0)</f>
        <v>9.8000000000000007</v>
      </c>
      <c r="I59" s="40">
        <f>VLOOKUP($B59,安卓!$A:$AM,8,0)</f>
        <v>14.97</v>
      </c>
      <c r="J59" s="57">
        <f>VLOOKUP($B59,安卓!$A:$AM,25,0)</f>
        <v>10.0423560695593</v>
      </c>
      <c r="K59" s="58">
        <f>VLOOKUP($B59,安卓!$A:$AM,31,0)</f>
        <v>6.50008441668074E-3</v>
      </c>
      <c r="L59" s="59">
        <f>VLOOKUP($B59,安卓!$A:$AM,33,0)</f>
        <v>4.4778406213067702E-2</v>
      </c>
      <c r="M59" s="65">
        <f>VLOOKUP($B59,安卓!$A:$AN,40,0)</f>
        <v>4.742</v>
      </c>
      <c r="R59" s="39">
        <f t="shared" si="3"/>
        <v>43685</v>
      </c>
      <c r="S59" s="40">
        <f>VLOOKUP($B59,iOS!$A:$AM,3,0)</f>
        <v>24138</v>
      </c>
      <c r="T59" s="40">
        <f>VLOOKUP($B59,iOS!$A:$AM,4,0)</f>
        <v>71749</v>
      </c>
      <c r="U59" s="55">
        <f>VLOOKUP($B59,iOS!$A:$AM,9,0)</f>
        <v>0.314</v>
      </c>
      <c r="V59" s="55">
        <f>VLOOKUP($B59,iOS!$A:$AM,10,0)</f>
        <v>0.153</v>
      </c>
      <c r="W59" s="55">
        <f>VLOOKUP($B59,iOS!$A:$AM,11,0)</f>
        <v>7.4999999999999997E-2</v>
      </c>
      <c r="X59" s="40">
        <f>VLOOKUP($B59,iOS!$A:$AM,7,0)</f>
        <v>15.75</v>
      </c>
      <c r="Y59" s="40">
        <f>VLOOKUP($B59,iOS!$A:$AM,8,0)</f>
        <v>25.29</v>
      </c>
      <c r="Z59" s="57">
        <f>VLOOKUP($B59,iOS!$A:$AM,25,0)</f>
        <v>8.7828959288631197</v>
      </c>
      <c r="AA59" s="58">
        <f>VLOOKUP($B59,iOS!$A:$AM,31,0)</f>
        <v>5.6446779746059201E-3</v>
      </c>
      <c r="AB59" s="59">
        <f>VLOOKUP($B59,iOS!$A:$AM,33,0)</f>
        <v>4.8812666378625497E-2</v>
      </c>
      <c r="AC59" s="59">
        <f>VLOOKUP($B59,iOS!$A:$AN,40,0)</f>
        <v>5.2149999999999999</v>
      </c>
    </row>
    <row r="60" spans="1:32">
      <c r="B60" s="39">
        <f t="shared" si="2"/>
        <v>43686</v>
      </c>
      <c r="C60" s="40">
        <f>VLOOKUP($B60,安卓!$A:$AM,3,0)</f>
        <v>9479</v>
      </c>
      <c r="D60" s="40">
        <f>VLOOKUP($B60,安卓!$A:$AM,4,0)</f>
        <v>45171</v>
      </c>
      <c r="E60" s="55">
        <f>VLOOKUP($B60,安卓!$A:$AM,9,0)</f>
        <v>0.254</v>
      </c>
      <c r="F60" s="55">
        <f>VLOOKUP($B60,安卓!$A:$AM,10,0)</f>
        <v>0.125</v>
      </c>
      <c r="G60" s="55">
        <f>VLOOKUP($B60,安卓!$A:$AM,11,0)</f>
        <v>6.4000000000000001E-2</v>
      </c>
      <c r="H60" s="40">
        <f>VLOOKUP($B60,安卓!$A:$AM,7,0)</f>
        <v>8.67</v>
      </c>
      <c r="I60" s="40">
        <f>VLOOKUP($B60,安卓!$A:$AM,8,0)</f>
        <v>13.38</v>
      </c>
      <c r="J60" s="57">
        <f>VLOOKUP($B60,安卓!$A:$AM,25,0)</f>
        <v>10.199397843749299</v>
      </c>
      <c r="K60" s="58">
        <f>VLOOKUP($B60,安卓!$A:$AM,31,0)</f>
        <v>7.2834340616767402E-3</v>
      </c>
      <c r="L60" s="59">
        <f>VLOOKUP($B60,安卓!$A:$AM,33,0)</f>
        <v>5.3156671315667099E-2</v>
      </c>
      <c r="M60" s="65">
        <f>VLOOKUP($B60,安卓!$A:$AN,40,0)</f>
        <v>4.4059999999999997</v>
      </c>
      <c r="R60" s="39">
        <f t="shared" si="3"/>
        <v>43686</v>
      </c>
      <c r="S60" s="40">
        <f>VLOOKUP($B60,iOS!$A:$AM,3,0)</f>
        <v>21075</v>
      </c>
      <c r="T60" s="40">
        <f>VLOOKUP($B60,iOS!$A:$AM,4,0)</f>
        <v>70728</v>
      </c>
      <c r="U60" s="55">
        <f>VLOOKUP($B60,iOS!$A:$AM,9,0)</f>
        <v>0.28299999999999997</v>
      </c>
      <c r="V60" s="55">
        <f>VLOOKUP($B60,iOS!$A:$AM,10,0)</f>
        <v>0.13900000000000001</v>
      </c>
      <c r="W60" s="55">
        <f>VLOOKUP($B60,iOS!$A:$AM,11,0)</f>
        <v>6.7000000000000004E-2</v>
      </c>
      <c r="X60" s="40">
        <f>VLOOKUP($B60,iOS!$A:$AM,7,0)</f>
        <v>14.48</v>
      </c>
      <c r="Y60" s="40">
        <f>VLOOKUP($B60,iOS!$A:$AM,8,0)</f>
        <v>22.57</v>
      </c>
      <c r="Z60" s="57">
        <f>VLOOKUP($B60,iOS!$A:$AM,25,0)</f>
        <v>8.6920879990951203</v>
      </c>
      <c r="AA60" s="58">
        <f>VLOOKUP($B60,iOS!$A:$AM,31,0)</f>
        <v>5.5989141499830303E-3</v>
      </c>
      <c r="AB60" s="59">
        <f>VLOOKUP($B60,iOS!$A:$AM,33,0)</f>
        <v>4.8288230969347402E-2</v>
      </c>
      <c r="AC60" s="59">
        <f>VLOOKUP($B60,iOS!$A:$AN,40,0)</f>
        <v>6.2690000000000001</v>
      </c>
    </row>
    <row r="61" spans="1:32">
      <c r="B61" s="39">
        <f t="shared" si="2"/>
        <v>43687</v>
      </c>
      <c r="C61" s="40">
        <f>VLOOKUP($B61,安卓!$A:$AM,3,0)</f>
        <v>6432</v>
      </c>
      <c r="D61" s="40">
        <f>VLOOKUP($B61,安卓!$A:$AM,4,0)</f>
        <v>41460</v>
      </c>
      <c r="E61" s="55">
        <f>VLOOKUP($B61,安卓!$A:$AM,9,0)</f>
        <v>0.26700000000000002</v>
      </c>
      <c r="F61" s="55">
        <f>VLOOKUP($B61,安卓!$A:$AM,10,0)</f>
        <v>0.126</v>
      </c>
      <c r="G61" s="55">
        <f>VLOOKUP($B61,安卓!$A:$AM,11,0)</f>
        <v>7.0000000000000007E-2</v>
      </c>
      <c r="H61" s="40">
        <f>VLOOKUP($B61,安卓!$A:$AM,7,0)</f>
        <v>7.8</v>
      </c>
      <c r="I61" s="40">
        <f>VLOOKUP($B61,安卓!$A:$AM,8,0)</f>
        <v>12.45</v>
      </c>
      <c r="J61" s="57">
        <f>VLOOKUP($B61,安卓!$A:$AM,25,0)</f>
        <v>16.1044380125422</v>
      </c>
      <c r="K61" s="58">
        <f>VLOOKUP($B61,安卓!$A:$AM,31,0)</f>
        <v>1.0757356488181401E-2</v>
      </c>
      <c r="L61" s="59">
        <f>VLOOKUP($B61,安卓!$A:$AM,33,0)</f>
        <v>0.12242908827785801</v>
      </c>
      <c r="M61" s="65">
        <f>VLOOKUP($B61,安卓!$A:$AN,40,0)</f>
        <v>4.3769999999999998</v>
      </c>
      <c r="R61" s="39">
        <f t="shared" si="3"/>
        <v>43687</v>
      </c>
      <c r="S61" s="40">
        <f>VLOOKUP($B61,iOS!$A:$AM,3,0)</f>
        <v>14107</v>
      </c>
      <c r="T61" s="40">
        <f>VLOOKUP($B61,iOS!$A:$AM,4,0)</f>
        <v>63295</v>
      </c>
      <c r="U61" s="55">
        <f>VLOOKUP($B61,iOS!$A:$AM,9,0)</f>
        <v>0.29399999999999998</v>
      </c>
      <c r="V61" s="55">
        <f>VLOOKUP($B61,iOS!$A:$AM,10,0)</f>
        <v>0.14499999999999999</v>
      </c>
      <c r="W61" s="55">
        <f>VLOOKUP($B61,iOS!$A:$AM,11,0)</f>
        <v>7.3999999999999996E-2</v>
      </c>
      <c r="X61" s="40">
        <f>VLOOKUP($B61,iOS!$A:$AM,7,0)</f>
        <v>13.17</v>
      </c>
      <c r="Y61" s="40">
        <f>VLOOKUP($B61,iOS!$A:$AM,8,0)</f>
        <v>20.22</v>
      </c>
      <c r="Z61" s="57">
        <f>VLOOKUP($B61,iOS!$A:$AM,25,0)</f>
        <v>12.237664902441001</v>
      </c>
      <c r="AA61" s="58">
        <f>VLOOKUP($B61,iOS!$A:$AM,31,0)</f>
        <v>8.3102930721225994E-3</v>
      </c>
      <c r="AB61" s="59">
        <f>VLOOKUP($B61,iOS!$A:$AM,33,0)</f>
        <v>0.101113832056245</v>
      </c>
      <c r="AC61" s="59">
        <f>VLOOKUP($B61,iOS!$A:$AN,40,0)</f>
        <v>6.82</v>
      </c>
    </row>
    <row r="62" spans="1:32">
      <c r="B62" s="39">
        <f t="shared" si="2"/>
        <v>43688</v>
      </c>
      <c r="C62" s="40">
        <f>VLOOKUP($B62,安卓!$A:$AM,3,0)</f>
        <v>7280</v>
      </c>
      <c r="D62" s="40">
        <f>VLOOKUP($B62,安卓!$A:$AM,4,0)</f>
        <v>42574</v>
      </c>
      <c r="E62" s="55">
        <f>VLOOKUP($B62,安卓!$A:$AM,9,0)</f>
        <v>0.27400000000000002</v>
      </c>
      <c r="F62" s="55">
        <f>VLOOKUP($B62,安卓!$A:$AM,10,0)</f>
        <v>0.13900000000000001</v>
      </c>
      <c r="G62" s="55">
        <f>VLOOKUP($B62,安卓!$A:$AM,11,0)</f>
        <v>7.4999999999999997E-2</v>
      </c>
      <c r="H62" s="40">
        <f>VLOOKUP($B62,安卓!$A:$AM,7,0)</f>
        <v>8.23</v>
      </c>
      <c r="I62" s="40">
        <f>VLOOKUP($B62,安卓!$A:$AM,8,0)</f>
        <v>13.24</v>
      </c>
      <c r="J62" s="57">
        <f>VLOOKUP($B62,安卓!$A:$AM,25,0)</f>
        <v>14.9389768403251</v>
      </c>
      <c r="K62" s="58">
        <f>VLOOKUP($B62,安卓!$A:$AM,31,0)</f>
        <v>9.1370319913562301E-3</v>
      </c>
      <c r="L62" s="59">
        <f>VLOOKUP($B62,安卓!$A:$AM,33,0)</f>
        <v>8.8372950627143301E-2</v>
      </c>
      <c r="M62" s="65">
        <f>VLOOKUP($B62,安卓!$A:$AN,40,0)</f>
        <v>5.1260000000000003</v>
      </c>
      <c r="R62" s="39">
        <f t="shared" si="3"/>
        <v>43688</v>
      </c>
      <c r="S62" s="40">
        <f>VLOOKUP($B62,iOS!$A:$AM,3,0)</f>
        <v>15975</v>
      </c>
      <c r="T62" s="40">
        <f>VLOOKUP($B62,iOS!$A:$AM,4,0)</f>
        <v>64207</v>
      </c>
      <c r="U62" s="55">
        <f>VLOOKUP($B62,iOS!$A:$AM,9,0)</f>
        <v>0.317</v>
      </c>
      <c r="V62" s="55">
        <f>VLOOKUP($B62,iOS!$A:$AM,10,0)</f>
        <v>0.153</v>
      </c>
      <c r="W62" s="55">
        <f>VLOOKUP($B62,iOS!$A:$AM,11,0)</f>
        <v>8.1000000000000003E-2</v>
      </c>
      <c r="X62" s="40">
        <f>VLOOKUP($B62,iOS!$A:$AM,7,0)</f>
        <v>13.58</v>
      </c>
      <c r="Y62" s="40">
        <f>VLOOKUP($B62,iOS!$A:$AM,8,0)</f>
        <v>20.55</v>
      </c>
      <c r="Z62" s="57">
        <f>VLOOKUP($B62,iOS!$A:$AM,25,0)</f>
        <v>11.254146744124499</v>
      </c>
      <c r="AA62" s="58">
        <f>VLOOKUP($B62,iOS!$A:$AM,31,0)</f>
        <v>7.5848427741523504E-3</v>
      </c>
      <c r="AB62" s="59">
        <f>VLOOKUP($B62,iOS!$A:$AM,33,0)</f>
        <v>0.108783310230972</v>
      </c>
      <c r="AC62" s="59">
        <f>VLOOKUP($B62,iOS!$A:$AN,40,0)</f>
        <v>6.5549999999999997</v>
      </c>
    </row>
    <row r="63" spans="1:32">
      <c r="B63" s="39">
        <f t="shared" si="2"/>
        <v>43689</v>
      </c>
      <c r="C63" s="40">
        <f>VLOOKUP($B63,安卓!$A:$AM,3,0)</f>
        <v>9923</v>
      </c>
      <c r="D63" s="40">
        <f>VLOOKUP($B63,安卓!$A:$AM,4,0)</f>
        <v>46162</v>
      </c>
      <c r="E63" s="55">
        <f>VLOOKUP($B63,安卓!$A:$AM,9,0)</f>
        <v>0.25800000000000001</v>
      </c>
      <c r="F63" s="55">
        <f>VLOOKUP($B63,安卓!$A:$AM,10,0)</f>
        <v>0.11899999999999999</v>
      </c>
      <c r="G63" s="55">
        <f>VLOOKUP($B63,安卓!$A:$AM,11,0)</f>
        <v>6.6000000000000003E-2</v>
      </c>
      <c r="H63" s="40">
        <f>VLOOKUP($B63,安卓!$A:$AM,7,0)</f>
        <v>8.51</v>
      </c>
      <c r="I63" s="40">
        <f>VLOOKUP($B63,安卓!$A:$AM,8,0)</f>
        <v>14.44</v>
      </c>
      <c r="J63" s="57">
        <f>VLOOKUP($B63,安卓!$A:$AM,25,0)</f>
        <v>13.5836835492396</v>
      </c>
      <c r="K63" s="58">
        <f>VLOOKUP($B63,安卓!$A:$AM,31,0)</f>
        <v>7.7336337247086301E-3</v>
      </c>
      <c r="L63" s="59">
        <f>VLOOKUP($B63,安卓!$A:$AM,33,0)</f>
        <v>7.8589532515922197E-2</v>
      </c>
      <c r="M63" s="65">
        <f>VLOOKUP($B63,安卓!$A:$AN,40,0)</f>
        <v>5.1139999999999999</v>
      </c>
      <c r="R63" s="39">
        <f t="shared" si="3"/>
        <v>43689</v>
      </c>
      <c r="S63" s="40">
        <f>VLOOKUP($B63,iOS!$A:$AM,3,0)</f>
        <v>27500</v>
      </c>
      <c r="T63" s="40">
        <f>VLOOKUP($B63,iOS!$A:$AM,4,0)</f>
        <v>77644</v>
      </c>
      <c r="U63" s="55">
        <f>VLOOKUP($B63,iOS!$A:$AM,9,0)</f>
        <v>0.27700000000000002</v>
      </c>
      <c r="V63" s="55">
        <f>VLOOKUP($B63,iOS!$A:$AM,10,0)</f>
        <v>0.127</v>
      </c>
      <c r="W63" s="55">
        <f>VLOOKUP($B63,iOS!$A:$AM,11,0)</f>
        <v>6.8000000000000005E-2</v>
      </c>
      <c r="X63" s="40">
        <f>VLOOKUP($B63,iOS!$A:$AM,7,0)</f>
        <v>13.8</v>
      </c>
      <c r="Y63" s="40">
        <f>VLOOKUP($B63,iOS!$A:$AM,8,0)</f>
        <v>20.83</v>
      </c>
      <c r="Z63" s="57">
        <f>VLOOKUP($B63,iOS!$A:$AM,25,0)</f>
        <v>10.1768198444181</v>
      </c>
      <c r="AA63" s="58">
        <f>VLOOKUP($B63,iOS!$A:$AM,31,0)</f>
        <v>6.0790273556231003E-3</v>
      </c>
      <c r="AB63" s="59">
        <f>VLOOKUP($B63,iOS!$A:$AM,33,0)</f>
        <v>7.8167662665498905E-2</v>
      </c>
      <c r="AC63" s="59">
        <f>VLOOKUP($B63,iOS!$A:$AN,40,0)</f>
        <v>5.8860000000000001</v>
      </c>
    </row>
    <row r="64" spans="1:32">
      <c r="B64" s="39">
        <f t="shared" si="2"/>
        <v>43690</v>
      </c>
      <c r="C64" s="40">
        <f>VLOOKUP($B64,安卓!$A:$AM,3,0)</f>
        <v>14940</v>
      </c>
      <c r="D64" s="40">
        <f>VLOOKUP($B64,安卓!$A:$AM,4,0)</f>
        <v>51114</v>
      </c>
      <c r="E64" s="55">
        <f>VLOOKUP($B64,安卓!$A:$AM,9,0)</f>
        <v>0.26</v>
      </c>
      <c r="F64" s="55">
        <f>VLOOKUP($B64,安卓!$A:$AM,10,0)</f>
        <v>0.124</v>
      </c>
      <c r="G64" s="55">
        <f>VLOOKUP($B64,安卓!$A:$AM,11,0)</f>
        <v>6.8000000000000005E-2</v>
      </c>
      <c r="H64" s="40">
        <f>VLOOKUP($B64,安卓!$A:$AM,7,0)</f>
        <v>8.8000000000000007</v>
      </c>
      <c r="I64" s="40">
        <f>VLOOKUP($B64,安卓!$A:$AM,8,0)</f>
        <v>15.35</v>
      </c>
      <c r="J64" s="57">
        <f>VLOOKUP($B64,安卓!$A:$AM,25,0)</f>
        <v>11.593281684078701</v>
      </c>
      <c r="K64" s="58">
        <f>VLOOKUP($B64,安卓!$A:$AM,31,0)</f>
        <v>6.65179794185546E-3</v>
      </c>
      <c r="L64" s="59">
        <f>VLOOKUP($B64,安卓!$A:$AM,33,0)</f>
        <v>5.5881950150643601E-2</v>
      </c>
      <c r="M64" s="65">
        <f>VLOOKUP($B64,安卓!$A:$AN,40,0)</f>
        <v>5.335</v>
      </c>
      <c r="R64" s="39">
        <f t="shared" si="3"/>
        <v>43690</v>
      </c>
      <c r="S64" s="40">
        <f>VLOOKUP($B64,iOS!$A:$AM,3,0)</f>
        <v>25084</v>
      </c>
      <c r="T64" s="40">
        <f>VLOOKUP($B64,iOS!$A:$AM,4,0)</f>
        <v>77015</v>
      </c>
      <c r="U64" s="55">
        <f>VLOOKUP($B64,iOS!$A:$AM,9,0)</f>
        <v>0.28000000000000003</v>
      </c>
      <c r="V64" s="55">
        <f>VLOOKUP($B64,iOS!$A:$AM,10,0)</f>
        <v>0.13100000000000001</v>
      </c>
      <c r="W64" s="55">
        <f>VLOOKUP($B64,iOS!$A:$AM,11,0)</f>
        <v>6.8000000000000005E-2</v>
      </c>
      <c r="X64" s="40">
        <f>VLOOKUP($B64,iOS!$A:$AM,7,0)</f>
        <v>14.17</v>
      </c>
      <c r="Y64" s="40">
        <f>VLOOKUP($B64,iOS!$A:$AM,8,0)</f>
        <v>22.11</v>
      </c>
      <c r="Z64" s="57">
        <f>VLOOKUP($B64,iOS!$A:$AM,25,0)</f>
        <v>10.006972667662099</v>
      </c>
      <c r="AA64" s="58">
        <f>VLOOKUP($B64,iOS!$A:$AM,31,0)</f>
        <v>6.5052262546257201E-3</v>
      </c>
      <c r="AB64" s="59">
        <f>VLOOKUP($B64,iOS!$A:$AM,33,0)</f>
        <v>7.0815036031941794E-2</v>
      </c>
      <c r="AC64" s="59">
        <f>VLOOKUP($B64,iOS!$A:$AN,40,0)</f>
        <v>5.4189999999999996</v>
      </c>
    </row>
    <row r="65" spans="2:29">
      <c r="B65" s="39">
        <f t="shared" si="2"/>
        <v>43691</v>
      </c>
      <c r="C65" s="40">
        <f>VLOOKUP($B65,安卓!$A:$AM,3,0)</f>
        <v>19870</v>
      </c>
      <c r="D65" s="40">
        <f>VLOOKUP($B65,安卓!$A:$AM,4,0)</f>
        <v>56055</v>
      </c>
      <c r="E65" s="55">
        <f>VLOOKUP($B65,安卓!$A:$AM,9,0)</f>
        <v>0.38800000000000001</v>
      </c>
      <c r="F65" s="55">
        <f>VLOOKUP($B65,安卓!$A:$AM,10,0)</f>
        <v>0.20300000000000001</v>
      </c>
      <c r="G65" s="55">
        <f>VLOOKUP($B65,安卓!$A:$AM,11,0)</f>
        <v>0.106</v>
      </c>
      <c r="H65" s="40">
        <f>VLOOKUP($B65,安卓!$A:$AM,7,0)</f>
        <v>8.1300000000000008</v>
      </c>
      <c r="I65" s="40">
        <f>VLOOKUP($B65,安卓!$A:$AM,8,0)</f>
        <v>15.08</v>
      </c>
      <c r="J65" s="57">
        <f>VLOOKUP($B65,安卓!$A:$AM,25,0)</f>
        <v>11.277566675586501</v>
      </c>
      <c r="K65" s="58">
        <f>VLOOKUP($B65,安卓!$A:$AM,31,0)</f>
        <v>5.5659620016055697E-3</v>
      </c>
      <c r="L65" s="59">
        <f>VLOOKUP($B65,安卓!$A:$AM,33,0)</f>
        <v>3.6919454107572899E-2</v>
      </c>
      <c r="M65" s="65">
        <f>VLOOKUP($B65,安卓!$A:$AN,40,0)</f>
        <v>4.8529999999999998</v>
      </c>
      <c r="R65" s="39">
        <f t="shared" si="3"/>
        <v>43691</v>
      </c>
      <c r="S65" s="40">
        <f>VLOOKUP($B65,iOS!$A:$AM,3,0)</f>
        <v>20472</v>
      </c>
      <c r="T65" s="40">
        <f>VLOOKUP($B65,iOS!$A:$AM,4,0)</f>
        <v>71965</v>
      </c>
      <c r="U65" s="55">
        <f>VLOOKUP($B65,iOS!$A:$AM,9,0)</f>
        <v>0.30399999999999999</v>
      </c>
      <c r="V65" s="55">
        <f>VLOOKUP($B65,iOS!$A:$AM,10,0)</f>
        <v>0.154</v>
      </c>
      <c r="W65" s="55">
        <f>VLOOKUP($B65,iOS!$A:$AM,11,0)</f>
        <v>7.8E-2</v>
      </c>
      <c r="X65" s="40">
        <f>VLOOKUP($B65,iOS!$A:$AM,7,0)</f>
        <v>14.32</v>
      </c>
      <c r="Y65" s="40">
        <f>VLOOKUP($B65,iOS!$A:$AM,8,0)</f>
        <v>23.64</v>
      </c>
      <c r="Z65" s="57">
        <f>VLOOKUP($B65,iOS!$A:$AM,25,0)</f>
        <v>9.1782255262975099</v>
      </c>
      <c r="AA65" s="58">
        <f>VLOOKUP($B65,iOS!$A:$AM,31,0)</f>
        <v>5.1135968873758098E-3</v>
      </c>
      <c r="AB65" s="59">
        <f>VLOOKUP($B65,iOS!$A:$AM,33,0)</f>
        <v>4.4948516640033298E-2</v>
      </c>
      <c r="AC65" s="59">
        <f>VLOOKUP($B65,iOS!$A:$AN,40,0)</f>
        <v>5.8129999999999997</v>
      </c>
    </row>
    <row r="66" spans="2:29">
      <c r="B66" s="39">
        <f t="shared" si="2"/>
        <v>43692</v>
      </c>
      <c r="C66" s="40">
        <f>VLOOKUP($B66,安卓!$A:$AM,3,0)</f>
        <v>11178</v>
      </c>
      <c r="D66" s="40">
        <f>VLOOKUP($B66,安卓!$A:$AM,4,0)</f>
        <v>51043</v>
      </c>
      <c r="E66" s="55">
        <f>VLOOKUP($B66,安卓!$A:$AM,9,0)</f>
        <v>0.32100000000000001</v>
      </c>
      <c r="F66" s="55">
        <f>VLOOKUP($B66,安卓!$A:$AM,10,0)</f>
        <v>0.159</v>
      </c>
      <c r="G66" s="55">
        <f>VLOOKUP($B66,安卓!$A:$AM,11,0)</f>
        <v>8.7999999999999995E-2</v>
      </c>
      <c r="H66" s="40">
        <f>VLOOKUP($B66,安卓!$A:$AM,7,0)</f>
        <v>8.32</v>
      </c>
      <c r="I66" s="40">
        <f>VLOOKUP($B66,安卓!$A:$AM,8,0)</f>
        <v>14.36</v>
      </c>
      <c r="J66" s="57">
        <f>VLOOKUP($B66,安卓!$A:$AM,25,0)</f>
        <v>11.2213427894128</v>
      </c>
      <c r="K66" s="58">
        <f>VLOOKUP($B66,安卓!$A:$AM,31,0)</f>
        <v>5.4659796642046897E-3</v>
      </c>
      <c r="L66" s="59">
        <f>VLOOKUP($B66,安卓!$A:$AM,33,0)</f>
        <v>3.6896930039378599E-2</v>
      </c>
      <c r="M66" s="65">
        <f>VLOOKUP($B66,安卓!$A:$AN,40,0)</f>
        <v>5.2089999999999996</v>
      </c>
      <c r="R66" s="39">
        <f t="shared" si="3"/>
        <v>43692</v>
      </c>
      <c r="S66" s="40">
        <f>VLOOKUP($B66,iOS!$A:$AM,3,0)</f>
        <v>15466</v>
      </c>
      <c r="T66" s="40">
        <f>VLOOKUP($B66,iOS!$A:$AM,4,0)</f>
        <v>65915</v>
      </c>
      <c r="U66" s="55">
        <f>VLOOKUP($B66,iOS!$A:$AM,9,0)</f>
        <v>0.29799999999999999</v>
      </c>
      <c r="V66" s="55">
        <f>VLOOKUP($B66,iOS!$A:$AM,10,0)</f>
        <v>0.14799999999999999</v>
      </c>
      <c r="W66" s="55">
        <f>VLOOKUP($B66,iOS!$A:$AM,11,0)</f>
        <v>7.3999999999999996E-2</v>
      </c>
      <c r="X66" s="40">
        <f>VLOOKUP($B66,iOS!$A:$AM,7,0)</f>
        <v>14.09</v>
      </c>
      <c r="Y66" s="40">
        <f>VLOOKUP($B66,iOS!$A:$AM,8,0)</f>
        <v>23.17</v>
      </c>
      <c r="Z66" s="57">
        <f>VLOOKUP($B66,iOS!$A:$AM,25,0)</f>
        <v>9.27722066297504</v>
      </c>
      <c r="AA66" s="58">
        <f>VLOOKUP($B66,iOS!$A:$AM,31,0)</f>
        <v>5.7953424865356904E-3</v>
      </c>
      <c r="AB66" s="59">
        <f>VLOOKUP($B66,iOS!$A:$AM,33,0)</f>
        <v>4.9074110596980997E-2</v>
      </c>
      <c r="AC66" s="59">
        <f>VLOOKUP($B66,iOS!$A:$AN,40,0)</f>
        <v>5.6050000000000004</v>
      </c>
    </row>
    <row r="67" spans="2:29">
      <c r="B67" s="39">
        <f t="shared" si="2"/>
        <v>43693</v>
      </c>
      <c r="C67" s="40">
        <f>VLOOKUP($B67,安卓!$A:$AM,3,0)</f>
        <v>9396</v>
      </c>
      <c r="D67" s="40">
        <f>VLOOKUP($B67,安卓!$A:$AM,4,0)</f>
        <v>48149</v>
      </c>
      <c r="E67" s="55">
        <f>VLOOKUP($B67,安卓!$A:$AM,9,0)</f>
        <v>0.312</v>
      </c>
      <c r="F67" s="55">
        <f>VLOOKUP($B67,安卓!$A:$AM,10,0)</f>
        <v>0.161</v>
      </c>
      <c r="G67" s="55">
        <f>VLOOKUP($B67,安卓!$A:$AM,11,0)</f>
        <v>8.2000000000000003E-2</v>
      </c>
      <c r="H67" s="40">
        <f>VLOOKUP($B67,安卓!$A:$AM,7,0)</f>
        <v>7.85</v>
      </c>
      <c r="I67" s="40">
        <f>VLOOKUP($B67,安卓!$A:$AM,8,0)</f>
        <v>13.2</v>
      </c>
      <c r="J67" s="57">
        <f>VLOOKUP($B67,安卓!$A:$AM,25,0)</f>
        <v>11.1591102618954</v>
      </c>
      <c r="K67" s="58">
        <f>VLOOKUP($B67,安卓!$A:$AM,31,0)</f>
        <v>6.9991069388772396E-3</v>
      </c>
      <c r="L67" s="59">
        <f>VLOOKUP($B67,安卓!$A:$AM,33,0)</f>
        <v>5.4355438326860399E-2</v>
      </c>
      <c r="M67" s="65">
        <f>VLOOKUP($B67,安卓!$A:$AN,40,0)</f>
        <v>4.5609999999999999</v>
      </c>
      <c r="R67" s="39">
        <f t="shared" si="3"/>
        <v>43693</v>
      </c>
      <c r="S67" s="40">
        <f>VLOOKUP($B67,iOS!$A:$AM,3,0)</f>
        <v>11217</v>
      </c>
      <c r="T67" s="40">
        <f>VLOOKUP($B67,iOS!$A:$AM,4,0)</f>
        <v>59922</v>
      </c>
      <c r="U67" s="55">
        <f>VLOOKUP($B67,iOS!$A:$AM,9,0)</f>
        <v>0.30399999999999999</v>
      </c>
      <c r="V67" s="55">
        <f>VLOOKUP($B67,iOS!$A:$AM,10,0)</f>
        <v>0.158</v>
      </c>
      <c r="W67" s="55">
        <f>VLOOKUP($B67,iOS!$A:$AM,11,0)</f>
        <v>8.1000000000000003E-2</v>
      </c>
      <c r="X67" s="40">
        <f>VLOOKUP($B67,iOS!$A:$AM,7,0)</f>
        <v>13.34</v>
      </c>
      <c r="Y67" s="40">
        <f>VLOOKUP($B67,iOS!$A:$AM,8,0)</f>
        <v>21.13</v>
      </c>
      <c r="Z67" s="57">
        <f>VLOOKUP($B67,iOS!$A:$AM,25,0)</f>
        <v>9.3388071159173602</v>
      </c>
      <c r="AA67" s="58">
        <f>VLOOKUP($B67,iOS!$A:$AM,31,0)</f>
        <v>6.2581355762491202E-3</v>
      </c>
      <c r="AB67" s="59">
        <f>VLOOKUP($B67,iOS!$A:$AM,33,0)</f>
        <v>4.9409732652448198E-2</v>
      </c>
      <c r="AC67" s="59">
        <f>VLOOKUP($B67,iOS!$A:$AN,40,0)</f>
        <v>6.3010000000000002</v>
      </c>
    </row>
    <row r="68" spans="2:29">
      <c r="B68" s="39">
        <f t="shared" si="2"/>
        <v>43694</v>
      </c>
      <c r="C68" s="40">
        <f>VLOOKUP($B68,安卓!$A:$AM,3,0)</f>
        <v>7480</v>
      </c>
      <c r="D68" s="40">
        <f>VLOOKUP($B68,安卓!$A:$AM,4,0)</f>
        <v>45584</v>
      </c>
      <c r="E68" s="55">
        <f>VLOOKUP($B68,安卓!$A:$AM,9,0)</f>
        <v>0.29799999999999999</v>
      </c>
      <c r="F68" s="55">
        <f>VLOOKUP($B68,安卓!$A:$AM,10,0)</f>
        <v>0.14899999999999999</v>
      </c>
      <c r="G68" s="55">
        <f>VLOOKUP($B68,安卓!$A:$AM,11,0)</f>
        <v>7.6999999999999999E-2</v>
      </c>
      <c r="H68" s="40">
        <f>VLOOKUP($B68,安卓!$A:$AM,7,0)</f>
        <v>6.85</v>
      </c>
      <c r="I68" s="40">
        <f>VLOOKUP($B68,安卓!$A:$AM,8,0)</f>
        <v>11.9</v>
      </c>
      <c r="J68" s="57">
        <f>VLOOKUP($B68,安卓!$A:$AM,25,0)</f>
        <v>16.6307915057915</v>
      </c>
      <c r="K68" s="58">
        <f>VLOOKUP($B68,安卓!$A:$AM,31,0)</f>
        <v>8.9505089505089504E-3</v>
      </c>
      <c r="L68" s="59">
        <f>VLOOKUP($B68,安卓!$A:$AM,33,0)</f>
        <v>0.10349925412425399</v>
      </c>
      <c r="M68" s="65">
        <f>VLOOKUP($B68,安卓!$A:$AN,40,0)</f>
        <v>5.6879999999999997</v>
      </c>
      <c r="R68" s="39">
        <f t="shared" si="3"/>
        <v>43694</v>
      </c>
      <c r="S68" s="40">
        <f>VLOOKUP($B68,iOS!$A:$AM,3,0)</f>
        <v>10628</v>
      </c>
      <c r="T68" s="40">
        <f>VLOOKUP($B68,iOS!$A:$AM,4,0)</f>
        <v>57324</v>
      </c>
      <c r="U68" s="55">
        <f>VLOOKUP($B68,iOS!$A:$AM,9,0)</f>
        <v>0.29099999999999998</v>
      </c>
      <c r="V68" s="55">
        <f>VLOOKUP($B68,iOS!$A:$AM,10,0)</f>
        <v>0.14499999999999999</v>
      </c>
      <c r="W68" s="55">
        <f>VLOOKUP($B68,iOS!$A:$AM,11,0)</f>
        <v>7.3999999999999996E-2</v>
      </c>
      <c r="X68" s="40">
        <f>VLOOKUP($B68,iOS!$A:$AM,7,0)</f>
        <v>12.02</v>
      </c>
      <c r="Y68" s="40">
        <f>VLOOKUP($B68,iOS!$A:$AM,8,0)</f>
        <v>18.489999999999998</v>
      </c>
      <c r="Z68" s="57">
        <f>VLOOKUP($B68,iOS!$A:$AM,25,0)</f>
        <v>12.767898262507799</v>
      </c>
      <c r="AA68" s="58">
        <f>VLOOKUP($B68,iOS!$A:$AM,31,0)</f>
        <v>7.7977810341218297E-3</v>
      </c>
      <c r="AB68" s="59">
        <f>VLOOKUP($B68,iOS!$A:$AM,33,0)</f>
        <v>0.10043210522643201</v>
      </c>
      <c r="AC68" s="59">
        <f>VLOOKUP($B68,iOS!$A:$AN,40,0)</f>
        <v>5.9550000000000001</v>
      </c>
    </row>
    <row r="69" spans="2:29">
      <c r="B69" s="39">
        <f t="shared" si="2"/>
        <v>43695</v>
      </c>
      <c r="C69" s="40">
        <f>VLOOKUP($B69,安卓!$A:$AM,3,0)</f>
        <v>8785</v>
      </c>
      <c r="D69" s="40">
        <f>VLOOKUP($B69,安卓!$A:$AM,4,0)</f>
        <v>46304</v>
      </c>
      <c r="E69" s="55">
        <f>VLOOKUP($B69,安卓!$A:$AM,9,0)</f>
        <v>0.311</v>
      </c>
      <c r="F69" s="55">
        <f>VLOOKUP($B69,安卓!$A:$AM,10,0)</f>
        <v>0.14199999999999999</v>
      </c>
      <c r="G69" s="55">
        <f>VLOOKUP($B69,安卓!$A:$AM,11,0)</f>
        <v>8.6999999999999994E-2</v>
      </c>
      <c r="H69" s="40">
        <f>VLOOKUP($B69,安卓!$A:$AM,7,0)</f>
        <v>7.18</v>
      </c>
      <c r="I69" s="40">
        <f>VLOOKUP($B69,安卓!$A:$AM,8,0)</f>
        <v>12.44</v>
      </c>
      <c r="J69" s="57">
        <f>VLOOKUP($B69,安卓!$A:$AM,25,0)</f>
        <v>14.978619557705599</v>
      </c>
      <c r="K69" s="58">
        <f>VLOOKUP($B69,安卓!$A:$AM,31,0)</f>
        <v>8.2282308223911495E-3</v>
      </c>
      <c r="L69" s="59">
        <f>VLOOKUP($B69,安卓!$A:$AM,33,0)</f>
        <v>8.68937888735314E-2</v>
      </c>
      <c r="M69" s="65">
        <f>VLOOKUP($B69,安卓!$A:$AN,40,0)</f>
        <v>5.6710000000000003</v>
      </c>
      <c r="R69" s="39">
        <f t="shared" si="3"/>
        <v>43695</v>
      </c>
      <c r="S69" s="40">
        <f>VLOOKUP($B69,iOS!$A:$AM,3,0)</f>
        <v>12100</v>
      </c>
      <c r="T69" s="40">
        <f>VLOOKUP($B69,iOS!$A:$AM,4,0)</f>
        <v>58421</v>
      </c>
      <c r="U69" s="55">
        <f>VLOOKUP($B69,iOS!$A:$AM,9,0)</f>
        <v>0.3</v>
      </c>
      <c r="V69" s="55">
        <f>VLOOKUP($B69,iOS!$A:$AM,10,0)</f>
        <v>0.14199999999999999</v>
      </c>
      <c r="W69" s="55">
        <f>VLOOKUP($B69,iOS!$A:$AM,11,0)</f>
        <v>7.9000000000000001E-2</v>
      </c>
      <c r="X69" s="40">
        <f>VLOOKUP($B69,iOS!$A:$AM,7,0)</f>
        <v>12.71</v>
      </c>
      <c r="Y69" s="40">
        <f>VLOOKUP($B69,iOS!$A:$AM,8,0)</f>
        <v>19.36</v>
      </c>
      <c r="Z69" s="57">
        <f>VLOOKUP($B69,iOS!$A:$AM,25,0)</f>
        <v>11.9331233631742</v>
      </c>
      <c r="AA69" s="58">
        <f>VLOOKUP($B69,iOS!$A:$AM,31,0)</f>
        <v>7.5486554492391403E-3</v>
      </c>
      <c r="AB69" s="59">
        <f>VLOOKUP($B69,iOS!$A:$AM,33,0)</f>
        <v>9.3252768696187996E-2</v>
      </c>
      <c r="AC69" s="59">
        <f>VLOOKUP($B69,iOS!$A:$AN,40,0)</f>
        <v>7.2089999999999996</v>
      </c>
    </row>
    <row r="70" spans="2:29">
      <c r="B70" s="39">
        <f t="shared" si="2"/>
        <v>43696</v>
      </c>
      <c r="C70" s="40">
        <f>VLOOKUP($B70,安卓!$A:$AM,3,0)</f>
        <v>10600</v>
      </c>
      <c r="D70" s="40">
        <f>VLOOKUP($B70,安卓!$A:$AM,4,0)</f>
        <v>48987</v>
      </c>
      <c r="E70" s="55">
        <f>VLOOKUP($B70,安卓!$A:$AM,9,0)</f>
        <v>0.28999999999999998</v>
      </c>
      <c r="F70" s="55">
        <f>VLOOKUP($B70,安卓!$A:$AM,10,0)</f>
        <v>0.14499999999999999</v>
      </c>
      <c r="G70" s="55">
        <f>VLOOKUP($B70,安卓!$A:$AM,11,0)</f>
        <v>8.3000000000000004E-2</v>
      </c>
      <c r="H70" s="40">
        <f>VLOOKUP($B70,安卓!$A:$AM,7,0)</f>
        <v>7.38</v>
      </c>
      <c r="I70" s="40">
        <f>VLOOKUP($B70,安卓!$A:$AM,8,0)</f>
        <v>12.43</v>
      </c>
      <c r="J70" s="57">
        <f>VLOOKUP($B70,安卓!$A:$AM,25,0)</f>
        <v>14.0103292710311</v>
      </c>
      <c r="K70" s="58">
        <f>VLOOKUP($B70,安卓!$A:$AM,31,0)</f>
        <v>7.2468205850531797E-3</v>
      </c>
      <c r="L70" s="59">
        <f>VLOOKUP($B70,安卓!$A:$AM,33,0)</f>
        <v>7.76234511196848E-2</v>
      </c>
      <c r="M70" s="65">
        <f>VLOOKUP($B70,安卓!$A:$AN,40,0)</f>
        <v>4.9740000000000002</v>
      </c>
      <c r="R70" s="39">
        <f t="shared" si="3"/>
        <v>43696</v>
      </c>
      <c r="S70" s="40">
        <f>VLOOKUP($B70,iOS!$A:$AM,3,0)</f>
        <v>13539</v>
      </c>
      <c r="T70" s="40">
        <f>VLOOKUP($B70,iOS!$A:$AM,4,0)</f>
        <v>61000</v>
      </c>
      <c r="U70" s="55">
        <f>VLOOKUP($B70,iOS!$A:$AM,9,0)</f>
        <v>0.30399999999999999</v>
      </c>
      <c r="V70" s="55">
        <f>VLOOKUP($B70,iOS!$A:$AM,10,0)</f>
        <v>0.159</v>
      </c>
      <c r="W70" s="55">
        <f>VLOOKUP($B70,iOS!$A:$AM,11,0)</f>
        <v>8.7999999999999995E-2</v>
      </c>
      <c r="X70" s="40">
        <f>VLOOKUP($B70,iOS!$A:$AM,7,0)</f>
        <v>12.93</v>
      </c>
      <c r="Y70" s="40">
        <f>VLOOKUP($B70,iOS!$A:$AM,8,0)</f>
        <v>19.829999999999998</v>
      </c>
      <c r="Z70" s="57">
        <f>VLOOKUP($B70,iOS!$A:$AM,25,0)</f>
        <v>11.7779016393443</v>
      </c>
      <c r="AA70" s="58">
        <f>VLOOKUP($B70,iOS!$A:$AM,31,0)</f>
        <v>7.57377049180328E-3</v>
      </c>
      <c r="AB70" s="59">
        <f>VLOOKUP($B70,iOS!$A:$AM,33,0)</f>
        <v>7.7090491803278705E-2</v>
      </c>
      <c r="AC70" s="59">
        <f>VLOOKUP($B70,iOS!$A:$AN,40,0)</f>
        <v>6.2279999999999998</v>
      </c>
    </row>
    <row r="71" spans="2:29">
      <c r="B71" s="39">
        <f t="shared" si="2"/>
        <v>43697</v>
      </c>
      <c r="C71" s="40">
        <f>VLOOKUP($B71,安卓!$A:$AM,3,0)</f>
        <v>10823</v>
      </c>
      <c r="D71" s="40">
        <f>VLOOKUP($B71,安卓!$A:$AM,4,0)</f>
        <v>49026</v>
      </c>
      <c r="E71" s="55">
        <f>VLOOKUP($B71,安卓!$A:$AM,9,0)</f>
        <v>0.28100000000000003</v>
      </c>
      <c r="F71" s="55">
        <f>VLOOKUP($B71,安卓!$A:$AM,10,0)</f>
        <v>0.13900000000000001</v>
      </c>
      <c r="G71" s="55">
        <f>VLOOKUP($B71,安卓!$A:$AM,11,0)</f>
        <v>7.9000000000000001E-2</v>
      </c>
      <c r="H71" s="40">
        <f>VLOOKUP($B71,安卓!$A:$AM,7,0)</f>
        <v>8.33</v>
      </c>
      <c r="I71" s="40">
        <f>VLOOKUP($B71,安卓!$A:$AM,8,0)</f>
        <v>13.83</v>
      </c>
      <c r="J71" s="57">
        <f>VLOOKUP($B71,安卓!$A:$AM,25,0)</f>
        <v>12.707930485864599</v>
      </c>
      <c r="K71" s="58">
        <f>VLOOKUP($B71,安卓!$A:$AM,31,0)</f>
        <v>7.2818504467017497E-3</v>
      </c>
      <c r="L71" s="59">
        <f>VLOOKUP($B71,安卓!$A:$AM,33,0)</f>
        <v>7.3906498592583497E-2</v>
      </c>
      <c r="M71" s="65">
        <f>VLOOKUP($B71,安卓!$A:$AN,40,0)</f>
        <v>4.0190000000000001</v>
      </c>
      <c r="R71" s="39">
        <f t="shared" si="3"/>
        <v>43697</v>
      </c>
      <c r="S71" s="40">
        <f>VLOOKUP($B71,iOS!$A:$AM,3,0)</f>
        <v>16300</v>
      </c>
      <c r="T71" s="40">
        <f>VLOOKUP($B71,iOS!$A:$AM,4,0)</f>
        <v>62771</v>
      </c>
      <c r="U71" s="55">
        <f>VLOOKUP($B71,iOS!$A:$AM,9,0)</f>
        <v>0.30199999999999999</v>
      </c>
      <c r="V71" s="55">
        <f>VLOOKUP($B71,iOS!$A:$AM,10,0)</f>
        <v>0.151</v>
      </c>
      <c r="W71" s="55">
        <f>VLOOKUP($B71,iOS!$A:$AM,11,0)</f>
        <v>7.8E-2</v>
      </c>
      <c r="X71" s="40">
        <f>VLOOKUP($B71,iOS!$A:$AM,7,0)</f>
        <v>14.29</v>
      </c>
      <c r="Y71" s="40">
        <f>VLOOKUP($B71,iOS!$A:$AM,8,0)</f>
        <v>22.28</v>
      </c>
      <c r="Z71" s="57">
        <f>VLOOKUP($B71,iOS!$A:$AM,25,0)</f>
        <v>10.6420480795272</v>
      </c>
      <c r="AA71" s="58">
        <f>VLOOKUP($B71,iOS!$A:$AM,31,0)</f>
        <v>7.1370537350050204E-3</v>
      </c>
      <c r="AB71" s="59">
        <f>VLOOKUP($B71,iOS!$A:$AM,33,0)</f>
        <v>6.1666693218205899E-2</v>
      </c>
      <c r="AC71" s="59">
        <f>VLOOKUP($B71,iOS!$A:$AN,40,0)</f>
        <v>5.8209999999999997</v>
      </c>
    </row>
    <row r="72" spans="2:29">
      <c r="B72" s="39">
        <f t="shared" si="2"/>
        <v>43698</v>
      </c>
      <c r="C72" s="40">
        <f>VLOOKUP($B72,安卓!$A:$AM,3,0)</f>
        <v>11160</v>
      </c>
      <c r="D72" s="40">
        <f>VLOOKUP($B72,安卓!$A:$AM,4,0)</f>
        <v>47842</v>
      </c>
      <c r="E72" s="55">
        <f>VLOOKUP($B72,安卓!$A:$AM,9,0)</f>
        <v>0.26900000000000002</v>
      </c>
      <c r="F72" s="55">
        <f>VLOOKUP($B72,安卓!$A:$AM,10,0)</f>
        <v>0.128</v>
      </c>
      <c r="G72" s="55">
        <f>VLOOKUP($B72,安卓!$A:$AM,11,0)</f>
        <v>7.0000000000000007E-2</v>
      </c>
      <c r="H72" s="40">
        <f>VLOOKUP($B72,安卓!$A:$AM,7,0)</f>
        <v>8.8800000000000008</v>
      </c>
      <c r="I72" s="40">
        <f>VLOOKUP($B72,安卓!$A:$AM,8,0)</f>
        <v>14.16</v>
      </c>
      <c r="J72" s="57">
        <f>VLOOKUP($B72,安卓!$A:$AM,25,0)</f>
        <v>10.357865473851399</v>
      </c>
      <c r="K72" s="58">
        <f>VLOOKUP($B72,安卓!$A:$AM,31,0)</f>
        <v>5.2673383219765096E-3</v>
      </c>
      <c r="L72" s="59">
        <f>VLOOKUP($B72,安卓!$A:$AM,33,0)</f>
        <v>4.3148488775552898E-2</v>
      </c>
      <c r="M72" s="65">
        <f>VLOOKUP($B72,安卓!$A:$AN,40,0)</f>
        <v>4.55</v>
      </c>
      <c r="R72" s="39">
        <f t="shared" si="3"/>
        <v>43698</v>
      </c>
      <c r="S72" s="40">
        <f>VLOOKUP($B72,iOS!$A:$AM,3,0)</f>
        <v>15739</v>
      </c>
      <c r="T72" s="40">
        <f>VLOOKUP($B72,iOS!$A:$AM,4,0)</f>
        <v>61375</v>
      </c>
      <c r="U72" s="55">
        <f>VLOOKUP($B72,iOS!$A:$AM,9,0)</f>
        <v>0.29099999999999998</v>
      </c>
      <c r="V72" s="55">
        <f>VLOOKUP($B72,iOS!$A:$AM,10,0)</f>
        <v>0.13800000000000001</v>
      </c>
      <c r="W72" s="55">
        <f>VLOOKUP($B72,iOS!$A:$AM,11,0)</f>
        <v>7.5999999999999998E-2</v>
      </c>
      <c r="X72" s="40">
        <f>VLOOKUP($B72,iOS!$A:$AM,7,0)</f>
        <v>15.14</v>
      </c>
      <c r="Y72" s="40">
        <f>VLOOKUP($B72,iOS!$A:$AM,8,0)</f>
        <v>23.56</v>
      </c>
      <c r="Z72" s="57">
        <f>VLOOKUP($B72,iOS!$A:$AM,25,0)</f>
        <v>9.3692382892057005</v>
      </c>
      <c r="AA72" s="58">
        <f>VLOOKUP($B72,iOS!$A:$AM,31,0)</f>
        <v>5.9307535641547901E-3</v>
      </c>
      <c r="AB72" s="59">
        <f>VLOOKUP($B72,iOS!$A:$AM,33,0)</f>
        <v>5.1809205702647597E-2</v>
      </c>
      <c r="AC72" s="59">
        <f>VLOOKUP($B72,iOS!$A:$AN,40,0)</f>
        <v>5.3639999999999999</v>
      </c>
    </row>
    <row r="73" spans="2:29">
      <c r="B73" s="39">
        <f t="shared" si="2"/>
        <v>43699</v>
      </c>
      <c r="C73" s="40">
        <f>VLOOKUP($B73,安卓!$A:$AM,3,0)</f>
        <v>12703</v>
      </c>
      <c r="D73" s="40">
        <f>VLOOKUP($B73,安卓!$A:$AM,4,0)</f>
        <v>48972</v>
      </c>
      <c r="E73" s="55">
        <f>VLOOKUP($B73,安卓!$A:$AM,9,0)</f>
        <v>0.26</v>
      </c>
      <c r="F73" s="55">
        <f>VLOOKUP($B73,安卓!$A:$AM,10,0)</f>
        <v>0.127</v>
      </c>
      <c r="G73" s="55">
        <f>VLOOKUP($B73,安卓!$A:$AM,11,0)</f>
        <v>6.5000000000000002E-2</v>
      </c>
      <c r="H73" s="40">
        <f>VLOOKUP($B73,安卓!$A:$AM,7,0)</f>
        <v>9.3699999999999992</v>
      </c>
      <c r="I73" s="40">
        <f>VLOOKUP($B73,安卓!$A:$AM,8,0)</f>
        <v>15.23</v>
      </c>
      <c r="J73" s="57">
        <f>VLOOKUP($B73,安卓!$A:$AM,25,0)</f>
        <v>9.9926897002368698</v>
      </c>
      <c r="K73" s="58">
        <f>VLOOKUP($B73,安卓!$A:$AM,31,0)</f>
        <v>5.6767132238830396E-3</v>
      </c>
      <c r="L73" s="59">
        <f>VLOOKUP($B73,安卓!$A:$AM,33,0)</f>
        <v>5.2926161888425999E-2</v>
      </c>
      <c r="M73" s="65">
        <f>VLOOKUP($B73,安卓!$A:$AN,40,0)</f>
        <v>5.1890000000000001</v>
      </c>
      <c r="R73" s="39">
        <f t="shared" si="3"/>
        <v>43699</v>
      </c>
      <c r="S73" s="40">
        <f>VLOOKUP($B73,iOS!$A:$AM,3,0)</f>
        <v>15018</v>
      </c>
      <c r="T73" s="40">
        <f>VLOOKUP($B73,iOS!$A:$AM,4,0)</f>
        <v>60332</v>
      </c>
      <c r="U73" s="55">
        <f>VLOOKUP($B73,iOS!$A:$AM,9,0)</f>
        <v>0.28100000000000003</v>
      </c>
      <c r="V73" s="55">
        <f>VLOOKUP($B73,iOS!$A:$AM,10,0)</f>
        <v>0.13100000000000001</v>
      </c>
      <c r="W73" s="55">
        <f>VLOOKUP($B73,iOS!$A:$AM,11,0)</f>
        <v>6.7000000000000004E-2</v>
      </c>
      <c r="X73" s="40">
        <f>VLOOKUP($B73,iOS!$A:$AM,7,0)</f>
        <v>15.67</v>
      </c>
      <c r="Y73" s="40">
        <f>VLOOKUP($B73,iOS!$A:$AM,8,0)</f>
        <v>23.77</v>
      </c>
      <c r="Z73" s="57">
        <f>VLOOKUP($B73,iOS!$A:$AM,25,0)</f>
        <v>8.9843863952794507</v>
      </c>
      <c r="AA73" s="58">
        <f>VLOOKUP($B73,iOS!$A:$AM,31,0)</f>
        <v>5.7515083206258703E-3</v>
      </c>
      <c r="AB73" s="59">
        <f>VLOOKUP($B73,iOS!$A:$AM,33,0)</f>
        <v>5.3571902141483801E-2</v>
      </c>
      <c r="AC73" s="59">
        <f>VLOOKUP($B73,iOS!$A:$AN,40,0)</f>
        <v>6.02</v>
      </c>
    </row>
    <row r="74" spans="2:29">
      <c r="B74" s="39">
        <f t="shared" si="2"/>
        <v>43700</v>
      </c>
      <c r="C74" s="40">
        <f>VLOOKUP($B74,安卓!$A:$AM,3,0)</f>
        <v>10337</v>
      </c>
      <c r="D74" s="40">
        <f>VLOOKUP($B74,安卓!$A:$AM,4,0)</f>
        <v>46407</v>
      </c>
      <c r="E74" s="55">
        <f>VLOOKUP($B74,安卓!$A:$AM,9,0)</f>
        <v>0.246</v>
      </c>
      <c r="F74" s="55">
        <f>VLOOKUP($B74,安卓!$A:$AM,10,0)</f>
        <v>0.122</v>
      </c>
      <c r="G74" s="55">
        <f>VLOOKUP($B74,安卓!$A:$AM,11,0)</f>
        <v>6.5000000000000002E-2</v>
      </c>
      <c r="H74" s="40">
        <f>VLOOKUP($B74,安卓!$A:$AM,7,0)</f>
        <v>8.56</v>
      </c>
      <c r="I74" s="40">
        <f>VLOOKUP($B74,安卓!$A:$AM,8,0)</f>
        <v>13.7</v>
      </c>
      <c r="J74" s="57">
        <f>VLOOKUP($B74,安卓!$A:$AM,25,0)</f>
        <v>10.2272501993234</v>
      </c>
      <c r="K74" s="58">
        <f>VLOOKUP($B74,安卓!$A:$AM,31,0)</f>
        <v>5.8611847350615197E-3</v>
      </c>
      <c r="L74" s="59">
        <f>VLOOKUP($B74,安卓!$A:$AM,33,0)</f>
        <v>4.7794513758700197E-2</v>
      </c>
      <c r="M74" s="65">
        <f>VLOOKUP($B74,安卓!$A:$AN,40,0)</f>
        <v>4.4980000000000002</v>
      </c>
      <c r="R74" s="39">
        <f t="shared" si="3"/>
        <v>43700</v>
      </c>
      <c r="S74" s="40">
        <f>VLOOKUP($B74,iOS!$A:$AM,3,0)</f>
        <v>14650</v>
      </c>
      <c r="T74" s="40">
        <f>VLOOKUP($B74,iOS!$A:$AM,4,0)</f>
        <v>59429</v>
      </c>
      <c r="U74" s="55">
        <f>VLOOKUP($B74,iOS!$A:$AM,9,0)</f>
        <v>0.26700000000000002</v>
      </c>
      <c r="V74" s="55">
        <f>VLOOKUP($B74,iOS!$A:$AM,10,0)</f>
        <v>0.13600000000000001</v>
      </c>
      <c r="W74" s="55">
        <f>VLOOKUP($B74,iOS!$A:$AM,11,0)</f>
        <v>6.4000000000000001E-2</v>
      </c>
      <c r="X74" s="40">
        <f>VLOOKUP($B74,iOS!$A:$AM,7,0)</f>
        <v>14.79</v>
      </c>
      <c r="Y74" s="40">
        <f>VLOOKUP($B74,iOS!$A:$AM,8,0)</f>
        <v>21.86</v>
      </c>
      <c r="Z74" s="57">
        <f>VLOOKUP($B74,iOS!$A:$AM,25,0)</f>
        <v>8.8890272425920003</v>
      </c>
      <c r="AA74" s="58">
        <f>VLOOKUP($B74,iOS!$A:$AM,31,0)</f>
        <v>6.0239950192666897E-3</v>
      </c>
      <c r="AB74" s="59">
        <f>VLOOKUP($B74,iOS!$A:$AM,33,0)</f>
        <v>5.2234935805751399E-2</v>
      </c>
      <c r="AC74" s="59">
        <f>VLOOKUP($B74,iOS!$A:$AN,40,0)</f>
        <v>5.7350000000000003</v>
      </c>
    </row>
    <row r="75" spans="2:29">
      <c r="B75" s="39">
        <f t="shared" si="2"/>
        <v>43701</v>
      </c>
      <c r="C75" s="40">
        <f>VLOOKUP($B75,安卓!$A:$AM,3,0)</f>
        <v>7207</v>
      </c>
      <c r="D75" s="40">
        <f>VLOOKUP($B75,安卓!$A:$AM,4,0)</f>
        <v>42761</v>
      </c>
      <c r="E75" s="55">
        <f>VLOOKUP($B75,安卓!$A:$AM,9,0)</f>
        <v>0.245</v>
      </c>
      <c r="F75" s="55">
        <f>VLOOKUP($B75,安卓!$A:$AM,10,0)</f>
        <v>0.122</v>
      </c>
      <c r="G75" s="55">
        <f>VLOOKUP($B75,安卓!$A:$AM,11,0)</f>
        <v>6.8000000000000005E-2</v>
      </c>
      <c r="H75" s="40">
        <f>VLOOKUP($B75,安卓!$A:$AM,7,0)</f>
        <v>7.36</v>
      </c>
      <c r="I75" s="40">
        <f>VLOOKUP($B75,安卓!$A:$AM,8,0)</f>
        <v>12.15</v>
      </c>
      <c r="J75" s="57">
        <f>VLOOKUP($B75,安卓!$A:$AM,25,0)</f>
        <v>15.814854657281201</v>
      </c>
      <c r="K75" s="58">
        <f>VLOOKUP($B75,安卓!$A:$AM,31,0)</f>
        <v>9.6115619372793004E-3</v>
      </c>
      <c r="L75" s="59">
        <f>VLOOKUP($B75,安卓!$A:$AM,33,0)</f>
        <v>0.107861602862421</v>
      </c>
      <c r="M75" s="65">
        <f>VLOOKUP($B75,安卓!$A:$AN,40,0)</f>
        <v>5</v>
      </c>
      <c r="R75" s="39">
        <f t="shared" si="3"/>
        <v>43701</v>
      </c>
      <c r="S75" s="40">
        <f>VLOOKUP($B75,iOS!$A:$AM,3,0)</f>
        <v>11692</v>
      </c>
      <c r="T75" s="40">
        <f>VLOOKUP($B75,iOS!$A:$AM,4,0)</f>
        <v>55426</v>
      </c>
      <c r="U75" s="55">
        <f>VLOOKUP($B75,iOS!$A:$AM,9,0)</f>
        <v>0.26500000000000001</v>
      </c>
      <c r="V75" s="55">
        <f>VLOOKUP($B75,iOS!$A:$AM,10,0)</f>
        <v>0.13300000000000001</v>
      </c>
      <c r="W75" s="55">
        <f>VLOOKUP($B75,iOS!$A:$AM,11,0)</f>
        <v>6.6000000000000003E-2</v>
      </c>
      <c r="X75" s="40">
        <f>VLOOKUP($B75,iOS!$A:$AM,7,0)</f>
        <v>13.5</v>
      </c>
      <c r="Y75" s="40">
        <f>VLOOKUP($B75,iOS!$A:$AM,8,0)</f>
        <v>20.09</v>
      </c>
      <c r="Z75" s="57">
        <f>VLOOKUP($B75,iOS!$A:$AM,25,0)</f>
        <v>12.3366109767979</v>
      </c>
      <c r="AA75" s="58">
        <f>VLOOKUP($B75,iOS!$A:$AM,31,0)</f>
        <v>7.5957132031898404E-3</v>
      </c>
      <c r="AB75" s="59">
        <f>VLOOKUP($B75,iOS!$A:$AM,33,0)</f>
        <v>0.105485692635225</v>
      </c>
      <c r="AC75" s="59">
        <f>VLOOKUP($B75,iOS!$A:$AN,40,0)</f>
        <v>6.0949999999999998</v>
      </c>
    </row>
    <row r="76" spans="2:29">
      <c r="B76" s="39">
        <f t="shared" si="2"/>
        <v>43702</v>
      </c>
      <c r="C76" s="40">
        <f>VLOOKUP($B76,安卓!$A:$AM,3,0)</f>
        <v>8990</v>
      </c>
      <c r="D76" s="40">
        <f>VLOOKUP($B76,安卓!$A:$AM,4,0)</f>
        <v>44336</v>
      </c>
      <c r="E76" s="55">
        <f>VLOOKUP($B76,安卓!$A:$AM,9,0)</f>
        <v>0.252</v>
      </c>
      <c r="F76" s="55">
        <f>VLOOKUP($B76,安卓!$A:$AM,10,0)</f>
        <v>0.114</v>
      </c>
      <c r="G76" s="55">
        <f>VLOOKUP($B76,安卓!$A:$AM,11,0)</f>
        <v>6.8000000000000005E-2</v>
      </c>
      <c r="H76" s="40">
        <f>VLOOKUP($B76,安卓!$A:$AM,7,0)</f>
        <v>7.64</v>
      </c>
      <c r="I76" s="40">
        <f>VLOOKUP($B76,安卓!$A:$AM,8,0)</f>
        <v>12.2</v>
      </c>
      <c r="J76" s="57">
        <f>VLOOKUP($B76,安卓!$A:$AM,25,0)</f>
        <v>14.783516780945501</v>
      </c>
      <c r="K76" s="58">
        <f>VLOOKUP($B76,安卓!$A:$AM,31,0)</f>
        <v>8.34536268495128E-3</v>
      </c>
      <c r="L76" s="59">
        <f>VLOOKUP($B76,安卓!$A:$AM,33,0)</f>
        <v>7.9267186936124098E-2</v>
      </c>
      <c r="M76" s="65">
        <f>VLOOKUP($B76,安卓!$A:$AN,40,0)</f>
        <v>4.7729999999999997</v>
      </c>
      <c r="R76" s="39">
        <f t="shared" si="3"/>
        <v>43702</v>
      </c>
      <c r="S76" s="40">
        <f>VLOOKUP($B76,iOS!$A:$AM,3,0)</f>
        <v>14168</v>
      </c>
      <c r="T76" s="40">
        <f>VLOOKUP($B76,iOS!$A:$AM,4,0)</f>
        <v>57604</v>
      </c>
      <c r="U76" s="55">
        <f>VLOOKUP($B76,iOS!$A:$AM,9,0)</f>
        <v>0.26400000000000001</v>
      </c>
      <c r="V76" s="55">
        <f>VLOOKUP($B76,iOS!$A:$AM,10,0)</f>
        <v>0.123</v>
      </c>
      <c r="W76" s="55">
        <f>VLOOKUP($B76,iOS!$A:$AM,11,0)</f>
        <v>7.0000000000000007E-2</v>
      </c>
      <c r="X76" s="40">
        <f>VLOOKUP($B76,iOS!$A:$AM,7,0)</f>
        <v>13.57</v>
      </c>
      <c r="Y76" s="40">
        <f>VLOOKUP($B76,iOS!$A:$AM,8,0)</f>
        <v>20.29</v>
      </c>
      <c r="Z76" s="57">
        <f>VLOOKUP($B76,iOS!$A:$AM,25,0)</f>
        <v>11.5400319422262</v>
      </c>
      <c r="AA76" s="58">
        <f>VLOOKUP($B76,iOS!$A:$AM,31,0)</f>
        <v>7.2043608082772003E-3</v>
      </c>
      <c r="AB76" s="59">
        <f>VLOOKUP($B76,iOS!$A:$AM,33,0)</f>
        <v>8.3132074161516495E-2</v>
      </c>
      <c r="AC76" s="59">
        <f>VLOOKUP($B76,iOS!$A:$AN,40,0)</f>
        <v>5.7709999999999999</v>
      </c>
    </row>
    <row r="77" spans="2:29">
      <c r="B77" s="39">
        <f t="shared" si="2"/>
        <v>43703</v>
      </c>
      <c r="C77" s="40">
        <f>VLOOKUP($B77,安卓!$A:$AM,3,0)</f>
        <v>7716</v>
      </c>
      <c r="D77" s="40">
        <f>VLOOKUP($B77,安卓!$A:$AM,4,0)</f>
        <v>43905</v>
      </c>
      <c r="E77" s="55">
        <f>VLOOKUP($B77,安卓!$A:$AM,9,0)</f>
        <v>0.25900000000000001</v>
      </c>
      <c r="F77" s="55">
        <f>VLOOKUP($B77,安卓!$A:$AM,10,0)</f>
        <v>0.13100000000000001</v>
      </c>
      <c r="G77" s="55">
        <f>VLOOKUP($B77,安卓!$A:$AM,11,0)</f>
        <v>0.08</v>
      </c>
      <c r="H77" s="40">
        <f>VLOOKUP($B77,安卓!$A:$AM,7,0)</f>
        <v>7.57</v>
      </c>
      <c r="I77" s="40">
        <f>VLOOKUP($B77,安卓!$A:$AM,8,0)</f>
        <v>12.49</v>
      </c>
      <c r="J77" s="57">
        <f>VLOOKUP($B77,安卓!$A:$AM,25,0)</f>
        <v>14.4770755039289</v>
      </c>
      <c r="K77" s="58">
        <f>VLOOKUP($B77,安卓!$A:$AM,31,0)</f>
        <v>7.4706753217173398E-3</v>
      </c>
      <c r="L77" s="59">
        <f>VLOOKUP($B77,安卓!$A:$AM,33,0)</f>
        <v>7.1976768021865395E-2</v>
      </c>
      <c r="M77" s="65">
        <f>VLOOKUP($B77,安卓!$A:$AN,40,0)</f>
        <v>4.7889999999999997</v>
      </c>
      <c r="R77" s="39">
        <f t="shared" si="3"/>
        <v>43703</v>
      </c>
      <c r="S77" s="40">
        <f>VLOOKUP($B77,iOS!$A:$AM,3,0)</f>
        <v>13056</v>
      </c>
      <c r="T77" s="40">
        <f>VLOOKUP($B77,iOS!$A:$AM,4,0)</f>
        <v>58241</v>
      </c>
      <c r="U77" s="55">
        <f>VLOOKUP($B77,iOS!$A:$AM,9,0)</f>
        <v>0.28199999999999997</v>
      </c>
      <c r="V77" s="55">
        <f>VLOOKUP($B77,iOS!$A:$AM,10,0)</f>
        <v>0.13900000000000001</v>
      </c>
      <c r="W77" s="55">
        <f>VLOOKUP($B77,iOS!$A:$AM,11,0)</f>
        <v>7.3999999999999996E-2</v>
      </c>
      <c r="X77" s="40">
        <f>VLOOKUP($B77,iOS!$A:$AM,7,0)</f>
        <v>14.17</v>
      </c>
      <c r="Y77" s="40">
        <f>VLOOKUP($B77,iOS!$A:$AM,8,0)</f>
        <v>20.5</v>
      </c>
      <c r="Z77" s="57">
        <f>VLOOKUP($B77,iOS!$A:$AM,25,0)</f>
        <v>11.5568585704229</v>
      </c>
      <c r="AA77" s="58">
        <f>VLOOKUP($B77,iOS!$A:$AM,31,0)</f>
        <v>7.2285846740268904E-3</v>
      </c>
      <c r="AB77" s="59">
        <f>VLOOKUP($B77,iOS!$A:$AM,33,0)</f>
        <v>6.8251747051046502E-2</v>
      </c>
      <c r="AC77" s="59">
        <f>VLOOKUP($B77,iOS!$A:$AN,40,0)</f>
        <v>5.9180000000000001</v>
      </c>
    </row>
    <row r="78" spans="2:29">
      <c r="B78" s="39">
        <f t="shared" si="2"/>
        <v>43704</v>
      </c>
      <c r="C78" s="40">
        <f>VLOOKUP($B78,安卓!$A:$AM,3,0)</f>
        <v>10577</v>
      </c>
      <c r="D78" s="40">
        <f>VLOOKUP($B78,安卓!$A:$AM,4,0)</f>
        <v>45917</v>
      </c>
      <c r="E78" s="55">
        <f>VLOOKUP($B78,安卓!$A:$AM,9,0)</f>
        <v>0.27200000000000002</v>
      </c>
      <c r="F78" s="55">
        <f>VLOOKUP($B78,安卓!$A:$AM,10,0)</f>
        <v>0.124</v>
      </c>
      <c r="G78" s="55">
        <f>VLOOKUP($B78,安卓!$A:$AM,11,0)</f>
        <v>6.6000000000000003E-2</v>
      </c>
      <c r="H78" s="40">
        <f>VLOOKUP($B78,安卓!$A:$AM,7,0)</f>
        <v>8.19</v>
      </c>
      <c r="I78" s="40">
        <f>VLOOKUP($B78,安卓!$A:$AM,8,0)</f>
        <v>14.58</v>
      </c>
      <c r="J78" s="57">
        <f>VLOOKUP($B78,安卓!$A:$AM,25,0)</f>
        <v>12.1946991310408</v>
      </c>
      <c r="K78" s="58">
        <f>VLOOKUP($B78,安卓!$A:$AM,31,0)</f>
        <v>6.8384258553476898E-3</v>
      </c>
      <c r="L78" s="59">
        <f>VLOOKUP($B78,安卓!$A:$AM,33,0)</f>
        <v>6.6424200187294405E-2</v>
      </c>
      <c r="M78" s="65">
        <f>VLOOKUP($B78,安卓!$A:$AN,40,0)</f>
        <v>4.4909999999999997</v>
      </c>
      <c r="R78" s="39">
        <f t="shared" si="3"/>
        <v>43704</v>
      </c>
      <c r="S78" s="40">
        <f>VLOOKUP($B78,iOS!$A:$AM,3,0)</f>
        <v>14039</v>
      </c>
      <c r="T78" s="40">
        <f>VLOOKUP($B78,iOS!$A:$AM,4,0)</f>
        <v>58124</v>
      </c>
      <c r="U78" s="55">
        <f>VLOOKUP($B78,iOS!$A:$AM,9,0)</f>
        <v>0.28699999999999998</v>
      </c>
      <c r="V78" s="55">
        <f>VLOOKUP($B78,iOS!$A:$AM,10,0)</f>
        <v>0.13900000000000001</v>
      </c>
      <c r="W78" s="55">
        <f>VLOOKUP($B78,iOS!$A:$AM,11,0)</f>
        <v>7.3999999999999996E-2</v>
      </c>
      <c r="X78" s="40">
        <f>VLOOKUP($B78,iOS!$A:$AM,7,0)</f>
        <v>15.94</v>
      </c>
      <c r="Y78" s="40">
        <f>VLOOKUP($B78,iOS!$A:$AM,8,0)</f>
        <v>23.96</v>
      </c>
      <c r="Z78" s="57">
        <f>VLOOKUP($B78,iOS!$A:$AM,25,0)</f>
        <v>10.718240313811901</v>
      </c>
      <c r="AA78" s="58">
        <f>VLOOKUP($B78,iOS!$A:$AM,31,0)</f>
        <v>7.1743169774963903E-3</v>
      </c>
      <c r="AB78" s="59">
        <f>VLOOKUP($B78,iOS!$A:$AM,33,0)</f>
        <v>7.0332908953272294E-2</v>
      </c>
      <c r="AC78" s="59">
        <f>VLOOKUP($B78,iOS!$A:$AN,40,0)</f>
        <v>6.3760000000000003</v>
      </c>
    </row>
    <row r="79" spans="2:29">
      <c r="B79" s="39">
        <f t="shared" si="2"/>
        <v>43705</v>
      </c>
      <c r="C79" s="40">
        <f>VLOOKUP($B79,安卓!$A:$AM,3,0)</f>
        <v>11436</v>
      </c>
      <c r="D79" s="40">
        <f>VLOOKUP($B79,安卓!$A:$AM,4,0)</f>
        <v>45671</v>
      </c>
      <c r="E79" s="55">
        <f>VLOOKUP($B79,安卓!$A:$AM,9,0)</f>
        <v>0.248</v>
      </c>
      <c r="F79" s="55">
        <f>VLOOKUP($B79,安卓!$A:$AM,10,0)</f>
        <v>0.11600000000000001</v>
      </c>
      <c r="G79" s="55">
        <f>VLOOKUP($B79,安卓!$A:$AM,11,0)</f>
        <v>0.06</v>
      </c>
      <c r="H79" s="40">
        <f>VLOOKUP($B79,安卓!$A:$AM,7,0)</f>
        <v>8.68</v>
      </c>
      <c r="I79" s="40">
        <f>VLOOKUP($B79,安卓!$A:$AM,8,0)</f>
        <v>16.309999999999999</v>
      </c>
      <c r="J79" s="57">
        <f>VLOOKUP($B79,安卓!$A:$AM,25,0)</f>
        <v>9.9335464517965395</v>
      </c>
      <c r="K79" s="58">
        <f>VLOOKUP($B79,安卓!$A:$AM,31,0)</f>
        <v>5.3863502003459497E-3</v>
      </c>
      <c r="L79" s="59">
        <f>VLOOKUP($B79,安卓!$A:$AM,33,0)</f>
        <v>4.13492150379891E-2</v>
      </c>
      <c r="M79" s="65">
        <f>VLOOKUP($B79,安卓!$A:$AN,40,0)</f>
        <v>5.2590000000000003</v>
      </c>
      <c r="R79" s="39">
        <f t="shared" si="3"/>
        <v>43705</v>
      </c>
      <c r="S79" s="40">
        <f>VLOOKUP($B79,iOS!$A:$AM,3,0)</f>
        <v>14352</v>
      </c>
      <c r="T79" s="40">
        <f>VLOOKUP($B79,iOS!$A:$AM,4,0)</f>
        <v>57537</v>
      </c>
      <c r="U79" s="55">
        <f>VLOOKUP($B79,iOS!$A:$AM,9,0)</f>
        <v>0.28499999999999998</v>
      </c>
      <c r="V79" s="55">
        <f>VLOOKUP($B79,iOS!$A:$AM,10,0)</f>
        <v>0.128</v>
      </c>
      <c r="W79" s="55">
        <f>VLOOKUP($B79,iOS!$A:$AM,11,0)</f>
        <v>6.3E-2</v>
      </c>
      <c r="X79" s="40">
        <f>VLOOKUP($B79,iOS!$A:$AM,7,0)</f>
        <v>16.34</v>
      </c>
      <c r="Y79" s="40">
        <f>VLOOKUP($B79,iOS!$A:$AM,8,0)</f>
        <v>25.96</v>
      </c>
      <c r="Z79" s="57">
        <f>VLOOKUP($B79,iOS!$A:$AM,25,0)</f>
        <v>9.1131272051027992</v>
      </c>
      <c r="AA79" s="58">
        <f>VLOOKUP($B79,iOS!$A:$AM,31,0)</f>
        <v>6.08304221631298E-3</v>
      </c>
      <c r="AB79" s="59">
        <f>VLOOKUP($B79,iOS!$A:$AM,33,0)</f>
        <v>5.5597789248657402E-2</v>
      </c>
      <c r="AC79" s="59">
        <f>VLOOKUP($B79,iOS!$A:$AN,40,0)</f>
        <v>6.4240000000000004</v>
      </c>
    </row>
    <row r="80" spans="2:29">
      <c r="B80" s="39">
        <f t="shared" si="2"/>
        <v>43706</v>
      </c>
      <c r="C80" s="40">
        <f>VLOOKUP($B80,安卓!$A:$AM,3,0)</f>
        <v>9256</v>
      </c>
      <c r="D80" s="40">
        <f>VLOOKUP($B80,安卓!$A:$AM,4,0)</f>
        <v>43261</v>
      </c>
      <c r="E80" s="55">
        <f>VLOOKUP($B80,安卓!$A:$AM,9,0)</f>
        <v>0.26200000000000001</v>
      </c>
      <c r="F80" s="55">
        <f>VLOOKUP($B80,安卓!$A:$AM,10,0)</f>
        <v>0.124</v>
      </c>
      <c r="G80" s="55">
        <f>VLOOKUP($B80,安卓!$A:$AM,11,0)</f>
        <v>7.0000000000000007E-2</v>
      </c>
      <c r="H80" s="40">
        <f>VLOOKUP($B80,安卓!$A:$AM,7,0)</f>
        <v>9.14</v>
      </c>
      <c r="I80" s="40">
        <f>VLOOKUP($B80,安卓!$A:$AM,8,0)</f>
        <v>17.649999999999999</v>
      </c>
      <c r="J80" s="57">
        <f>VLOOKUP($B80,安卓!$A:$AM,25,0)</f>
        <v>9.9925336908531897</v>
      </c>
      <c r="K80" s="58">
        <f>VLOOKUP($B80,安卓!$A:$AM,31,0)</f>
        <v>5.8251080650008101E-3</v>
      </c>
      <c r="L80" s="59">
        <f>VLOOKUP($B80,安卓!$A:$AM,33,0)</f>
        <v>4.7258963038302397E-2</v>
      </c>
      <c r="M80" s="65">
        <f>VLOOKUP($B80,安卓!$A:$AN,40,0)</f>
        <v>4.6310000000000002</v>
      </c>
      <c r="R80" s="39">
        <f t="shared" si="3"/>
        <v>43706</v>
      </c>
      <c r="S80" s="40">
        <f>VLOOKUP($B80,iOS!$A:$AM,3,0)</f>
        <v>11364</v>
      </c>
      <c r="T80" s="40">
        <f>VLOOKUP($B80,iOS!$A:$AM,4,0)</f>
        <v>53693</v>
      </c>
      <c r="U80" s="55">
        <f>VLOOKUP($B80,iOS!$A:$AM,9,0)</f>
        <v>0.27600000000000002</v>
      </c>
      <c r="V80" s="55">
        <f>VLOOKUP($B80,iOS!$A:$AM,10,0)</f>
        <v>0.13500000000000001</v>
      </c>
      <c r="W80" s="55">
        <f>VLOOKUP($B80,iOS!$A:$AM,11,0)</f>
        <v>6.8000000000000005E-2</v>
      </c>
      <c r="X80" s="40">
        <f>VLOOKUP($B80,iOS!$A:$AM,7,0)</f>
        <v>16.03</v>
      </c>
      <c r="Y80" s="40">
        <f>VLOOKUP($B80,iOS!$A:$AM,8,0)</f>
        <v>24.53</v>
      </c>
      <c r="Z80" s="57">
        <f>VLOOKUP($B80,iOS!$A:$AM,25,0)</f>
        <v>9.2256160020859301</v>
      </c>
      <c r="AA80" s="58">
        <f>VLOOKUP($B80,iOS!$A:$AM,31,0)</f>
        <v>6.2391745665170504E-3</v>
      </c>
      <c r="AB80" s="59">
        <f>VLOOKUP($B80,iOS!$A:$AM,33,0)</f>
        <v>6.6401765593280301E-2</v>
      </c>
      <c r="AC80" s="59">
        <f>VLOOKUP($B80,iOS!$A:$AN,40,0)</f>
        <v>5.2060000000000004</v>
      </c>
    </row>
    <row r="81" spans="2:29">
      <c r="B81" s="39">
        <f t="shared" si="2"/>
        <v>43707</v>
      </c>
      <c r="C81" s="40">
        <f>VLOOKUP($B81,安卓!$A:$AM,3,0)</f>
        <v>8005</v>
      </c>
      <c r="D81" s="40">
        <f>VLOOKUP($B81,安卓!$A:$AM,4,0)</f>
        <v>41140</v>
      </c>
      <c r="E81" s="55">
        <f>VLOOKUP($B81,安卓!$A:$AM,9,0)</f>
        <v>0.254</v>
      </c>
      <c r="F81" s="55">
        <f>VLOOKUP($B81,安卓!$A:$AM,10,0)</f>
        <v>0.129</v>
      </c>
      <c r="G81" s="55">
        <f>VLOOKUP($B81,安卓!$A:$AM,11,0)</f>
        <v>7.0999999999999994E-2</v>
      </c>
      <c r="H81" s="40">
        <f>VLOOKUP($B81,安卓!$A:$AM,7,0)</f>
        <v>8.7200000000000006</v>
      </c>
      <c r="I81" s="40">
        <f>VLOOKUP($B81,安卓!$A:$AM,8,0)</f>
        <v>16.579999999999998</v>
      </c>
      <c r="J81" s="57">
        <f>VLOOKUP($B81,安卓!$A:$AM,25,0)</f>
        <v>10.0409090909091</v>
      </c>
      <c r="K81" s="58">
        <f>VLOOKUP($B81,安卓!$A:$AM,31,0)</f>
        <v>7.5109382596013604E-3</v>
      </c>
      <c r="L81" s="59">
        <f>VLOOKUP($B81,安卓!$A:$AM,33,0)</f>
        <v>5.50947982498785E-2</v>
      </c>
      <c r="M81" s="65">
        <f>VLOOKUP($B81,安卓!$A:$AN,40,0)</f>
        <v>4.4740000000000002</v>
      </c>
      <c r="R81" s="39">
        <f t="shared" si="3"/>
        <v>43707</v>
      </c>
      <c r="S81" s="40">
        <f>VLOOKUP($B81,iOS!$A:$AM,3,0)</f>
        <v>10689</v>
      </c>
      <c r="T81" s="40">
        <f>VLOOKUP($B81,iOS!$A:$AM,4,0)</f>
        <v>51570</v>
      </c>
      <c r="U81" s="55">
        <f>VLOOKUP($B81,iOS!$A:$AM,9,0)</f>
        <v>0.26200000000000001</v>
      </c>
      <c r="V81" s="55">
        <f>VLOOKUP($B81,iOS!$A:$AM,10,0)</f>
        <v>0.13</v>
      </c>
      <c r="W81" s="55">
        <f>VLOOKUP($B81,iOS!$A:$AM,11,0)</f>
        <v>6.3E-2</v>
      </c>
      <c r="X81" s="40">
        <f>VLOOKUP($B81,iOS!$A:$AM,7,0)</f>
        <v>14.5</v>
      </c>
      <c r="Y81" s="40">
        <f>VLOOKUP($B81,iOS!$A:$AM,8,0)</f>
        <v>21.27</v>
      </c>
      <c r="Z81" s="57">
        <f>VLOOKUP($B81,iOS!$A:$AM,25,0)</f>
        <v>8.8181888694977708</v>
      </c>
      <c r="AA81" s="58">
        <f>VLOOKUP($B81,iOS!$A:$AM,31,0)</f>
        <v>5.9142912546053901E-3</v>
      </c>
      <c r="AB81" s="59">
        <f>VLOOKUP($B81,iOS!$A:$AM,33,0)</f>
        <v>5.5471204188481699E-2</v>
      </c>
      <c r="AC81" s="59">
        <f>VLOOKUP($B81,iOS!$A:$AN,40,0)</f>
        <v>5.75</v>
      </c>
    </row>
    <row r="82" spans="2:29">
      <c r="B82" s="39">
        <f t="shared" si="2"/>
        <v>43708</v>
      </c>
      <c r="C82" s="40">
        <f>VLOOKUP($B82,安卓!$A:$AM,3,0)</f>
        <v>9624</v>
      </c>
      <c r="D82" s="40">
        <f>VLOOKUP($B82,安卓!$A:$AM,4,0)</f>
        <v>42456</v>
      </c>
      <c r="E82" s="55">
        <f>VLOOKUP($B82,安卓!$A:$AM,9,0)</f>
        <v>0.25600000000000001</v>
      </c>
      <c r="F82" s="55">
        <f>VLOOKUP($B82,安卓!$A:$AM,10,0)</f>
        <v>0.126</v>
      </c>
      <c r="G82" s="55">
        <f>VLOOKUP($B82,安卓!$A:$AM,11,0)</f>
        <v>6.8000000000000005E-2</v>
      </c>
      <c r="H82" s="40">
        <f>VLOOKUP($B82,安卓!$A:$AM,7,0)</f>
        <v>8.34</v>
      </c>
      <c r="I82" s="40">
        <f>VLOOKUP($B82,安卓!$A:$AM,8,0)</f>
        <v>15.49</v>
      </c>
      <c r="J82" s="57">
        <f>VLOOKUP($B82,安卓!$A:$AM,25,0)</f>
        <v>14.432235726399099</v>
      </c>
      <c r="K82" s="58">
        <f>VLOOKUP($B82,安卓!$A:$AM,31,0)</f>
        <v>9.3508573582061407E-3</v>
      </c>
      <c r="L82" s="59">
        <f>VLOOKUP($B82,安卓!$A:$AM,33,0)</f>
        <v>0.11436758055398499</v>
      </c>
      <c r="M82" s="65">
        <f>VLOOKUP($B82,安卓!$A:$AN,40,0)</f>
        <v>5.1950000000000003</v>
      </c>
      <c r="R82" s="39">
        <f t="shared" si="3"/>
        <v>43708</v>
      </c>
      <c r="S82" s="40">
        <f>VLOOKUP($B82,iOS!$A:$AM,3,0)</f>
        <v>8777</v>
      </c>
      <c r="T82" s="40">
        <f>VLOOKUP($B82,iOS!$A:$AM,4,0)</f>
        <v>48530</v>
      </c>
      <c r="U82" s="55">
        <f>VLOOKUP($B82,iOS!$A:$AM,9,0)</f>
        <v>0.27600000000000002</v>
      </c>
      <c r="V82" s="55">
        <f>VLOOKUP($B82,iOS!$A:$AM,10,0)</f>
        <v>0.14199999999999999</v>
      </c>
      <c r="W82" s="55">
        <f>VLOOKUP($B82,iOS!$A:$AM,11,0)</f>
        <v>7.0999999999999994E-2</v>
      </c>
      <c r="X82" s="40">
        <f>VLOOKUP($B82,iOS!$A:$AM,7,0)</f>
        <v>12.98</v>
      </c>
      <c r="Y82" s="40">
        <f>VLOOKUP($B82,iOS!$A:$AM,8,0)</f>
        <v>19.510000000000002</v>
      </c>
      <c r="Z82" s="57">
        <f>VLOOKUP($B82,iOS!$A:$AM,25,0)</f>
        <v>12.677271790644999</v>
      </c>
      <c r="AA82" s="58">
        <f>VLOOKUP($B82,iOS!$A:$AM,31,0)</f>
        <v>8.4689882546878197E-3</v>
      </c>
      <c r="AB82" s="59">
        <f>VLOOKUP($B82,iOS!$A:$AM,33,0)</f>
        <v>0.110935297753967</v>
      </c>
      <c r="AC82" s="59">
        <f>VLOOKUP($B82,iOS!$A:$AN,40,0)</f>
        <v>5.4560000000000004</v>
      </c>
    </row>
    <row r="83" spans="2:29">
      <c r="B83" s="39">
        <f t="shared" si="2"/>
        <v>43709</v>
      </c>
      <c r="C83" s="40">
        <f>VLOOKUP($B83,安卓!$A:$AM,3,0)</f>
        <v>9503</v>
      </c>
      <c r="D83" s="40">
        <f>VLOOKUP($B83,安卓!$A:$AM,4,0)</f>
        <v>43498</v>
      </c>
      <c r="E83" s="55">
        <f>VLOOKUP($B83,安卓!$A:$AM,9,0)</f>
        <v>0.25700000000000001</v>
      </c>
      <c r="F83" s="55">
        <f>VLOOKUP($B83,安卓!$A:$AM,10,0)</f>
        <v>0.123</v>
      </c>
      <c r="G83" s="55">
        <f>VLOOKUP($B83,安卓!$A:$AM,11,0)</f>
        <v>7.0000000000000007E-2</v>
      </c>
      <c r="H83" s="40">
        <f>VLOOKUP($B83,安卓!$A:$AM,7,0)</f>
        <v>7.95</v>
      </c>
      <c r="I83" s="40">
        <f>VLOOKUP($B83,安卓!$A:$AM,8,0)</f>
        <v>14.45</v>
      </c>
      <c r="J83" s="57">
        <f>VLOOKUP($B83,安卓!$A:$AM,25,0)</f>
        <v>14.1000045979125</v>
      </c>
      <c r="K83" s="58">
        <f>VLOOKUP($B83,安卓!$A:$AM,31,0)</f>
        <v>8.2072738976504706E-3</v>
      </c>
      <c r="L83" s="59">
        <f>VLOOKUP($B83,安卓!$A:$AM,33,0)</f>
        <v>8.4588946618235294E-2</v>
      </c>
      <c r="M83" s="65">
        <f>VLOOKUP($B83,安卓!$A:$AN,40,0)</f>
        <v>4.7050000000000001</v>
      </c>
      <c r="R83" s="39">
        <f t="shared" si="3"/>
        <v>43709</v>
      </c>
      <c r="S83" s="40">
        <f>VLOOKUP($B83,iOS!$A:$AM,3,0)</f>
        <v>9696</v>
      </c>
      <c r="T83" s="40">
        <f>VLOOKUP($B83,iOS!$A:$AM,4,0)</f>
        <v>49353</v>
      </c>
      <c r="U83" s="55">
        <f>VLOOKUP($B83,iOS!$A:$AM,9,0)</f>
        <v>0.28100000000000003</v>
      </c>
      <c r="V83" s="55">
        <f>VLOOKUP($B83,iOS!$A:$AM,10,0)</f>
        <v>0.13500000000000001</v>
      </c>
      <c r="W83" s="55">
        <f>VLOOKUP($B83,iOS!$A:$AM,11,0)</f>
        <v>7.6999999999999999E-2</v>
      </c>
      <c r="X83" s="40">
        <f>VLOOKUP($B83,iOS!$A:$AM,7,0)</f>
        <v>13.39</v>
      </c>
      <c r="Y83" s="40">
        <f>VLOOKUP($B83,iOS!$A:$AM,8,0)</f>
        <v>20.67</v>
      </c>
      <c r="Z83" s="57">
        <f>VLOOKUP($B83,iOS!$A:$AM,25,0)</f>
        <v>12.0008307499038</v>
      </c>
      <c r="AA83" s="58">
        <f>VLOOKUP($B83,iOS!$A:$AM,31,0)</f>
        <v>8.2872368447713396E-3</v>
      </c>
      <c r="AB83" s="59">
        <f>VLOOKUP($B83,iOS!$A:$AM,33,0)</f>
        <v>8.9820274350090198E-2</v>
      </c>
      <c r="AC83" s="59">
        <f>VLOOKUP($B83,iOS!$A:$AN,40,0)</f>
        <v>6.5949999999999998</v>
      </c>
    </row>
    <row r="84" spans="2:29">
      <c r="B84" s="39">
        <f t="shared" si="2"/>
        <v>43710</v>
      </c>
      <c r="C84" s="40">
        <f>VLOOKUP($B84,安卓!$A:$AM,3,0)</f>
        <v>11136</v>
      </c>
      <c r="D84" s="40">
        <f>VLOOKUP($B84,安卓!$A:$AM,4,0)</f>
        <v>45975</v>
      </c>
      <c r="E84" s="55">
        <f>VLOOKUP($B84,安卓!$A:$AM,9,0)</f>
        <v>0.26700000000000002</v>
      </c>
      <c r="F84" s="55">
        <f>VLOOKUP($B84,安卓!$A:$AM,10,0)</f>
        <v>0.11799999999999999</v>
      </c>
      <c r="G84" s="55">
        <f>VLOOKUP($B84,安卓!$A:$AM,11,0)</f>
        <v>6.8000000000000005E-2</v>
      </c>
      <c r="H84" s="40">
        <f>VLOOKUP($B84,安卓!$A:$AM,7,0)</f>
        <v>8.17</v>
      </c>
      <c r="I84" s="40">
        <f>VLOOKUP($B84,安卓!$A:$AM,8,0)</f>
        <v>14.66</v>
      </c>
      <c r="J84" s="57">
        <f>VLOOKUP($B84,安卓!$A:$AM,25,0)</f>
        <v>12.8470255573681</v>
      </c>
      <c r="K84" s="58">
        <f>VLOOKUP($B84,安卓!$A:$AM,31,0)</f>
        <v>7.4605764002175102E-3</v>
      </c>
      <c r="L84" s="59">
        <f>VLOOKUP($B84,安卓!$A:$AM,33,0)</f>
        <v>7.2082218597063596E-2</v>
      </c>
      <c r="M84" s="65">
        <f>VLOOKUP($B84,安卓!$A:$AN,40,0)</f>
        <v>5.0490000000000004</v>
      </c>
      <c r="R84" s="39">
        <f t="shared" si="3"/>
        <v>43710</v>
      </c>
      <c r="S84" s="40">
        <f>VLOOKUP($B84,iOS!$A:$AM,3,0)</f>
        <v>12331</v>
      </c>
      <c r="T84" s="40">
        <f>VLOOKUP($B84,iOS!$A:$AM,4,0)</f>
        <v>52584</v>
      </c>
      <c r="U84" s="55">
        <f>VLOOKUP($B84,iOS!$A:$AM,9,0)</f>
        <v>0.28699999999999998</v>
      </c>
      <c r="V84" s="55">
        <f>VLOOKUP($B84,iOS!$A:$AM,10,0)</f>
        <v>0.13700000000000001</v>
      </c>
      <c r="W84" s="55">
        <f>VLOOKUP($B84,iOS!$A:$AM,11,0)</f>
        <v>7.9000000000000001E-2</v>
      </c>
      <c r="X84" s="40">
        <f>VLOOKUP($B84,iOS!$A:$AM,7,0)</f>
        <v>14.45</v>
      </c>
      <c r="Y84" s="40">
        <f>VLOOKUP($B84,iOS!$A:$AM,8,0)</f>
        <v>21.32</v>
      </c>
      <c r="Z84" s="57">
        <f>VLOOKUP($B84,iOS!$A:$AM,25,0)</f>
        <v>11.3977825954663</v>
      </c>
      <c r="AA84" s="58">
        <f>VLOOKUP($B84,iOS!$A:$AM,31,0)</f>
        <v>8.4816674273543308E-3</v>
      </c>
      <c r="AB84" s="59">
        <f>VLOOKUP($B84,iOS!$A:$AM,33,0)</f>
        <v>9.4582192301840798E-2</v>
      </c>
      <c r="AC84" s="59">
        <f>VLOOKUP($B84,iOS!$A:$AN,40,0)</f>
        <v>6.452</v>
      </c>
    </row>
    <row r="85" spans="2:29">
      <c r="B85" s="39">
        <f t="shared" si="2"/>
        <v>43711</v>
      </c>
      <c r="C85" s="40">
        <f>VLOOKUP($B85,安卓!$A:$AM,3,0)</f>
        <v>10072</v>
      </c>
      <c r="D85" s="40">
        <f>VLOOKUP($B85,安卓!$A:$AM,4,0)</f>
        <v>45358</v>
      </c>
      <c r="E85" s="55">
        <f>VLOOKUP($B85,安卓!$A:$AM,9,0)</f>
        <v>0.248</v>
      </c>
      <c r="F85" s="55">
        <f>VLOOKUP($B85,安卓!$A:$AM,10,0)</f>
        <v>0.11899999999999999</v>
      </c>
      <c r="G85" s="55">
        <f>VLOOKUP($B85,安卓!$A:$AM,11,0)</f>
        <v>6.2E-2</v>
      </c>
      <c r="H85" s="40">
        <f>VLOOKUP($B85,安卓!$A:$AM,7,0)</f>
        <v>9.0399999999999991</v>
      </c>
      <c r="I85" s="40">
        <f>VLOOKUP($B85,安卓!$A:$AM,8,0)</f>
        <v>16.760000000000002</v>
      </c>
      <c r="J85" s="57">
        <f>VLOOKUP($B85,安卓!$A:$AM,25,0)</f>
        <v>12.094977732704301</v>
      </c>
      <c r="K85" s="58">
        <f>VLOOKUP($B85,安卓!$A:$AM,31,0)</f>
        <v>7.1431720975351602E-3</v>
      </c>
      <c r="L85" s="59">
        <f>VLOOKUP($B85,安卓!$A:$AM,33,0)</f>
        <v>6.8944838837691202E-2</v>
      </c>
      <c r="M85" s="65">
        <f>VLOOKUP($B85,安卓!$A:$AN,40,0)</f>
        <v>5.2380000000000004</v>
      </c>
      <c r="R85" s="39">
        <f t="shared" si="3"/>
        <v>43711</v>
      </c>
      <c r="S85" s="40">
        <f>VLOOKUP($B85,iOS!$A:$AM,3,0)</f>
        <v>10905</v>
      </c>
      <c r="T85" s="40">
        <f>VLOOKUP($B85,iOS!$A:$AM,4,0)</f>
        <v>51813</v>
      </c>
      <c r="U85" s="55">
        <f>VLOOKUP($B85,iOS!$A:$AM,9,0)</f>
        <v>0.28599999999999998</v>
      </c>
      <c r="V85" s="55">
        <f>VLOOKUP($B85,iOS!$A:$AM,10,0)</f>
        <v>0.14399999999999999</v>
      </c>
      <c r="W85" s="55">
        <f>VLOOKUP($B85,iOS!$A:$AM,11,0)</f>
        <v>0.08</v>
      </c>
      <c r="X85" s="40">
        <f>VLOOKUP($B85,iOS!$A:$AM,7,0)</f>
        <v>16.100000000000001</v>
      </c>
      <c r="Y85" s="40">
        <f>VLOOKUP($B85,iOS!$A:$AM,8,0)</f>
        <v>24.25</v>
      </c>
      <c r="Z85" s="57">
        <f>VLOOKUP($B85,iOS!$A:$AM,25,0)</f>
        <v>10.2137108447687</v>
      </c>
      <c r="AA85" s="58">
        <f>VLOOKUP($B85,iOS!$A:$AM,31,0)</f>
        <v>7.31476656437574E-3</v>
      </c>
      <c r="AB85" s="59">
        <f>VLOOKUP($B85,iOS!$A:$AM,33,0)</f>
        <v>9.9066257502943303E-2</v>
      </c>
      <c r="AC85" s="59">
        <f>VLOOKUP($B85,iOS!$A:$AN,40,0)</f>
        <v>5.94</v>
      </c>
    </row>
    <row r="86" spans="2:29">
      <c r="B86" s="39">
        <f t="shared" si="2"/>
        <v>43712</v>
      </c>
      <c r="C86" s="40">
        <f>VLOOKUP($B86,安卓!$A:$AM,3,0)</f>
        <v>7461</v>
      </c>
      <c r="D86" s="40">
        <f>VLOOKUP($B86,安卓!$A:$AM,4,0)</f>
        <v>40346</v>
      </c>
      <c r="E86" s="55">
        <f>VLOOKUP($B86,安卓!$A:$AM,9,0)</f>
        <v>0.255</v>
      </c>
      <c r="F86" s="55">
        <f>VLOOKUP($B86,安卓!$A:$AM,10,0)</f>
        <v>0.13100000000000001</v>
      </c>
      <c r="G86" s="55">
        <f>VLOOKUP($B86,安卓!$A:$AM,11,0)</f>
        <v>6.6000000000000003E-2</v>
      </c>
      <c r="H86" s="40">
        <f>VLOOKUP($B86,安卓!$A:$AM,7,0)</f>
        <v>9.7799999999999994</v>
      </c>
      <c r="I86" s="40">
        <f>VLOOKUP($B86,安卓!$A:$AM,8,0)</f>
        <v>17.86</v>
      </c>
      <c r="J86" s="57">
        <f>VLOOKUP($B86,安卓!$A:$AM,25,0)</f>
        <v>10.2983195360135</v>
      </c>
      <c r="K86" s="58">
        <f>VLOOKUP($B86,安卓!$A:$AM,31,0)</f>
        <v>5.6263322262430004E-3</v>
      </c>
      <c r="L86" s="59">
        <f>VLOOKUP($B86,安卓!$A:$AM,33,0)</f>
        <v>4.18869280721757E-2</v>
      </c>
      <c r="M86" s="65">
        <f>VLOOKUP($B86,安卓!$A:$AN,40,0)</f>
        <v>5.226</v>
      </c>
      <c r="R86" s="39">
        <f t="shared" si="3"/>
        <v>43712</v>
      </c>
      <c r="S86" s="40">
        <f>VLOOKUP($B86,iOS!$A:$AM,3,0)</f>
        <v>11371</v>
      </c>
      <c r="T86" s="40">
        <f>VLOOKUP($B86,iOS!$A:$AM,4,0)</f>
        <v>49931</v>
      </c>
      <c r="U86" s="55">
        <f>VLOOKUP($B86,iOS!$A:$AM,9,0)</f>
        <v>0.29699999999999999</v>
      </c>
      <c r="V86" s="55">
        <f>VLOOKUP($B86,iOS!$A:$AM,10,0)</f>
        <v>0.14499999999999999</v>
      </c>
      <c r="W86" s="55">
        <f>VLOOKUP($B86,iOS!$A:$AM,11,0)</f>
        <v>7.8E-2</v>
      </c>
      <c r="X86" s="40">
        <f>VLOOKUP($B86,iOS!$A:$AM,7,0)</f>
        <v>18.809999999999999</v>
      </c>
      <c r="Y86" s="40">
        <f>VLOOKUP($B86,iOS!$A:$AM,8,0)</f>
        <v>27.67</v>
      </c>
      <c r="Z86" s="57">
        <f>VLOOKUP($B86,iOS!$A:$AM,25,0)</f>
        <v>9.1507480322845502</v>
      </c>
      <c r="AA86" s="58">
        <f>VLOOKUP($B86,iOS!$A:$AM,31,0)</f>
        <v>6.1084296328933899E-3</v>
      </c>
      <c r="AB86" s="59">
        <f>VLOOKUP($B86,iOS!$A:$AM,33,0)</f>
        <v>8.0994572510063895E-2</v>
      </c>
      <c r="AC86" s="59">
        <f>VLOOKUP($B86,iOS!$A:$AN,40,0)</f>
        <v>6.6509999999999998</v>
      </c>
    </row>
    <row r="87" spans="2:29">
      <c r="B87" s="39">
        <f t="shared" si="2"/>
        <v>43713</v>
      </c>
      <c r="C87" s="40">
        <f>VLOOKUP($B87,安卓!$A:$AM,3,0)</f>
        <v>5921</v>
      </c>
      <c r="D87" s="40">
        <f>VLOOKUP($B87,安卓!$A:$AM,4,0)</f>
        <v>37393</v>
      </c>
      <c r="E87" s="55">
        <f>VLOOKUP($B87,安卓!$A:$AM,9,0)</f>
        <v>0.27300000000000002</v>
      </c>
      <c r="F87" s="55">
        <f>VLOOKUP($B87,安卓!$A:$AM,10,0)</f>
        <v>0.127</v>
      </c>
      <c r="G87" s="55">
        <f>VLOOKUP($B87,安卓!$A:$AM,11,0)</f>
        <v>7.0000000000000007E-2</v>
      </c>
      <c r="H87" s="40">
        <f>VLOOKUP($B87,安卓!$A:$AM,7,0)</f>
        <v>9.6199999999999992</v>
      </c>
      <c r="I87" s="40">
        <f>VLOOKUP($B87,安卓!$A:$AM,8,0)</f>
        <v>17.309999999999999</v>
      </c>
      <c r="J87" s="57">
        <f>VLOOKUP($B87,安卓!$A:$AM,25,0)</f>
        <v>10.657609713047901</v>
      </c>
      <c r="K87" s="58">
        <f>VLOOKUP($B87,安卓!$A:$AM,31,0)</f>
        <v>5.5090524964565603E-3</v>
      </c>
      <c r="L87" s="59">
        <f>VLOOKUP($B87,安卓!$A:$AM,33,0)</f>
        <v>4.4660230524429703E-2</v>
      </c>
      <c r="M87" s="65">
        <f>VLOOKUP($B87,安卓!$A:$AN,40,0)</f>
        <v>5.9989999999999997</v>
      </c>
      <c r="R87" s="39">
        <f t="shared" si="3"/>
        <v>43713</v>
      </c>
      <c r="S87" s="40">
        <f>VLOOKUP($B87,iOS!$A:$AM,3,0)</f>
        <v>7812</v>
      </c>
      <c r="T87" s="40">
        <f>VLOOKUP($B87,iOS!$A:$AM,4,0)</f>
        <v>45987</v>
      </c>
      <c r="U87" s="55">
        <f>VLOOKUP($B87,iOS!$A:$AM,9,0)</f>
        <v>0.31</v>
      </c>
      <c r="V87" s="55">
        <f>VLOOKUP($B87,iOS!$A:$AM,10,0)</f>
        <v>0.14899999999999999</v>
      </c>
      <c r="W87" s="55">
        <f>VLOOKUP($B87,iOS!$A:$AM,11,0)</f>
        <v>8.4000000000000005E-2</v>
      </c>
      <c r="X87" s="40">
        <f>VLOOKUP($B87,iOS!$A:$AM,7,0)</f>
        <v>17.940000000000001</v>
      </c>
      <c r="Y87" s="40">
        <f>VLOOKUP($B87,iOS!$A:$AM,8,0)</f>
        <v>26.81</v>
      </c>
      <c r="Z87" s="57">
        <f>VLOOKUP($B87,iOS!$A:$AM,25,0)</f>
        <v>9.5161023767586492</v>
      </c>
      <c r="AA87" s="58">
        <f>VLOOKUP($B87,iOS!$A:$AM,31,0)</f>
        <v>6.6757996825189698E-3</v>
      </c>
      <c r="AB87" s="59">
        <f>VLOOKUP($B87,iOS!$A:$AM,33,0)</f>
        <v>5.8901211211864202E-2</v>
      </c>
      <c r="AC87" s="59">
        <f>VLOOKUP($B87,iOS!$A:$AN,40,0)</f>
        <v>6.9459999999999997</v>
      </c>
    </row>
    <row r="88" spans="2:29">
      <c r="B88" s="39">
        <f t="shared" si="2"/>
        <v>43714</v>
      </c>
      <c r="C88" s="40">
        <f>VLOOKUP($B88,安卓!$A:$AM,3,0)</f>
        <v>4713</v>
      </c>
      <c r="D88" s="40">
        <f>VLOOKUP($B88,安卓!$A:$AM,4,0)</f>
        <v>35301</v>
      </c>
      <c r="E88" s="55">
        <f>VLOOKUP($B88,安卓!$A:$AM,9,0)</f>
        <v>0.27300000000000002</v>
      </c>
      <c r="F88" s="55">
        <f>VLOOKUP($B88,安卓!$A:$AM,10,0)</f>
        <v>0.14199999999999999</v>
      </c>
      <c r="G88" s="55"/>
      <c r="H88" s="40">
        <f>VLOOKUP($B88,安卓!$A:$AM,7,0)</f>
        <v>8.93</v>
      </c>
      <c r="I88" s="40">
        <f>VLOOKUP($B88,安卓!$A:$AM,8,0)</f>
        <v>16.850000000000001</v>
      </c>
      <c r="J88" s="57">
        <f>VLOOKUP($B88,安卓!$A:$AM,25,0)</f>
        <v>10.7312257443132</v>
      </c>
      <c r="K88" s="58">
        <f>VLOOKUP($B88,安卓!$A:$AM,31,0)</f>
        <v>6.6003795926460997E-3</v>
      </c>
      <c r="L88" s="59">
        <f>VLOOKUP($B88,安卓!$A:$AM,33,0)</f>
        <v>5.0045607773150903E-2</v>
      </c>
      <c r="M88" s="65">
        <f>VLOOKUP($B88,安卓!$A:$AN,40,0)</f>
        <v>5.2119999999999997</v>
      </c>
      <c r="R88" s="39">
        <f t="shared" si="3"/>
        <v>43714</v>
      </c>
      <c r="S88" s="40">
        <f>VLOOKUP($B88,iOS!$A:$AM,3,0)</f>
        <v>6420</v>
      </c>
      <c r="T88" s="40">
        <f>VLOOKUP($B88,iOS!$A:$AM,4,0)</f>
        <v>43574</v>
      </c>
      <c r="U88" s="55">
        <f>VLOOKUP($B88,iOS!$A:$AM,9,0)</f>
        <v>0.29499999999999998</v>
      </c>
      <c r="V88" s="55">
        <f>VLOOKUP($B88,iOS!$A:$AM,10,0)</f>
        <v>0.153</v>
      </c>
      <c r="W88" s="55"/>
      <c r="X88" s="40">
        <f>VLOOKUP($B88,iOS!$A:$AM,7,0)</f>
        <v>15.73</v>
      </c>
      <c r="Y88" s="40">
        <f>VLOOKUP($B88,iOS!$A:$AM,8,0)</f>
        <v>23.67</v>
      </c>
      <c r="Z88" s="57">
        <f>VLOOKUP($B88,iOS!$A:$AM,25,0)</f>
        <v>9.1997291963097307</v>
      </c>
      <c r="AA88" s="58">
        <f>VLOOKUP($B88,iOS!$A:$AM,31,0)</f>
        <v>6.7241933262955E-3</v>
      </c>
      <c r="AB88" s="59">
        <f>VLOOKUP($B88,iOS!$A:$AM,33,0)</f>
        <v>5.7302978840593002E-2</v>
      </c>
      <c r="AC88" s="59">
        <f>VLOOKUP($B88,iOS!$A:$AN,40,0)</f>
        <v>5.3440000000000003</v>
      </c>
    </row>
    <row r="89" spans="2:29">
      <c r="B89" s="39">
        <f t="shared" si="2"/>
        <v>43715</v>
      </c>
      <c r="C89" s="40">
        <f>VLOOKUP($B89,安卓!$A:$AM,3,0)</f>
        <v>5630</v>
      </c>
      <c r="D89" s="40">
        <f>VLOOKUP($B89,安卓!$A:$AM,4,0)</f>
        <v>35876</v>
      </c>
      <c r="E89" s="55">
        <f>VLOOKUP($B89,安卓!$A:$AM,9,0)</f>
        <v>0.29399999999999998</v>
      </c>
      <c r="F89" s="55">
        <f>VLOOKUP($B89,安卓!$A:$AM,10,0)</f>
        <v>0.128</v>
      </c>
      <c r="G89" s="55"/>
      <c r="H89" s="40">
        <f>VLOOKUP($B89,安卓!$A:$AM,7,0)</f>
        <v>8.57</v>
      </c>
      <c r="I89" s="40">
        <f>VLOOKUP($B89,安卓!$A:$AM,8,0)</f>
        <v>16.670000000000002</v>
      </c>
      <c r="J89" s="57">
        <f>VLOOKUP($B89,安卓!$A:$AM,25,0)</f>
        <v>15.696315085293801</v>
      </c>
      <c r="K89" s="58">
        <f>VLOOKUP($B89,安卓!$A:$AM,31,0)</f>
        <v>1.00624372839781E-2</v>
      </c>
      <c r="L89" s="59">
        <f>VLOOKUP($B89,安卓!$A:$AM,33,0)</f>
        <v>0.115376574868993</v>
      </c>
      <c r="M89" s="65">
        <f>VLOOKUP($B89,安卓!$A:$AN,40,0)</f>
        <v>5.96</v>
      </c>
      <c r="R89" s="39">
        <f t="shared" si="3"/>
        <v>43715</v>
      </c>
      <c r="S89" s="40">
        <f>VLOOKUP($B89,iOS!$A:$AM,3,0)</f>
        <v>6505</v>
      </c>
      <c r="T89" s="40">
        <f>VLOOKUP($B89,iOS!$A:$AM,4,0)</f>
        <v>42603</v>
      </c>
      <c r="U89" s="55">
        <f>VLOOKUP($B89,iOS!$A:$AM,9,0)</f>
        <v>0.28599999999999998</v>
      </c>
      <c r="V89" s="55">
        <f>VLOOKUP($B89,iOS!$A:$AM,10,0)</f>
        <v>0.14899999999999999</v>
      </c>
      <c r="W89" s="55"/>
      <c r="X89" s="40">
        <f>VLOOKUP($B89,iOS!$A:$AM,7,0)</f>
        <v>13.68</v>
      </c>
      <c r="Y89" s="40">
        <f>VLOOKUP($B89,iOS!$A:$AM,8,0)</f>
        <v>20.38</v>
      </c>
      <c r="Z89" s="57">
        <f>VLOOKUP($B89,iOS!$A:$AM,25,0)</f>
        <v>13.2412975612046</v>
      </c>
      <c r="AA89" s="58">
        <f>VLOOKUP($B89,iOS!$A:$AM,31,0)</f>
        <v>9.9758232988287204E-3</v>
      </c>
      <c r="AB89" s="59">
        <f>VLOOKUP($B89,iOS!$A:$AM,33,0)</f>
        <v>0.110784686524423</v>
      </c>
      <c r="AC89" s="59">
        <f>VLOOKUP($B89,iOS!$A:$AN,40,0)</f>
        <v>4.7699999999999996</v>
      </c>
    </row>
    <row r="90" spans="2:29">
      <c r="B90" s="39">
        <f t="shared" si="2"/>
        <v>43716</v>
      </c>
      <c r="C90" s="40">
        <f>VLOOKUP($B90,安卓!$A:$AM,3,0)</f>
        <v>13533</v>
      </c>
      <c r="D90" s="40">
        <f>VLOOKUP($B90,安卓!$A:$AM,4,0)</f>
        <v>45195</v>
      </c>
      <c r="E90" s="55">
        <f>VLOOKUP($B90,安卓!$A:$AM,9,0)</f>
        <v>0.26400000000000001</v>
      </c>
      <c r="F90" s="55">
        <f>VLOOKUP($B90,安卓!$A:$AM,10,0)</f>
        <v>0.13</v>
      </c>
      <c r="G90" s="55"/>
      <c r="H90" s="40">
        <f>VLOOKUP($B90,安卓!$A:$AM,7,0)</f>
        <v>10.119999999999999</v>
      </c>
      <c r="I90" s="40">
        <f>VLOOKUP($B90,安卓!$A:$AM,8,0)</f>
        <v>19.62</v>
      </c>
      <c r="J90" s="57">
        <f>VLOOKUP($B90,安卓!$A:$AM,25,0)</f>
        <v>13.0435667662352</v>
      </c>
      <c r="K90" s="58">
        <f>VLOOKUP($B90,安卓!$A:$AM,31,0)</f>
        <v>8.2309990043146399E-3</v>
      </c>
      <c r="L90" s="59">
        <f>VLOOKUP($B90,安卓!$A:$AM,33,0)</f>
        <v>9.2427480916030494E-2</v>
      </c>
      <c r="M90" s="65">
        <f>VLOOKUP($B90,安卓!$A:$AN,40,0)</f>
        <v>7.2910000000000004</v>
      </c>
      <c r="R90" s="39">
        <f t="shared" si="3"/>
        <v>43716</v>
      </c>
      <c r="S90" s="40">
        <f>VLOOKUP($B90,iOS!$A:$AM,3,0)</f>
        <v>7496</v>
      </c>
      <c r="T90" s="40">
        <f>VLOOKUP($B90,iOS!$A:$AM,4,0)</f>
        <v>43719</v>
      </c>
      <c r="U90" s="55">
        <f>VLOOKUP($B90,iOS!$A:$AM,9,0)</f>
        <v>0.311</v>
      </c>
      <c r="V90" s="55">
        <f>VLOOKUP($B90,iOS!$A:$AM,10,0)</f>
        <v>0.14299999999999999</v>
      </c>
      <c r="W90" s="55"/>
      <c r="X90" s="40">
        <f>VLOOKUP($B90,iOS!$A:$AM,7,0)</f>
        <v>13.58</v>
      </c>
      <c r="Y90" s="40">
        <f>VLOOKUP($B90,iOS!$A:$AM,8,0)</f>
        <v>20.92</v>
      </c>
      <c r="Z90" s="57">
        <f>VLOOKUP($B90,iOS!$A:$AM,25,0)</f>
        <v>12.3979505478167</v>
      </c>
      <c r="AA90" s="58">
        <f>VLOOKUP($B90,iOS!$A:$AM,31,0)</f>
        <v>9.2865802054026905E-3</v>
      </c>
      <c r="AB90" s="59">
        <f>VLOOKUP($B90,iOS!$A:$AM,33,0)</f>
        <v>0.104309796655916</v>
      </c>
      <c r="AC90" s="59">
        <f>VLOOKUP($B90,iOS!$A:$AN,40,0)</f>
        <v>5.5780000000000003</v>
      </c>
    </row>
    <row r="91" spans="2:29">
      <c r="B91" s="39">
        <f t="shared" si="2"/>
        <v>43717</v>
      </c>
      <c r="C91" s="40">
        <f>VLOOKUP($B91,安卓!$A:$AM,3,0)</f>
        <v>13139</v>
      </c>
      <c r="D91" s="40">
        <f>VLOOKUP($B91,安卓!$A:$AM,4,0)</f>
        <v>47248</v>
      </c>
      <c r="E91" s="55">
        <f>VLOOKUP($B91,安卓!$A:$AM,9,0)</f>
        <v>0.28799999999999998</v>
      </c>
      <c r="F91" s="55">
        <f>VLOOKUP($B91,安卓!$A:$AM,10,0)</f>
        <v>0.14099999999999999</v>
      </c>
      <c r="G91" s="55"/>
      <c r="H91" s="40">
        <f>VLOOKUP($B91,安卓!$A:$AM,7,0)</f>
        <v>10.41</v>
      </c>
      <c r="I91" s="40">
        <f>VLOOKUP($B91,安卓!$A:$AM,8,0)</f>
        <v>18.670000000000002</v>
      </c>
      <c r="J91" s="57">
        <f>VLOOKUP($B91,安卓!$A:$AM,25,0)</f>
        <v>12.441246190314899</v>
      </c>
      <c r="K91" s="58">
        <f>VLOOKUP($B91,安卓!$A:$AM,31,0)</f>
        <v>8.0426684727395899E-3</v>
      </c>
      <c r="L91" s="59">
        <f>VLOOKUP($B91,安卓!$A:$AM,33,0)</f>
        <v>7.7557991872671803E-2</v>
      </c>
      <c r="M91" s="65">
        <f>VLOOKUP($B91,安卓!$A:$AN,40,0)</f>
        <v>7.0519999999999996</v>
      </c>
      <c r="R91" s="39">
        <f t="shared" si="3"/>
        <v>43717</v>
      </c>
      <c r="S91" s="40">
        <f>VLOOKUP($B91,iOS!$A:$AM,3,0)</f>
        <v>7289</v>
      </c>
      <c r="T91" s="40">
        <f>VLOOKUP($B91,iOS!$A:$AM,4,0)</f>
        <v>44703</v>
      </c>
      <c r="U91" s="55">
        <f>VLOOKUP($B91,iOS!$A:$AM,9,0)</f>
        <v>0.30299999999999999</v>
      </c>
      <c r="V91" s="55">
        <f>VLOOKUP($B91,iOS!$A:$AM,10,0)</f>
        <v>0.156</v>
      </c>
      <c r="W91" s="55"/>
      <c r="X91" s="40">
        <f>VLOOKUP($B91,iOS!$A:$AM,7,0)</f>
        <v>13.15</v>
      </c>
      <c r="Y91" s="40">
        <f>VLOOKUP($B91,iOS!$A:$AM,8,0)</f>
        <v>19.7</v>
      </c>
      <c r="Z91" s="57">
        <f>VLOOKUP($B91,iOS!$A:$AM,25,0)</f>
        <v>11.918707916694601</v>
      </c>
      <c r="AA91" s="58">
        <f>VLOOKUP($B91,iOS!$A:$AM,31,0)</f>
        <v>7.5162740755654002E-3</v>
      </c>
      <c r="AB91" s="59">
        <f>VLOOKUP($B91,iOS!$A:$AM,33,0)</f>
        <v>8.0356351922689806E-2</v>
      </c>
      <c r="AC91" s="59">
        <f>VLOOKUP($B91,iOS!$A:$AN,40,0)</f>
        <v>5.1029999999999998</v>
      </c>
    </row>
    <row r="92" spans="2:29">
      <c r="B92" s="39">
        <f t="shared" si="2"/>
        <v>43718</v>
      </c>
      <c r="C92" s="40">
        <f>VLOOKUP($B92,安卓!$A:$AM,3,0)</f>
        <v>13028</v>
      </c>
      <c r="D92" s="40">
        <f>VLOOKUP($B92,安卓!$A:$AM,4,0)</f>
        <v>47920</v>
      </c>
      <c r="E92" s="55">
        <f>VLOOKUP($B92,安卓!$A:$AM,9,0)</f>
        <v>0.29499999999999998</v>
      </c>
      <c r="F92" s="55"/>
      <c r="G92" s="55"/>
      <c r="H92" s="40">
        <f>VLOOKUP($B92,安卓!$A:$AM,7,0)</f>
        <v>12.69</v>
      </c>
      <c r="I92" s="40">
        <f>VLOOKUP($B92,安卓!$A:$AM,8,0)</f>
        <v>21</v>
      </c>
      <c r="J92" s="57">
        <f>VLOOKUP($B92,安卓!$A:$AM,25,0)</f>
        <v>11.2116026711185</v>
      </c>
      <c r="K92" s="58">
        <f>VLOOKUP($B92,安卓!$A:$AM,31,0)</f>
        <v>7.0534223706176999E-3</v>
      </c>
      <c r="L92" s="59">
        <f>VLOOKUP($B92,安卓!$A:$AM,33,0)</f>
        <v>6.1485392320534203E-2</v>
      </c>
      <c r="M92" s="65">
        <f>VLOOKUP($B92,安卓!$A:$AN,40,0)</f>
        <v>6.7220000000000004</v>
      </c>
      <c r="R92" s="39">
        <f t="shared" si="3"/>
        <v>43718</v>
      </c>
      <c r="S92" s="40">
        <f>VLOOKUP($B92,iOS!$A:$AM,3,0)</f>
        <v>6925</v>
      </c>
      <c r="T92" s="40">
        <f>VLOOKUP($B92,iOS!$A:$AM,4,0)</f>
        <v>42945</v>
      </c>
      <c r="U92" s="55">
        <f>VLOOKUP($B92,iOS!$A:$AM,9,0)</f>
        <v>0.317</v>
      </c>
      <c r="V92" s="55"/>
      <c r="W92" s="55"/>
      <c r="X92" s="40">
        <f>VLOOKUP($B92,iOS!$A:$AM,7,0)</f>
        <v>15.37</v>
      </c>
      <c r="Y92" s="40">
        <f>VLOOKUP($B92,iOS!$A:$AM,8,0)</f>
        <v>23.11</v>
      </c>
      <c r="Z92" s="57">
        <f>VLOOKUP($B92,iOS!$A:$AM,25,0)</f>
        <v>11.292490394690899</v>
      </c>
      <c r="AA92" s="58">
        <f>VLOOKUP($B92,iOS!$A:$AM,31,0)</f>
        <v>8.0568168587728493E-3</v>
      </c>
      <c r="AB92" s="59">
        <f>VLOOKUP($B92,iOS!$A:$AM,33,0)</f>
        <v>7.9453719874257797E-2</v>
      </c>
      <c r="AC92" s="59">
        <f>VLOOKUP($B92,iOS!$A:$AN,40,0)</f>
        <v>6.7190000000000003</v>
      </c>
    </row>
    <row r="93" spans="2:29">
      <c r="B93" s="39">
        <f t="shared" si="2"/>
        <v>43719</v>
      </c>
      <c r="C93" s="40">
        <f>VLOOKUP($B93,安卓!$A:$AM,3,0)</f>
        <v>12095</v>
      </c>
      <c r="D93" s="40">
        <f>VLOOKUP($B93,安卓!$A:$AM,4,0)</f>
        <v>46484</v>
      </c>
      <c r="E93" s="55">
        <f>VLOOKUP($B93,安卓!$A:$AM,9,0)</f>
        <v>0.29399999999999998</v>
      </c>
      <c r="F93" s="55"/>
      <c r="G93" s="55"/>
      <c r="H93" s="40">
        <f>VLOOKUP($B93,安卓!$A:$AM,7,0)</f>
        <v>13.6</v>
      </c>
      <c r="I93" s="40">
        <f>VLOOKUP($B93,安卓!$A:$AM,8,0)</f>
        <v>21.75</v>
      </c>
      <c r="J93" s="57">
        <f>VLOOKUP($B93,安卓!$A:$AM,25,0)</f>
        <v>9.4305567507099202</v>
      </c>
      <c r="K93" s="58">
        <f>VLOOKUP($B93,安卓!$A:$AM,31,0)</f>
        <v>7.3573702779451003E-3</v>
      </c>
      <c r="L93" s="59">
        <f>VLOOKUP($B93,安卓!$A:$AM,33,0)</f>
        <v>6.1424791326047702E-2</v>
      </c>
      <c r="M93" s="65">
        <f>VLOOKUP($B93,安卓!$A:$AN,40,0)</f>
        <v>0</v>
      </c>
      <c r="R93" s="39">
        <f t="shared" si="3"/>
        <v>43719</v>
      </c>
      <c r="S93" s="40">
        <f>VLOOKUP($B93,iOS!$A:$AM,3,0)</f>
        <v>5974</v>
      </c>
      <c r="T93" s="40">
        <f>VLOOKUP($B93,iOS!$A:$AM,4,0)</f>
        <v>39969</v>
      </c>
      <c r="U93" s="55">
        <f>VLOOKUP($B93,iOS!$A:$AM,9,0)</f>
        <v>0.313</v>
      </c>
      <c r="V93" s="55"/>
      <c r="W93" s="55"/>
      <c r="X93" s="40">
        <f>VLOOKUP($B93,iOS!$A:$AM,7,0)</f>
        <v>16.77</v>
      </c>
      <c r="Y93" s="40">
        <f>VLOOKUP($B93,iOS!$A:$AM,8,0)</f>
        <v>25.77</v>
      </c>
      <c r="Z93" s="57">
        <f>VLOOKUP($B93,iOS!$A:$AM,25,0)</f>
        <v>9.7495308864369896</v>
      </c>
      <c r="AA93" s="58">
        <f>VLOOKUP($B93,iOS!$A:$AM,31,0)</f>
        <v>7.4057394480722596E-3</v>
      </c>
      <c r="AB93" s="59">
        <f>VLOOKUP($B93,iOS!$A:$AM,33,0)</f>
        <v>5.8343966574094901E-2</v>
      </c>
      <c r="AC93" s="59">
        <f>VLOOKUP($B93,iOS!$A:$AN,40,0)</f>
        <v>0</v>
      </c>
    </row>
    <row r="94" spans="2:29">
      <c r="B94" s="39">
        <f t="shared" si="2"/>
        <v>43720</v>
      </c>
      <c r="C94" s="40">
        <f>VLOOKUP($B94,安卓!$A:$AM,3,0)</f>
        <v>12951</v>
      </c>
      <c r="D94" s="40">
        <f>VLOOKUP($B94,安卓!$A:$AM,4,0)</f>
        <v>47571</v>
      </c>
      <c r="E94" s="55"/>
      <c r="F94" s="55"/>
      <c r="G94" s="55"/>
      <c r="H94" s="40">
        <f>VLOOKUP($B94,安卓!$A:$AM,7,0)</f>
        <v>12.04</v>
      </c>
      <c r="I94" s="40">
        <f>VLOOKUP($B94,安卓!$A:$AM,8,0)</f>
        <v>18.579999999999998</v>
      </c>
      <c r="J94" s="57">
        <f>VLOOKUP($B94,安卓!$A:$AM,25,0)</f>
        <v>8.9790418532299086</v>
      </c>
      <c r="K94" s="58">
        <f>VLOOKUP($B94,安卓!$A:$AM,31,0)</f>
        <v>6.558617645204011E-3</v>
      </c>
      <c r="L94" s="59">
        <f>VLOOKUP($B94,安卓!$A:$AM,33,0)</f>
        <v>5.4457127241386565E-2</v>
      </c>
      <c r="M94" s="65">
        <f>VLOOKUP($B94,安卓!$A:$AN,40,0)</f>
        <v>0</v>
      </c>
      <c r="R94" s="39">
        <f t="shared" si="3"/>
        <v>43720</v>
      </c>
      <c r="S94" s="40">
        <f>VLOOKUP($B94,iOS!$A:$AM,3,0)</f>
        <v>6442</v>
      </c>
      <c r="T94" s="40">
        <f>VLOOKUP($B94,iOS!$A:$AM,4,0)</f>
        <v>39747</v>
      </c>
      <c r="U94" s="55"/>
      <c r="V94" s="55"/>
      <c r="W94" s="55"/>
      <c r="X94" s="40">
        <f>VLOOKUP($B94,iOS!$A:$AM,7,0)</f>
        <v>12.99</v>
      </c>
      <c r="Y94" s="40">
        <f>VLOOKUP($B94,iOS!$A:$AM,8,0)</f>
        <v>19.91</v>
      </c>
      <c r="Z94" s="57">
        <f>VLOOKUP($B94,iOS!$A:$AM,25,0)</f>
        <v>9.3860417138400383</v>
      </c>
      <c r="AA94" s="58">
        <f>VLOOKUP($B94,iOS!$A:$AM,31,0)</f>
        <v>7.1703524794324101E-3</v>
      </c>
      <c r="AB94" s="59">
        <f>VLOOKUP($B94,iOS!$A:$AM,33,0)</f>
        <v>5.4723878531713094E-2</v>
      </c>
      <c r="AC94" s="59">
        <f>VLOOKUP($B94,iOS!$A:$AN,40,0)</f>
        <v>0</v>
      </c>
    </row>
    <row r="95" spans="2:29">
      <c r="B95" s="39"/>
      <c r="C95" s="40"/>
      <c r="D95" s="40"/>
      <c r="E95" s="55"/>
      <c r="F95" s="55"/>
      <c r="G95" s="55"/>
      <c r="H95" s="40"/>
      <c r="I95" s="40"/>
      <c r="J95" s="57"/>
      <c r="K95" s="58"/>
      <c r="L95" s="59"/>
      <c r="R95" s="39"/>
      <c r="S95" s="40"/>
      <c r="T95" s="40"/>
      <c r="U95" s="55"/>
      <c r="V95" s="55"/>
      <c r="W95" s="55"/>
      <c r="X95" s="40"/>
      <c r="Y95" s="40"/>
      <c r="Z95" s="57"/>
      <c r="AA95" s="58"/>
      <c r="AB95" s="59"/>
    </row>
    <row r="96" spans="2:29">
      <c r="C96" s="40"/>
      <c r="D96" s="40"/>
      <c r="E96" s="55"/>
      <c r="F96" s="55"/>
      <c r="G96" s="55"/>
      <c r="H96" s="40"/>
      <c r="I96" s="40"/>
      <c r="J96" s="57"/>
      <c r="K96" s="58"/>
      <c r="L96" s="59"/>
      <c r="S96" s="40"/>
      <c r="T96" s="40"/>
      <c r="U96" s="55"/>
      <c r="V96" s="55"/>
      <c r="W96" s="55"/>
      <c r="X96" s="40"/>
      <c r="Y96" s="40"/>
      <c r="Z96" s="57"/>
      <c r="AA96" s="58"/>
      <c r="AB96" s="59"/>
    </row>
    <row r="97" spans="3:28">
      <c r="C97" s="40"/>
      <c r="D97" s="40"/>
      <c r="E97" s="55"/>
      <c r="F97" s="55"/>
      <c r="G97" s="55"/>
      <c r="H97" s="40"/>
      <c r="I97" s="40"/>
      <c r="J97" s="57"/>
      <c r="K97" s="58"/>
      <c r="L97" s="59"/>
      <c r="S97" s="40"/>
      <c r="T97" s="40"/>
      <c r="U97" s="55"/>
      <c r="V97" s="55"/>
      <c r="W97" s="55"/>
      <c r="X97" s="40"/>
      <c r="Y97" s="40"/>
      <c r="Z97" s="57"/>
      <c r="AA97" s="58"/>
      <c r="AB97" s="59"/>
    </row>
    <row r="98" spans="3:28">
      <c r="C98" s="40"/>
      <c r="D98" s="40"/>
      <c r="E98" s="55"/>
      <c r="F98" s="55"/>
      <c r="G98" s="55"/>
      <c r="H98" s="40"/>
      <c r="I98" s="40"/>
      <c r="J98" s="57"/>
      <c r="K98" s="58"/>
      <c r="L98" s="59"/>
      <c r="S98" s="40"/>
      <c r="T98" s="40"/>
      <c r="U98" s="55"/>
      <c r="V98" s="55"/>
      <c r="W98" s="55"/>
      <c r="X98" s="40"/>
      <c r="Y98" s="40"/>
      <c r="Z98" s="57"/>
      <c r="AA98" s="58"/>
      <c r="AB98" s="59"/>
    </row>
    <row r="99" spans="3:28">
      <c r="C99" s="40"/>
      <c r="D99" s="40"/>
      <c r="E99" s="55"/>
      <c r="F99" s="55"/>
      <c r="G99" s="55"/>
      <c r="H99" s="40"/>
      <c r="I99" s="40"/>
      <c r="J99" s="57"/>
      <c r="K99" s="58"/>
      <c r="L99" s="59"/>
      <c r="S99" s="40"/>
      <c r="T99" s="40"/>
      <c r="U99" s="55"/>
      <c r="V99" s="55"/>
      <c r="W99" s="55"/>
      <c r="X99" s="40"/>
      <c r="Y99" s="40"/>
      <c r="Z99" s="57"/>
      <c r="AA99" s="58"/>
      <c r="AB99" s="59"/>
    </row>
    <row r="100" spans="3:28">
      <c r="C100" s="40"/>
      <c r="D100" s="40"/>
      <c r="E100" s="55"/>
      <c r="F100" s="55"/>
      <c r="G100" s="55"/>
      <c r="H100" s="40"/>
      <c r="I100" s="40"/>
      <c r="J100" s="57"/>
      <c r="K100" s="58"/>
      <c r="L100" s="59"/>
      <c r="S100" s="40"/>
      <c r="T100" s="40"/>
      <c r="U100" s="55"/>
      <c r="V100" s="55"/>
      <c r="W100" s="55"/>
      <c r="X100" s="40"/>
      <c r="Y100" s="40"/>
      <c r="Z100" s="57"/>
      <c r="AA100" s="58"/>
      <c r="AB100" s="59"/>
    </row>
  </sheetData>
  <mergeCells count="16">
    <mergeCell ref="B3:L3"/>
    <mergeCell ref="C4:G4"/>
    <mergeCell ref="H4:L4"/>
    <mergeCell ref="B4:B6"/>
    <mergeCell ref="G7:G8"/>
    <mergeCell ref="L7:L8"/>
    <mergeCell ref="L9:L11"/>
    <mergeCell ref="L12:L13"/>
    <mergeCell ref="L14:L15"/>
    <mergeCell ref="L17:L18"/>
    <mergeCell ref="A20:P21"/>
    <mergeCell ref="Q20:AF21"/>
    <mergeCell ref="G9:G11"/>
    <mergeCell ref="G12:G13"/>
    <mergeCell ref="G14:G15"/>
    <mergeCell ref="G17:G18"/>
  </mergeCells>
  <phoneticPr fontId="40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2018-09-24T06:52:00Z</dcterms:created>
  <dcterms:modified xsi:type="dcterms:W3CDTF">2019-09-19T13:31:36Z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