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8"/>
  <workbookPr defaultThemeVersion="166925"/>
  <mc:AlternateContent xmlns:mc="http://schemas.openxmlformats.org/markup-compatibility/2006">
    <mc:Choice Requires="x15">
      <x15ac:absPath xmlns:x15ac="http://schemas.microsoft.com/office/spreadsheetml/2010/11/ac" url="C:\Users\lilia\OneDrive - FUSALMO\Documentos\1 A Documentos 2\Documentos\2022\CONSULTORIAS Y PROYECTOS\UNICEF\UNICEF EDUCACION ACELERADA\"/>
    </mc:Choice>
  </mc:AlternateContent>
  <xr:revisionPtr revIDLastSave="0" documentId="8_{F3385BD8-B821-4DBD-8B2D-D58B3303B862}" xr6:coauthVersionLast="47" xr6:coauthVersionMax="47" xr10:uidLastSave="{00000000-0000-0000-0000-000000000000}"/>
  <bookViews>
    <workbookView xWindow="0" yWindow="0" windowWidth="23040" windowHeight="8940" firstSheet="1" activeTab="1" xr2:uid="{00000000-000D-0000-FFFF-FFFF00000000}"/>
  </bookViews>
  <sheets>
    <sheet name="Presupuesto escenario 1" sheetId="2" state="hidden" r:id="rId1"/>
    <sheet name="Presupuesto " sheetId="12" r:id="rId2"/>
    <sheet name="impresiones" sheetId="13" state="hidden" r:id="rId3"/>
    <sheet name="Sin prestacion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5" i="12" l="1"/>
  <c r="F65" i="12"/>
  <c r="F10" i="12"/>
  <c r="F38" i="12"/>
  <c r="F43" i="12"/>
  <c r="F55" i="12"/>
  <c r="F64" i="12"/>
  <c r="C88" i="12"/>
  <c r="C91" i="12"/>
  <c r="J19" i="12"/>
  <c r="J18" i="12"/>
  <c r="E16" i="12" l="1"/>
  <c r="I51" i="12"/>
  <c r="F48" i="12"/>
  <c r="F49" i="12"/>
  <c r="D18" i="12"/>
  <c r="G48" i="12" l="1"/>
  <c r="G51" i="12"/>
  <c r="G59" i="12"/>
  <c r="F9" i="12"/>
  <c r="H9" i="12" s="1"/>
  <c r="H10" i="12" s="1"/>
  <c r="D58" i="12"/>
  <c r="E83" i="12"/>
  <c r="D83" i="12"/>
  <c r="B83" i="12"/>
  <c r="G54" i="12"/>
  <c r="F83" i="12" s="1"/>
  <c r="N54" i="12" l="1"/>
  <c r="F18" i="12"/>
  <c r="E14" i="12"/>
  <c r="F14" i="12" s="1"/>
  <c r="D24" i="12"/>
  <c r="F24" i="12" s="1"/>
  <c r="H24" i="12" s="1"/>
  <c r="F19" i="12"/>
  <c r="E15" i="12"/>
  <c r="F15" i="12" s="1"/>
  <c r="D36" i="12"/>
  <c r="F36" i="12" s="1"/>
  <c r="I36" i="12" s="1"/>
  <c r="N36" i="12" s="1"/>
  <c r="D34" i="12"/>
  <c r="F34" i="12" s="1"/>
  <c r="H34" i="12" s="1"/>
  <c r="N34" i="12" s="1"/>
  <c r="F22" i="12"/>
  <c r="H22" i="12" s="1"/>
  <c r="F23" i="12"/>
  <c r="H23" i="12" s="1"/>
  <c r="F25" i="12"/>
  <c r="H25" i="12" s="1"/>
  <c r="F26" i="12"/>
  <c r="H26" i="12" s="1"/>
  <c r="F27" i="12"/>
  <c r="H27" i="12" s="1"/>
  <c r="N27" i="12" s="1"/>
  <c r="F28" i="12"/>
  <c r="H28" i="12" s="1"/>
  <c r="N28" i="12" s="1"/>
  <c r="F29" i="12"/>
  <c r="H29" i="12" s="1"/>
  <c r="N29" i="12" s="1"/>
  <c r="F30" i="12"/>
  <c r="H30" i="12" s="1"/>
  <c r="N30" i="12" s="1"/>
  <c r="F31" i="12"/>
  <c r="H31" i="12" s="1"/>
  <c r="N31" i="12" s="1"/>
  <c r="F32" i="12"/>
  <c r="H32" i="12" s="1"/>
  <c r="N32" i="12" s="1"/>
  <c r="F33" i="12"/>
  <c r="H33" i="12" s="1"/>
  <c r="N33" i="12" s="1"/>
  <c r="F21" i="12"/>
  <c r="H21" i="12" s="1"/>
  <c r="G38" i="12"/>
  <c r="G39" i="12" s="1"/>
  <c r="K38" i="12"/>
  <c r="K39" i="12" s="1"/>
  <c r="L38" i="12"/>
  <c r="L39" i="12" s="1"/>
  <c r="M38" i="12"/>
  <c r="M39" i="12" s="1"/>
  <c r="C78" i="12"/>
  <c r="D78" i="12"/>
  <c r="E78" i="12"/>
  <c r="B78" i="12"/>
  <c r="N58" i="12"/>
  <c r="G62" i="12"/>
  <c r="G63" i="12" s="1"/>
  <c r="F63" i="12"/>
  <c r="G58" i="12"/>
  <c r="F35" i="12"/>
  <c r="I35" i="12" s="1"/>
  <c r="N35" i="12" s="1"/>
  <c r="E37" i="12"/>
  <c r="F37" i="12" s="1"/>
  <c r="I37" i="12" s="1"/>
  <c r="N37" i="12" s="1"/>
  <c r="F53" i="12"/>
  <c r="G53" i="12"/>
  <c r="F78" i="12" s="1"/>
  <c r="G10" i="12"/>
  <c r="G11" i="12" s="1"/>
  <c r="K10" i="12"/>
  <c r="K11" i="12" s="1"/>
  <c r="L10" i="12"/>
  <c r="L11" i="12" s="1"/>
  <c r="M10" i="12"/>
  <c r="M11" i="12" s="1"/>
  <c r="M13" i="12"/>
  <c r="L13" i="12"/>
  <c r="K13" i="12"/>
  <c r="J13" i="12"/>
  <c r="I13" i="12"/>
  <c r="G13" i="12"/>
  <c r="F42" i="12"/>
  <c r="D12" i="13"/>
  <c r="E82" i="12"/>
  <c r="D82" i="12"/>
  <c r="C82" i="12"/>
  <c r="B82" i="12"/>
  <c r="E81" i="12"/>
  <c r="D81" i="12"/>
  <c r="C81" i="12"/>
  <c r="B81" i="12"/>
  <c r="E80" i="12"/>
  <c r="D80" i="12"/>
  <c r="C80" i="12"/>
  <c r="B80" i="12"/>
  <c r="E79" i="12"/>
  <c r="D79" i="12"/>
  <c r="C79" i="12"/>
  <c r="B79" i="12"/>
  <c r="E77" i="12"/>
  <c r="D77" i="12"/>
  <c r="C77" i="12"/>
  <c r="B77" i="12"/>
  <c r="E76" i="12"/>
  <c r="D76" i="12"/>
  <c r="C76" i="12"/>
  <c r="B76" i="12"/>
  <c r="E75" i="12"/>
  <c r="D75" i="12"/>
  <c r="C75" i="12"/>
  <c r="B75" i="12"/>
  <c r="E74" i="12"/>
  <c r="D74" i="12"/>
  <c r="C74" i="12"/>
  <c r="B74" i="12"/>
  <c r="E73" i="12"/>
  <c r="D73" i="12"/>
  <c r="C73" i="12"/>
  <c r="B73" i="12"/>
  <c r="E72" i="12"/>
  <c r="D72" i="12"/>
  <c r="C72" i="12"/>
  <c r="B72" i="12"/>
  <c r="M63" i="12"/>
  <c r="L63" i="12"/>
  <c r="K63" i="12"/>
  <c r="N62" i="12"/>
  <c r="M60" i="12"/>
  <c r="L60" i="12"/>
  <c r="K60" i="12"/>
  <c r="F79" i="12"/>
  <c r="F57" i="12"/>
  <c r="M55" i="12"/>
  <c r="L55" i="12"/>
  <c r="K55" i="12"/>
  <c r="G52" i="12"/>
  <c r="F77" i="12" s="1"/>
  <c r="F52" i="12"/>
  <c r="F76" i="12"/>
  <c r="G50" i="12"/>
  <c r="F75" i="12" s="1"/>
  <c r="F50" i="12"/>
  <c r="G49" i="12"/>
  <c r="F74" i="12" s="1"/>
  <c r="G47" i="12"/>
  <c r="F47" i="12"/>
  <c r="F17" i="12"/>
  <c r="H17" i="12" s="1"/>
  <c r="D52" i="2"/>
  <c r="N46" i="2"/>
  <c r="N43" i="2"/>
  <c r="M47" i="2"/>
  <c r="I47" i="2"/>
  <c r="J47" i="2"/>
  <c r="K47" i="2"/>
  <c r="L47" i="2"/>
  <c r="H47" i="2"/>
  <c r="F47" i="2"/>
  <c r="D73" i="2"/>
  <c r="F73" i="2" s="1"/>
  <c r="F74" i="2" s="1"/>
  <c r="G35" i="2"/>
  <c r="F51" i="2"/>
  <c r="H51" i="2" s="1"/>
  <c r="N51" i="2" s="1"/>
  <c r="F50" i="2"/>
  <c r="H50" i="2" s="1"/>
  <c r="N50" i="2" s="1"/>
  <c r="I71" i="2"/>
  <c r="J71" i="2"/>
  <c r="K71" i="2"/>
  <c r="L71" i="2"/>
  <c r="M71" i="2"/>
  <c r="K66" i="2"/>
  <c r="L66" i="2"/>
  <c r="M66" i="2"/>
  <c r="K62" i="2"/>
  <c r="L62" i="2"/>
  <c r="J53" i="2"/>
  <c r="K53" i="2"/>
  <c r="L53" i="2"/>
  <c r="M53" i="2"/>
  <c r="G53" i="2"/>
  <c r="J44" i="2"/>
  <c r="K44" i="2"/>
  <c r="L44" i="2"/>
  <c r="M44" i="2"/>
  <c r="I74" i="2"/>
  <c r="J74" i="2"/>
  <c r="K74" i="2"/>
  <c r="L74" i="2"/>
  <c r="M74" i="2"/>
  <c r="G74" i="2"/>
  <c r="N58" i="2"/>
  <c r="N59" i="2"/>
  <c r="M62" i="2"/>
  <c r="F70" i="2"/>
  <c r="F42" i="2"/>
  <c r="I42" i="2" s="1"/>
  <c r="N42" i="2" s="1"/>
  <c r="D43" i="2"/>
  <c r="F43" i="2" s="1"/>
  <c r="F92" i="2"/>
  <c r="F93" i="2" s="1"/>
  <c r="D34" i="2"/>
  <c r="D33" i="2"/>
  <c r="H18" i="12" l="1"/>
  <c r="I18" i="12"/>
  <c r="J43" i="12"/>
  <c r="I42" i="12"/>
  <c r="F73" i="12"/>
  <c r="G55" i="12"/>
  <c r="F60" i="12"/>
  <c r="F81" i="12"/>
  <c r="G60" i="12"/>
  <c r="F16" i="12"/>
  <c r="N16" i="12" s="1"/>
  <c r="F72" i="12"/>
  <c r="N21" i="12"/>
  <c r="N24" i="12"/>
  <c r="F11" i="12"/>
  <c r="N26" i="12"/>
  <c r="N23" i="12"/>
  <c r="N22" i="12"/>
  <c r="N25" i="12"/>
  <c r="I43" i="12"/>
  <c r="N47" i="12"/>
  <c r="H51" i="12"/>
  <c r="H42" i="12"/>
  <c r="H43" i="12" s="1"/>
  <c r="F44" i="12"/>
  <c r="N20" i="12"/>
  <c r="M43" i="12"/>
  <c r="M44" i="12" s="1"/>
  <c r="G43" i="12"/>
  <c r="G44" i="12" s="1"/>
  <c r="L43" i="12"/>
  <c r="L44" i="12" s="1"/>
  <c r="K43" i="12"/>
  <c r="K44" i="12" s="1"/>
  <c r="F13" i="12"/>
  <c r="H13" i="12"/>
  <c r="N13" i="12" s="1"/>
  <c r="I63" i="12"/>
  <c r="H63" i="12"/>
  <c r="L64" i="12"/>
  <c r="K64" i="12"/>
  <c r="F82" i="12"/>
  <c r="M64" i="12"/>
  <c r="J63" i="12"/>
  <c r="F80" i="12"/>
  <c r="N47" i="2"/>
  <c r="E49" i="2"/>
  <c r="F49" i="2" s="1"/>
  <c r="F53" i="2" s="1"/>
  <c r="B102" i="2"/>
  <c r="E102" i="2"/>
  <c r="K35" i="2"/>
  <c r="L35" i="2"/>
  <c r="M35" i="2"/>
  <c r="D32" i="2"/>
  <c r="F32" i="2" s="1"/>
  <c r="H32" i="2" s="1"/>
  <c r="G38" i="2"/>
  <c r="J38" i="2"/>
  <c r="L38" i="2"/>
  <c r="M38" i="2"/>
  <c r="H38" i="2"/>
  <c r="F33" i="2"/>
  <c r="H33" i="2" s="1"/>
  <c r="N33" i="2" s="1"/>
  <c r="F34" i="2"/>
  <c r="H34" i="2" s="1"/>
  <c r="N34" i="2" s="1"/>
  <c r="D37" i="2"/>
  <c r="F37" i="2" s="1"/>
  <c r="F38" i="2" s="1"/>
  <c r="D26" i="2"/>
  <c r="B114" i="2"/>
  <c r="D114" i="2"/>
  <c r="E115" i="2"/>
  <c r="E114" i="2"/>
  <c r="B115" i="2"/>
  <c r="C115" i="2"/>
  <c r="D115" i="2"/>
  <c r="C114" i="2"/>
  <c r="E110" i="2"/>
  <c r="B112" i="2"/>
  <c r="C112" i="2"/>
  <c r="D112" i="2"/>
  <c r="E112" i="2"/>
  <c r="B113" i="2"/>
  <c r="C113" i="2"/>
  <c r="D113" i="2"/>
  <c r="E113" i="2"/>
  <c r="B111" i="2"/>
  <c r="C111" i="2"/>
  <c r="D111" i="2"/>
  <c r="E111" i="2"/>
  <c r="C110" i="2"/>
  <c r="D110" i="2"/>
  <c r="B106" i="2"/>
  <c r="C106" i="2"/>
  <c r="D106" i="2"/>
  <c r="E106" i="2"/>
  <c r="B107" i="2"/>
  <c r="C107" i="2"/>
  <c r="D107" i="2"/>
  <c r="E107" i="2"/>
  <c r="B108" i="2"/>
  <c r="C108" i="2"/>
  <c r="D108" i="2"/>
  <c r="E108" i="2"/>
  <c r="B109" i="2"/>
  <c r="C109" i="2"/>
  <c r="D109" i="2"/>
  <c r="E109" i="2"/>
  <c r="B110" i="2"/>
  <c r="D105" i="2"/>
  <c r="E105" i="2"/>
  <c r="C105" i="2"/>
  <c r="B105" i="2"/>
  <c r="B103" i="2"/>
  <c r="C103" i="2"/>
  <c r="D103" i="2"/>
  <c r="E103" i="2"/>
  <c r="C102" i="2"/>
  <c r="D102" i="2"/>
  <c r="G16" i="2"/>
  <c r="G23" i="2"/>
  <c r="G30" i="2"/>
  <c r="G36" i="2"/>
  <c r="G44" i="2"/>
  <c r="F88" i="2"/>
  <c r="H88" i="2" s="1"/>
  <c r="G83" i="2"/>
  <c r="F110" i="2" s="1"/>
  <c r="G82" i="2"/>
  <c r="F109" i="2" s="1"/>
  <c r="G81" i="2"/>
  <c r="F108" i="2" s="1"/>
  <c r="G80" i="2"/>
  <c r="F107" i="2" s="1"/>
  <c r="G79" i="2"/>
  <c r="F106" i="2" s="1"/>
  <c r="G78" i="2"/>
  <c r="F105" i="2" s="1"/>
  <c r="F83" i="2"/>
  <c r="F82" i="2"/>
  <c r="F81" i="2"/>
  <c r="F80" i="2"/>
  <c r="F79" i="2"/>
  <c r="F78" i="2"/>
  <c r="K30" i="2"/>
  <c r="L30" i="2"/>
  <c r="M30" i="2"/>
  <c r="K36" i="2"/>
  <c r="L36" i="2"/>
  <c r="M36" i="2"/>
  <c r="F60" i="2"/>
  <c r="I60" i="2" s="1"/>
  <c r="N60" i="2" s="1"/>
  <c r="E65" i="2"/>
  <c r="E64" i="2"/>
  <c r="F64" i="2" s="1"/>
  <c r="D65" i="2"/>
  <c r="F61" i="2"/>
  <c r="I61" i="2" s="1"/>
  <c r="G92" i="2"/>
  <c r="F115" i="2" s="1"/>
  <c r="G91" i="2"/>
  <c r="F114" i="2" s="1"/>
  <c r="G88" i="2"/>
  <c r="F113" i="2" s="1"/>
  <c r="G87" i="2"/>
  <c r="F112" i="2" s="1"/>
  <c r="G86" i="2"/>
  <c r="F111" i="2" s="1"/>
  <c r="F86" i="2"/>
  <c r="F15" i="2"/>
  <c r="H15" i="2" s="1"/>
  <c r="N15" i="2" s="1"/>
  <c r="I38" i="12" l="1"/>
  <c r="I39" i="12" s="1"/>
  <c r="N18" i="12"/>
  <c r="H38" i="12"/>
  <c r="H39" i="12" s="1"/>
  <c r="N19" i="12"/>
  <c r="F39" i="12"/>
  <c r="G64" i="12"/>
  <c r="J60" i="12"/>
  <c r="F84" i="12"/>
  <c r="J38" i="12"/>
  <c r="J39" i="12" s="1"/>
  <c r="J10" i="12"/>
  <c r="J11" i="12" s="1"/>
  <c r="M65" i="12"/>
  <c r="N51" i="12"/>
  <c r="L65" i="12"/>
  <c r="N43" i="12"/>
  <c r="N44" i="12" s="1"/>
  <c r="K65" i="12"/>
  <c r="N14" i="12"/>
  <c r="N9" i="12"/>
  <c r="H11" i="12"/>
  <c r="N15" i="12"/>
  <c r="N42" i="12"/>
  <c r="J44" i="12"/>
  <c r="I10" i="12"/>
  <c r="H55" i="12"/>
  <c r="I55" i="12"/>
  <c r="J55" i="12"/>
  <c r="N53" i="12"/>
  <c r="N49" i="12"/>
  <c r="N59" i="12"/>
  <c r="H60" i="12"/>
  <c r="N52" i="12"/>
  <c r="N50" i="12"/>
  <c r="N63" i="12"/>
  <c r="N57" i="12"/>
  <c r="N48" i="12"/>
  <c r="N17" i="12"/>
  <c r="I60" i="12"/>
  <c r="G47" i="2"/>
  <c r="J86" i="2"/>
  <c r="F89" i="2"/>
  <c r="H49" i="2"/>
  <c r="F84" i="2"/>
  <c r="J64" i="2"/>
  <c r="I78" i="2"/>
  <c r="K37" i="2"/>
  <c r="K38" i="2" s="1"/>
  <c r="J35" i="2"/>
  <c r="I37" i="2"/>
  <c r="G89" i="2"/>
  <c r="G84" i="2"/>
  <c r="N32" i="2"/>
  <c r="G93" i="2"/>
  <c r="H86" i="2"/>
  <c r="H89" i="2" s="1"/>
  <c r="J61" i="2"/>
  <c r="J62" i="2" s="1"/>
  <c r="I88" i="2"/>
  <c r="I64" i="2"/>
  <c r="H92" i="2"/>
  <c r="I86" i="2"/>
  <c r="H64" i="2"/>
  <c r="J88" i="2"/>
  <c r="H61" i="2"/>
  <c r="H78" i="2"/>
  <c r="I92" i="2"/>
  <c r="J92" i="2"/>
  <c r="G59" i="2"/>
  <c r="F103" i="2" s="1"/>
  <c r="G58" i="2"/>
  <c r="F69" i="2"/>
  <c r="H69" i="2" s="1"/>
  <c r="N69" i="2" s="1"/>
  <c r="F68" i="2"/>
  <c r="F56" i="2"/>
  <c r="I56" i="2" s="1"/>
  <c r="N56" i="2" s="1"/>
  <c r="F57" i="2"/>
  <c r="I57" i="2" s="1"/>
  <c r="N57" i="2" s="1"/>
  <c r="F41" i="2"/>
  <c r="I41" i="2" s="1"/>
  <c r="N41" i="2" s="1"/>
  <c r="F40" i="2"/>
  <c r="N38" i="12" l="1"/>
  <c r="N39" i="12" s="1"/>
  <c r="J64" i="12"/>
  <c r="J65" i="12" s="1"/>
  <c r="N10" i="12"/>
  <c r="N11" i="12" s="1"/>
  <c r="I44" i="12"/>
  <c r="I11" i="12"/>
  <c r="H44" i="12"/>
  <c r="N60" i="12"/>
  <c r="I64" i="12"/>
  <c r="N55" i="12"/>
  <c r="H64" i="12"/>
  <c r="F94" i="2"/>
  <c r="F71" i="2"/>
  <c r="N49" i="2"/>
  <c r="H53" i="2"/>
  <c r="G94" i="2"/>
  <c r="F102" i="2"/>
  <c r="F116" i="2" s="1"/>
  <c r="G62" i="2"/>
  <c r="G75" i="2" s="1"/>
  <c r="H62" i="2"/>
  <c r="N61" i="2"/>
  <c r="J36" i="2"/>
  <c r="H93" i="2"/>
  <c r="N92" i="2"/>
  <c r="H68" i="2"/>
  <c r="I38" i="2"/>
  <c r="N38" i="2" s="1"/>
  <c r="N37" i="2"/>
  <c r="I36" i="2"/>
  <c r="I35" i="2"/>
  <c r="I40" i="2"/>
  <c r="I23" i="2"/>
  <c r="J23" i="2"/>
  <c r="K23" i="2"/>
  <c r="L23" i="2"/>
  <c r="M23" i="2"/>
  <c r="J16" i="2"/>
  <c r="K16" i="2"/>
  <c r="L16" i="2"/>
  <c r="M16" i="2"/>
  <c r="F55" i="2"/>
  <c r="F62" i="2" s="1"/>
  <c r="N64" i="2"/>
  <c r="F13" i="2"/>
  <c r="H13" i="2" s="1"/>
  <c r="N13" i="2" s="1"/>
  <c r="F29" i="2"/>
  <c r="H29" i="2" s="1"/>
  <c r="N29" i="2" s="1"/>
  <c r="F28" i="2"/>
  <c r="H28" i="2" s="1"/>
  <c r="N28" i="2" s="1"/>
  <c r="F27" i="2"/>
  <c r="H27" i="2" s="1"/>
  <c r="N27" i="2" s="1"/>
  <c r="F26" i="2"/>
  <c r="H26" i="2" s="1"/>
  <c r="N26" i="2" s="1"/>
  <c r="D25" i="2"/>
  <c r="F25" i="2" s="1"/>
  <c r="D12" i="2"/>
  <c r="F12" i="2" s="1"/>
  <c r="F65" i="2"/>
  <c r="F66" i="2" s="1"/>
  <c r="F19" i="2"/>
  <c r="H19" i="2" s="1"/>
  <c r="N19" i="2" s="1"/>
  <c r="F20" i="2"/>
  <c r="H20" i="2" s="1"/>
  <c r="N20" i="2" s="1"/>
  <c r="F21" i="2"/>
  <c r="H21" i="2" s="1"/>
  <c r="N21" i="2" s="1"/>
  <c r="F22" i="2"/>
  <c r="H22" i="2" s="1"/>
  <c r="N22" i="2" s="1"/>
  <c r="F18" i="2"/>
  <c r="D11" i="2"/>
  <c r="F11" i="2" s="1"/>
  <c r="H11" i="2" s="1"/>
  <c r="N11" i="2" s="1"/>
  <c r="D10" i="2"/>
  <c r="F10" i="2" s="1"/>
  <c r="H10" i="2" s="1"/>
  <c r="N10" i="2" s="1"/>
  <c r="D9" i="2"/>
  <c r="F9" i="2" s="1"/>
  <c r="H70" i="2"/>
  <c r="N70" i="2" s="1"/>
  <c r="F14" i="2"/>
  <c r="H14" i="2" s="1"/>
  <c r="N14" i="2" s="1"/>
  <c r="C87" i="12" l="1"/>
  <c r="D91" i="12" s="1"/>
  <c r="I65" i="12"/>
  <c r="H65" i="12"/>
  <c r="N64" i="12"/>
  <c r="N65" i="12" s="1"/>
  <c r="F23" i="2"/>
  <c r="C89" i="12"/>
  <c r="M75" i="2"/>
  <c r="L75" i="2"/>
  <c r="K75" i="2"/>
  <c r="G95" i="2"/>
  <c r="F30" i="2"/>
  <c r="H44" i="2"/>
  <c r="N68" i="2"/>
  <c r="N71" i="2" s="1"/>
  <c r="H71" i="2"/>
  <c r="F16" i="2"/>
  <c r="F35" i="2"/>
  <c r="N40" i="2"/>
  <c r="I44" i="2"/>
  <c r="F44" i="2"/>
  <c r="H18" i="2"/>
  <c r="H23" i="2" s="1"/>
  <c r="H9" i="2"/>
  <c r="N9" i="2" s="1"/>
  <c r="H25" i="2"/>
  <c r="N25" i="2" s="1"/>
  <c r="H73" i="2"/>
  <c r="J65" i="2"/>
  <c r="I65" i="2"/>
  <c r="H65" i="2"/>
  <c r="H66" i="2" s="1"/>
  <c r="I53" i="2"/>
  <c r="I55" i="2"/>
  <c r="I62" i="2" s="1"/>
  <c r="N62" i="2" s="1"/>
  <c r="F36" i="2"/>
  <c r="I16" i="2"/>
  <c r="H12" i="2"/>
  <c r="N12" i="2" s="1"/>
  <c r="E104" i="5"/>
  <c r="D104" i="5"/>
  <c r="C104" i="5"/>
  <c r="E103" i="5"/>
  <c r="D103" i="5"/>
  <c r="C103" i="5"/>
  <c r="E102" i="5"/>
  <c r="D102" i="5"/>
  <c r="C102" i="5"/>
  <c r="E101" i="5"/>
  <c r="C101" i="5"/>
  <c r="E100" i="5"/>
  <c r="D100" i="5"/>
  <c r="C100" i="5"/>
  <c r="E99" i="5"/>
  <c r="D99" i="5"/>
  <c r="C99" i="5"/>
  <c r="E98" i="5"/>
  <c r="D98" i="5"/>
  <c r="C98" i="5"/>
  <c r="E97" i="5"/>
  <c r="D97" i="5"/>
  <c r="C97" i="5"/>
  <c r="E96" i="5"/>
  <c r="D96" i="5"/>
  <c r="C96" i="5"/>
  <c r="E95" i="5"/>
  <c r="D95" i="5"/>
  <c r="C95" i="5"/>
  <c r="E94" i="5"/>
  <c r="D94" i="5"/>
  <c r="C94" i="5"/>
  <c r="E93" i="5"/>
  <c r="D93" i="5"/>
  <c r="C93" i="5"/>
  <c r="E92" i="5"/>
  <c r="D92" i="5"/>
  <c r="C92" i="5"/>
  <c r="D88" i="12" l="1"/>
  <c r="D87" i="12"/>
  <c r="N53" i="2"/>
  <c r="F75" i="2"/>
  <c r="F95" i="2" s="1"/>
  <c r="F96" i="2" s="1"/>
  <c r="N44" i="2"/>
  <c r="J30" i="2"/>
  <c r="J66" i="2"/>
  <c r="I30" i="2"/>
  <c r="I66" i="2"/>
  <c r="H74" i="2"/>
  <c r="N73" i="2"/>
  <c r="H30" i="2"/>
  <c r="N18" i="2"/>
  <c r="N23" i="2"/>
  <c r="H36" i="2"/>
  <c r="N36" i="2" s="1"/>
  <c r="H35" i="2"/>
  <c r="N35" i="2" s="1"/>
  <c r="H16" i="2"/>
  <c r="N16" i="2" s="1"/>
  <c r="N65" i="2"/>
  <c r="N55" i="2"/>
  <c r="E23" i="5"/>
  <c r="F23" i="5" s="1"/>
  <c r="E22" i="5"/>
  <c r="E21" i="5"/>
  <c r="F21" i="5" s="1"/>
  <c r="K21" i="5" s="1"/>
  <c r="E20" i="5"/>
  <c r="F20" i="5" s="1"/>
  <c r="E51" i="5"/>
  <c r="F51" i="5" s="1"/>
  <c r="G78" i="5"/>
  <c r="F78" i="5"/>
  <c r="H78" i="5" s="1"/>
  <c r="N77" i="5"/>
  <c r="G77" i="5"/>
  <c r="F103" i="5" s="1"/>
  <c r="G74" i="5"/>
  <c r="F102" i="5" s="1"/>
  <c r="F74" i="5"/>
  <c r="N73" i="5"/>
  <c r="D73" i="5"/>
  <c r="D101" i="5" s="1"/>
  <c r="M72" i="5"/>
  <c r="M75" i="5" s="1"/>
  <c r="L72" i="5"/>
  <c r="K72" i="5"/>
  <c r="J72" i="5"/>
  <c r="I72" i="5"/>
  <c r="H72" i="5"/>
  <c r="G72" i="5"/>
  <c r="F100" i="5" s="1"/>
  <c r="G71" i="5"/>
  <c r="F71" i="5"/>
  <c r="J71" i="5" s="1"/>
  <c r="G68" i="5"/>
  <c r="F98" i="5" s="1"/>
  <c r="F68" i="5"/>
  <c r="M68" i="5" s="1"/>
  <c r="G67" i="5"/>
  <c r="F97" i="5" s="1"/>
  <c r="F67" i="5"/>
  <c r="K67" i="5" s="1"/>
  <c r="G66" i="5"/>
  <c r="F96" i="5" s="1"/>
  <c r="F66" i="5"/>
  <c r="M66" i="5" s="1"/>
  <c r="G65" i="5"/>
  <c r="F95" i="5" s="1"/>
  <c r="F65" i="5"/>
  <c r="H65" i="5" s="1"/>
  <c r="G64" i="5"/>
  <c r="F64" i="5"/>
  <c r="G63" i="5"/>
  <c r="F93" i="5" s="1"/>
  <c r="F63" i="5"/>
  <c r="G62" i="5"/>
  <c r="F92" i="5" s="1"/>
  <c r="F62" i="5"/>
  <c r="G59" i="5"/>
  <c r="L58" i="5"/>
  <c r="L59" i="5" s="1"/>
  <c r="K58" i="5"/>
  <c r="K59" i="5" s="1"/>
  <c r="J58" i="5"/>
  <c r="J59" i="5" s="1"/>
  <c r="I58" i="5"/>
  <c r="I59" i="5" s="1"/>
  <c r="H58" i="5"/>
  <c r="H59" i="5" s="1"/>
  <c r="G58" i="5"/>
  <c r="F57" i="5"/>
  <c r="I53" i="5"/>
  <c r="I54" i="5" s="1"/>
  <c r="H53" i="5"/>
  <c r="H54" i="5" s="1"/>
  <c r="G53" i="5"/>
  <c r="G54" i="5" s="1"/>
  <c r="F52" i="5"/>
  <c r="G47" i="5"/>
  <c r="G48" i="5" s="1"/>
  <c r="F46" i="5"/>
  <c r="K46" i="5" s="1"/>
  <c r="F45" i="5"/>
  <c r="M45" i="5" s="1"/>
  <c r="N45" i="5" s="1"/>
  <c r="F44" i="5"/>
  <c r="I44" i="5" s="1"/>
  <c r="N44" i="5" s="1"/>
  <c r="F43" i="5"/>
  <c r="I43" i="5" s="1"/>
  <c r="N43" i="5" s="1"/>
  <c r="F42" i="5"/>
  <c r="I42" i="5" s="1"/>
  <c r="N42" i="5" s="1"/>
  <c r="F41" i="5"/>
  <c r="I41" i="5" s="1"/>
  <c r="N41" i="5" s="1"/>
  <c r="F40" i="5"/>
  <c r="I40" i="5" s="1"/>
  <c r="N40" i="5" s="1"/>
  <c r="F39" i="5"/>
  <c r="I39" i="5" s="1"/>
  <c r="N39" i="5" s="1"/>
  <c r="F38" i="5"/>
  <c r="I38" i="5" s="1"/>
  <c r="N38" i="5" s="1"/>
  <c r="F37" i="5"/>
  <c r="I37" i="5" s="1"/>
  <c r="N37" i="5" s="1"/>
  <c r="F34" i="5"/>
  <c r="H34" i="5" s="1"/>
  <c r="N34" i="5" s="1"/>
  <c r="F33" i="5"/>
  <c r="H33" i="5" s="1"/>
  <c r="N33" i="5" s="1"/>
  <c r="F32" i="5"/>
  <c r="H32" i="5" s="1"/>
  <c r="N32" i="5" s="1"/>
  <c r="F31" i="5"/>
  <c r="H31" i="5" s="1"/>
  <c r="N31" i="5" s="1"/>
  <c r="F30" i="5"/>
  <c r="H30" i="5" s="1"/>
  <c r="N30" i="5" s="1"/>
  <c r="F29" i="5"/>
  <c r="H29" i="5" s="1"/>
  <c r="N29" i="5" s="1"/>
  <c r="F28" i="5"/>
  <c r="H28" i="5" s="1"/>
  <c r="N28" i="5" s="1"/>
  <c r="F27" i="5"/>
  <c r="H27" i="5" s="1"/>
  <c r="N27" i="5" s="1"/>
  <c r="F25" i="5"/>
  <c r="H25" i="5" s="1"/>
  <c r="N25" i="5" s="1"/>
  <c r="D24" i="5"/>
  <c r="F24" i="5" s="1"/>
  <c r="F22" i="5"/>
  <c r="K22" i="5" s="1"/>
  <c r="M16" i="5"/>
  <c r="M17" i="5" s="1"/>
  <c r="L16" i="5"/>
  <c r="L17" i="5" s="1"/>
  <c r="K16" i="5"/>
  <c r="K17" i="5" s="1"/>
  <c r="J16" i="5"/>
  <c r="J17" i="5" s="1"/>
  <c r="H16" i="5"/>
  <c r="H17" i="5" s="1"/>
  <c r="G16" i="5"/>
  <c r="G17" i="5" s="1"/>
  <c r="D15" i="5"/>
  <c r="F15" i="5" s="1"/>
  <c r="I15" i="5" s="1"/>
  <c r="N15" i="5" s="1"/>
  <c r="F14" i="5"/>
  <c r="I14" i="5" s="1"/>
  <c r="N14" i="5" s="1"/>
  <c r="F13" i="5"/>
  <c r="I13" i="5" s="1"/>
  <c r="N13" i="5" s="1"/>
  <c r="F12" i="5"/>
  <c r="I12" i="5" s="1"/>
  <c r="N12" i="5" s="1"/>
  <c r="I11" i="5"/>
  <c r="F10" i="5"/>
  <c r="I10" i="5" s="1"/>
  <c r="N10" i="5" s="1"/>
  <c r="F9" i="5"/>
  <c r="N87" i="2"/>
  <c r="I93" i="2"/>
  <c r="N91" i="2"/>
  <c r="D89" i="12" l="1"/>
  <c r="F4" i="2"/>
  <c r="H75" i="2"/>
  <c r="I75" i="2"/>
  <c r="J75" i="2"/>
  <c r="N66" i="2"/>
  <c r="N30" i="2"/>
  <c r="C119" i="2"/>
  <c r="N74" i="2"/>
  <c r="J80" i="2"/>
  <c r="H80" i="2"/>
  <c r="I80" i="2"/>
  <c r="H79" i="2"/>
  <c r="J79" i="2"/>
  <c r="I79" i="2"/>
  <c r="I82" i="2"/>
  <c r="H82" i="2"/>
  <c r="I83" i="2"/>
  <c r="J83" i="2"/>
  <c r="H83" i="2"/>
  <c r="I81" i="2"/>
  <c r="J81" i="2"/>
  <c r="H81" i="2"/>
  <c r="L52" i="5"/>
  <c r="M52" i="5"/>
  <c r="K52" i="5"/>
  <c r="J52" i="5"/>
  <c r="F58" i="5"/>
  <c r="F59" i="5" s="1"/>
  <c r="M57" i="5"/>
  <c r="M58" i="5" s="1"/>
  <c r="M59" i="5" s="1"/>
  <c r="L63" i="5"/>
  <c r="M63" i="5"/>
  <c r="K63" i="5"/>
  <c r="J63" i="5"/>
  <c r="M64" i="5"/>
  <c r="L64" i="5"/>
  <c r="K64" i="5"/>
  <c r="K74" i="5"/>
  <c r="L74" i="5"/>
  <c r="L75" i="5" s="1"/>
  <c r="J74" i="5"/>
  <c r="J75" i="5" s="1"/>
  <c r="I74" i="5"/>
  <c r="L24" i="5"/>
  <c r="J24" i="5"/>
  <c r="M24" i="5"/>
  <c r="K24" i="5"/>
  <c r="L22" i="5"/>
  <c r="F69" i="5"/>
  <c r="K71" i="5"/>
  <c r="M22" i="5"/>
  <c r="H64" i="5"/>
  <c r="G73" i="5"/>
  <c r="F101" i="5" s="1"/>
  <c r="L46" i="5"/>
  <c r="M46" i="5"/>
  <c r="H63" i="5"/>
  <c r="I64" i="5"/>
  <c r="N72" i="5"/>
  <c r="F99" i="5"/>
  <c r="G69" i="5"/>
  <c r="F94" i="5"/>
  <c r="I63" i="5"/>
  <c r="J64" i="5"/>
  <c r="G79" i="5"/>
  <c r="F104" i="5"/>
  <c r="L21" i="5"/>
  <c r="M20" i="5"/>
  <c r="L20" i="5"/>
  <c r="K20" i="5"/>
  <c r="J20" i="5"/>
  <c r="I20" i="5"/>
  <c r="F47" i="5"/>
  <c r="F48" i="5" s="1"/>
  <c r="H20" i="5"/>
  <c r="M23" i="5"/>
  <c r="L23" i="5"/>
  <c r="K23" i="5"/>
  <c r="J23" i="5"/>
  <c r="I23" i="5"/>
  <c r="H23" i="5"/>
  <c r="F16" i="5"/>
  <c r="F17" i="5" s="1"/>
  <c r="F53" i="5"/>
  <c r="F54" i="5" s="1"/>
  <c r="M51" i="5"/>
  <c r="L51" i="5"/>
  <c r="K51" i="5"/>
  <c r="J51" i="5"/>
  <c r="H79" i="5"/>
  <c r="H62" i="5"/>
  <c r="I65" i="5"/>
  <c r="H66" i="5"/>
  <c r="I78" i="5"/>
  <c r="I79" i="5" s="1"/>
  <c r="I9" i="5"/>
  <c r="H21" i="5"/>
  <c r="H22" i="5"/>
  <c r="H46" i="5"/>
  <c r="K62" i="5"/>
  <c r="J65" i="5"/>
  <c r="I66" i="5"/>
  <c r="H67" i="5"/>
  <c r="I68" i="5"/>
  <c r="J78" i="5"/>
  <c r="J79" i="5" s="1"/>
  <c r="H68" i="5"/>
  <c r="I21" i="5"/>
  <c r="I22" i="5"/>
  <c r="I46" i="5"/>
  <c r="K65" i="5"/>
  <c r="J66" i="5"/>
  <c r="I67" i="5"/>
  <c r="J68" i="5"/>
  <c r="H71" i="5"/>
  <c r="F75" i="5"/>
  <c r="K78" i="5"/>
  <c r="K79" i="5" s="1"/>
  <c r="J21" i="5"/>
  <c r="J22" i="5"/>
  <c r="H24" i="5"/>
  <c r="J46" i="5"/>
  <c r="N57" i="5"/>
  <c r="N58" i="5" s="1"/>
  <c r="N59" i="5" s="1"/>
  <c r="L65" i="5"/>
  <c r="K66" i="5"/>
  <c r="J67" i="5"/>
  <c r="K68" i="5"/>
  <c r="I71" i="5"/>
  <c r="L78" i="5"/>
  <c r="L79" i="5" s="1"/>
  <c r="I24" i="5"/>
  <c r="M65" i="5"/>
  <c r="L66" i="5"/>
  <c r="L68" i="5"/>
  <c r="H74" i="5"/>
  <c r="M78" i="5"/>
  <c r="M79" i="5" s="1"/>
  <c r="F79" i="5"/>
  <c r="J93" i="2"/>
  <c r="K93" i="2"/>
  <c r="L93" i="2"/>
  <c r="M93" i="2"/>
  <c r="K75" i="5" l="1"/>
  <c r="I75" i="5"/>
  <c r="G75" i="5"/>
  <c r="G80" i="5" s="1"/>
  <c r="G81" i="5" s="1"/>
  <c r="C109" i="5" s="1"/>
  <c r="L69" i="5"/>
  <c r="L53" i="5"/>
  <c r="L54" i="5" s="1"/>
  <c r="N75" i="2"/>
  <c r="N52" i="5"/>
  <c r="J84" i="2"/>
  <c r="H84" i="2"/>
  <c r="I84" i="2"/>
  <c r="N74" i="5"/>
  <c r="M69" i="5"/>
  <c r="M80" i="5" s="1"/>
  <c r="K53" i="5"/>
  <c r="K54" i="5" s="1"/>
  <c r="M53" i="5"/>
  <c r="M54" i="5" s="1"/>
  <c r="J69" i="5"/>
  <c r="J80" i="5" s="1"/>
  <c r="N65" i="5"/>
  <c r="F105" i="5"/>
  <c r="I69" i="5"/>
  <c r="I80" i="5" s="1"/>
  <c r="N63" i="5"/>
  <c r="M47" i="5"/>
  <c r="M48" i="5" s="1"/>
  <c r="N22" i="5"/>
  <c r="N24" i="5"/>
  <c r="N67" i="5"/>
  <c r="N46" i="5"/>
  <c r="K47" i="5"/>
  <c r="K48" i="5" s="1"/>
  <c r="N64" i="5"/>
  <c r="N82" i="2"/>
  <c r="N21" i="5"/>
  <c r="N20" i="5"/>
  <c r="H47" i="5"/>
  <c r="H48" i="5" s="1"/>
  <c r="I16" i="5"/>
  <c r="I17" i="5" s="1"/>
  <c r="N9" i="5"/>
  <c r="N16" i="5" s="1"/>
  <c r="N17" i="5" s="1"/>
  <c r="N71" i="5"/>
  <c r="H75" i="5"/>
  <c r="L80" i="5"/>
  <c r="I47" i="5"/>
  <c r="I48" i="5" s="1"/>
  <c r="N66" i="5"/>
  <c r="N68" i="5"/>
  <c r="N23" i="5"/>
  <c r="F80" i="5"/>
  <c r="F81" i="5" s="1"/>
  <c r="C108" i="5" s="1"/>
  <c r="N78" i="5"/>
  <c r="N79" i="5" s="1"/>
  <c r="J47" i="5"/>
  <c r="J48" i="5" s="1"/>
  <c r="K69" i="5"/>
  <c r="N62" i="5"/>
  <c r="H69" i="5"/>
  <c r="J53" i="5"/>
  <c r="J54" i="5" s="1"/>
  <c r="N51" i="5"/>
  <c r="N53" i="5" s="1"/>
  <c r="N54" i="5" s="1"/>
  <c r="L47" i="5"/>
  <c r="L48" i="5" s="1"/>
  <c r="M89" i="2"/>
  <c r="L89" i="2"/>
  <c r="K89" i="2"/>
  <c r="N88" i="2"/>
  <c r="N79" i="2"/>
  <c r="N86" i="2"/>
  <c r="M84" i="2"/>
  <c r="J89" i="2"/>
  <c r="K84" i="2"/>
  <c r="I89" i="2"/>
  <c r="L84" i="2"/>
  <c r="N93" i="2"/>
  <c r="N81" i="2"/>
  <c r="N83" i="2"/>
  <c r="N78" i="2"/>
  <c r="N80" i="2"/>
  <c r="K80" i="5" l="1"/>
  <c r="K81" i="5" s="1"/>
  <c r="N75" i="5"/>
  <c r="I94" i="2"/>
  <c r="I95" i="2" s="1"/>
  <c r="N84" i="2"/>
  <c r="N89" i="2"/>
  <c r="M94" i="2"/>
  <c r="M95" i="2" s="1"/>
  <c r="K94" i="2"/>
  <c r="K95" i="2" s="1"/>
  <c r="J94" i="2"/>
  <c r="J95" i="2" s="1"/>
  <c r="L94" i="2"/>
  <c r="L95" i="2" s="1"/>
  <c r="H94" i="2"/>
  <c r="H95" i="2" s="1"/>
  <c r="M81" i="5"/>
  <c r="C110" i="5"/>
  <c r="I81" i="5"/>
  <c r="H80" i="5"/>
  <c r="H81" i="5" s="1"/>
  <c r="L81" i="5"/>
  <c r="N47" i="5"/>
  <c r="N48" i="5" s="1"/>
  <c r="J81" i="5"/>
  <c r="N69" i="5"/>
  <c r="N80" i="5" l="1"/>
  <c r="N81" i="5" s="1"/>
  <c r="N94" i="2"/>
  <c r="N95" i="2" s="1"/>
  <c r="C120" i="2"/>
  <c r="C121" i="2" s="1"/>
  <c r="D109" i="5"/>
  <c r="D108" i="5"/>
  <c r="D110" i="5" l="1"/>
  <c r="D120" i="2"/>
  <c r="D119" i="2" l="1"/>
  <c r="D12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tc={0A3BD328-091B-4770-830F-6648D2CDE0B0}</author>
    <author>Ivett Padilla</author>
    <author>tc={CD6AB5D6-D9EB-4925-99D0-5382B0CCC397}</author>
    <author>tc={83A2D966-D60B-4388-B72F-A35F3164657B}</author>
    <author>tc={FC3DEBE5-FD65-447F-BB4D-B1AD6F3A5AB9}</author>
  </authors>
  <commentList>
    <comment ref="C18" authorId="0" shapeId="0" xr:uid="{0A3BD328-091B-4770-830F-6648D2CDE0B0}">
      <text>
        <t>[Threaded comment]
Your version of Excel allows you to read this threaded comment; however, any edits to it will get removed if the file is opened in a newer version of Excel. Learn more: https://go.microsoft.com/fwlink/?linkid=870924
Comment:
    Corregir porque han calculado x 8 meses y son 7.</t>
      </text>
    </comment>
    <comment ref="J18" authorId="1" shapeId="0" xr:uid="{14986937-D03B-454C-AC47-1122813D91A2}">
      <text>
        <r>
          <rPr>
            <b/>
            <sz val="9"/>
            <color indexed="81"/>
            <rFont val="Tahoma"/>
            <charset val="1"/>
          </rPr>
          <t>Ivett Padilla:</t>
        </r>
        <r>
          <rPr>
            <sz val="9"/>
            <color indexed="81"/>
            <rFont val="Tahoma"/>
            <charset val="1"/>
          </rPr>
          <t xml:space="preserve">
Hay un ahorro por el mes de noviembre de $960 y diciembre de $465.00</t>
        </r>
      </text>
    </comment>
    <comment ref="J19" authorId="1" shapeId="0" xr:uid="{B2F30325-B819-433B-B98B-8517847023F3}">
      <text>
        <r>
          <rPr>
            <b/>
            <sz val="9"/>
            <color indexed="81"/>
            <rFont val="Tahoma"/>
            <charset val="1"/>
          </rPr>
          <t>Ivett Padilla:</t>
        </r>
        <r>
          <rPr>
            <sz val="9"/>
            <color indexed="81"/>
            <rFont val="Tahoma"/>
            <charset val="1"/>
          </rPr>
          <t xml:space="preserve">
Existe un ahorro de $20 dolares, no se necesita </t>
        </r>
      </text>
    </comment>
    <comment ref="B49" authorId="2" shapeId="0" xr:uid="{CD6AB5D6-D9EB-4925-99D0-5382B0CCC397}">
      <text>
        <t>[Threaded comment]
Your version of Excel allows you to read this threaded comment; however, any edits to it will get removed if the file is opened in a newer version of Excel. Learn more: https://go.microsoft.com/fwlink/?linkid=870924
Comment:
    Está correcto. UNICEF pagará el 15% del salario mensual, que corresponde a $150, que hace un total de $450 al mes</t>
      </text>
    </comment>
    <comment ref="B50" authorId="3" shapeId="0" xr:uid="{83A2D966-D60B-4388-B72F-A35F3164657B}">
      <text>
        <t>[Threaded comment]
Your version of Excel allows you to read this threaded comment; however, any edits to it will get removed if the file is opened in a newer version of Excel. Learn more: https://go.microsoft.com/fwlink/?linkid=870924
Comment:
    Coordinación de Gestión y Desarrollo Cecilia Zepeda. Dedicación del 20% de su tiempo al proyecto =$300 por mes. (10% FUSALMO y 10% UNICEF)</t>
      </text>
    </comment>
    <comment ref="J51" authorId="1" shapeId="0" xr:uid="{0BFB603B-7F8B-483B-AA4E-F6C7143F3CAF}">
      <text>
        <r>
          <rPr>
            <b/>
            <sz val="9"/>
            <color indexed="81"/>
            <rFont val="Tahoma"/>
            <charset val="1"/>
          </rPr>
          <t>Ivett Padilla:</t>
        </r>
        <r>
          <rPr>
            <sz val="9"/>
            <color indexed="81"/>
            <rFont val="Tahoma"/>
            <charset val="1"/>
          </rPr>
          <t xml:space="preserve">
se tiene duda en el calculo  no debería ser $220.50 en lugar de $80.57</t>
        </r>
      </text>
    </comment>
    <comment ref="B52" authorId="4" shapeId="0" xr:uid="{FC3DEBE5-FD65-447F-BB4D-B1AD6F3A5AB9}">
      <text>
        <t>[Threaded comment]
Your version of Excel allows you to read this threaded comment; however, any edits to it will get removed if the file is opened in a newer version of Excel. Learn more: https://go.microsoft.com/fwlink/?linkid=870924
Comment:
    Técnico en monitoreo Karla Mercado Hernández. Dedicación del 30% de su tiempo al proyecto: $200 al mes. (15% FUSALMO y 15% UNICEF)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61" authorId="0" shapeId="0" xr:uid="{00000000-0006-0000-0100-000001000000}">
      <text>
        <r>
          <rPr>
            <b/>
            <sz val="9"/>
            <color indexed="81"/>
            <rFont val="Tahoma"/>
            <family val="2"/>
          </rPr>
          <t>Administrator:Se cambia de 16 a 15 meses)</t>
        </r>
      </text>
    </comment>
  </commentList>
</comments>
</file>

<file path=xl/sharedStrings.xml><?xml version="1.0" encoding="utf-8"?>
<sst xmlns="http://schemas.openxmlformats.org/spreadsheetml/2006/main" count="591" uniqueCount="401">
  <si>
    <t>PRESUPUESTO GENERAL DETALLADO</t>
  </si>
  <si>
    <t>DURACIÓN DEL CONVENIO: 7 meses</t>
  </si>
  <si>
    <t>PROYECCIÓN DE DESEMBOLSOS TRIMESTRALES</t>
  </si>
  <si>
    <t>NOMBRE DEL PROYECTO: Entornos Seguros  de Aprendizaje</t>
  </si>
  <si>
    <t>SOCIO: FUSALMO</t>
  </si>
  <si>
    <r>
      <t>N.</t>
    </r>
    <r>
      <rPr>
        <b/>
        <vertAlign val="superscript"/>
        <sz val="10"/>
        <color theme="1"/>
        <rFont val="Calibri"/>
        <family val="2"/>
        <scheme val="minor"/>
      </rPr>
      <t>o</t>
    </r>
    <r>
      <rPr>
        <b/>
        <sz val="10"/>
        <color theme="1"/>
        <rFont val="Calibri"/>
        <family val="2"/>
        <scheme val="minor"/>
      </rPr>
      <t xml:space="preserve"> de rubro</t>
    </r>
  </si>
  <si>
    <t>Descripción del rubro</t>
  </si>
  <si>
    <t xml:space="preserve">Categoría </t>
  </si>
  <si>
    <t>Cantidad/meses</t>
  </si>
  <si>
    <t>Precio/costo unitario</t>
  </si>
  <si>
    <t>Monto total
Contribución UNICEF</t>
  </si>
  <si>
    <t>Monto total Contribución FUSALMO</t>
  </si>
  <si>
    <t xml:space="preserve">Trimestre 1 </t>
  </si>
  <si>
    <t>Trimestre 2</t>
  </si>
  <si>
    <t>Trimestre 3</t>
  </si>
  <si>
    <t>Trimestre 4</t>
  </si>
  <si>
    <t>Trimestre 5</t>
  </si>
  <si>
    <t xml:space="preserve">Trimestre 6 </t>
  </si>
  <si>
    <t>TOTAL</t>
  </si>
  <si>
    <t xml:space="preserve">Comentarios </t>
  </si>
  <si>
    <t>Producto 1</t>
  </si>
  <si>
    <t>40 CE con estructuras organizativas fortalecidas en la promoción de espacios seguros de aprendizaje</t>
  </si>
  <si>
    <t>Actividad 1.1</t>
  </si>
  <si>
    <r>
      <t xml:space="preserve">Diagnóstico rápido de la realidad organizativa de cada uno de los 40 centros educativos: </t>
    </r>
    <r>
      <rPr>
        <sz val="10"/>
        <color theme="1"/>
        <rFont val="Calibri"/>
        <family val="2"/>
        <scheme val="minor"/>
      </rPr>
      <t>Los diagnósticos se ejecutarán de una forma ágil en los 40 CE priorizados con la finalidad de poder identificar las diferentes formas de participación, organización y recursos que existen en los CE. estos determinaran cual o cuales serán las estrategias de trabajo que se motivara a realizar con cada uno de los centros escolares.  En el marco del diagnóstico se realizará un pequeño focus group con los principales líderes estudiantiles y el el personal docente que los acompaña para conocerles e identificar las iniciativas y prioridades que están impulsando.</t>
    </r>
  </si>
  <si>
    <t>1.1.1</t>
  </si>
  <si>
    <t>Refrigerio 10 maestros, estudiantes, padres de familia x 40 centros educativos xmedia jornada</t>
  </si>
  <si>
    <t>Unidades</t>
  </si>
  <si>
    <t>1.1.2</t>
  </si>
  <si>
    <t>Pliegos de papel bond 10 X 40 CE</t>
  </si>
  <si>
    <t>1.1.3</t>
  </si>
  <si>
    <t>tarjetas metaplan 30 X 40 CE</t>
  </si>
  <si>
    <t>1.1.4</t>
  </si>
  <si>
    <t>Caja de plumones permanentes de diferentes colores 3 x 40 CE</t>
  </si>
  <si>
    <t>Cajas</t>
  </si>
  <si>
    <t>1.1.5</t>
  </si>
  <si>
    <t>Tirro 1 x40 CE</t>
  </si>
  <si>
    <t>rollos</t>
  </si>
  <si>
    <t>1.1.6</t>
  </si>
  <si>
    <t>Tachuelas 1 X 40 CE</t>
  </si>
  <si>
    <t>1.1.7</t>
  </si>
  <si>
    <t>Galón alcohol gel 1 x 40 CE</t>
  </si>
  <si>
    <t xml:space="preserve">Galón </t>
  </si>
  <si>
    <t>Subtotal Actividad 1.1</t>
  </si>
  <si>
    <t>Actividad 1.2</t>
  </si>
  <si>
    <r>
      <t xml:space="preserve">Creación de capacitaciones virtuales en plataforma educativa con enfoque de equidad de género:
</t>
    </r>
    <r>
      <rPr>
        <sz val="10"/>
        <color theme="1"/>
        <rFont val="Calibri"/>
        <family val="2"/>
        <scheme val="minor"/>
      </rPr>
      <t>Se realizará el montaje de contenido en una plataforma para procesos de formación virtual con estrategias híbridas para los organismos de gobernanza escolar y líderes estudiantiles.  Se piensa desarrollar al menos dos módulos: Formación en Liderazgo Juvenil Estudiantil transversalizando la equidad de género y promoviendo la defensoría de los derechos humanos; y formación de animadores de participación y liderazgo juvenil (para docentes y organismos de gobernanza).</t>
    </r>
  </si>
  <si>
    <t>Es de conocimiento que existe una plataforma educativa utilizada por el MINEDUCYT llamada “Escuela Abierta”, la cual en este momento se encuentra en servidores de MINEDUCYT  y la Plataforma Transforma (https://transforma.fusalmo.org/ ), es la plataforma educativa implementada por FUSALMO. A continuación se presenta las características de cada una de ellas para lograr tomar una decisión de cuál al se debe utilizar, cabe mencionar que Plataforma Transforma también ha sido utilizada con proyectos con el MINEDUCYT. Ambas plataformas están orientadas al público estudiantil, con la intención de crear experiencias educativas significativas para la niñez y juventud, pero es importante destacar algunas diferencias entre ellas para poder comprender la naturaleza y funcionalidad de las mismas.
Es importante conocer que a nivel de core, Escuela Abierta esta desarrollada a medida, lo que implica que debe de existir un equipo de desarrollo completamente centrado en dar mantenimiento y actualizaciones a la plataforma, así como el montaje del contenido de la misma implica un proceso diferente y con un cierto grado de expertis en programación, lo que implica una curva de aprendizaje algo alta para el usuario final en su función de tutor. En el caso de Transforma, tiene un core con WordPress + LearnDash y código a medida lo que permite que la actualización y seguridad sea de manera constante, no es necesario un equipo de desarrollo solo para la plataforma, ya que cada persona, con la debida formación técnica y de diseño instruccional puede montar contenido sin mayor expertis y lo puede hacer de manera correcta.
En el caso de Escuela Abierta a nivel de integraciones con otros recursos tiene ciertas limitantes lo que en muchas ocasiones no permite crear una experiencia interactiva de manera completa o las integraciones deben de realizarse desde el equipo de desarrollo. En el caso de Transforma las integraciones se dan desde los plugins del repositorio de WordPress (integraciones con Zoom, Chat por WhatsApp, actividades interactivas elaboradas con h5p, etc.) que no necesitan un desarrollo a medida, también embebidos con recursos basados en HTML5 (Geniallys, pizarras interactivas como MIRO, etc,), lo que permite que sea una plataforma orientada al Conectivismo (ver más información sobre conectivismo).
Facilidades de Transforma: -Transforma es una plataforma que permite la creación de una variedad de curso para diferentes públicos, cuenta con perfiles de acceso que permite que personal de FUSALMO, así como externos, puedan crear contenido en la plataforma de una manera intuitiva y con una curva de aprendizaje baja para lograrlo.
-En Transforma se cuenta con reportería sobre los cursos, tanto la que se genera de manera automática por parte de LearnDash, así como una reportería a medida, donde se presenta información a solicitud de las personas interesadas y en formato mucho más amigable para el usuario final.
-A nivel de evaluación, Transforma cuenta con una variedad de recursos para hacer evaluaciones de los participantes en el curso, dese ejercicios sencillos con h5p, cuestionarios, tareas y exámenes de reto, los anteriores se realizan de manera integrada a Transforma, pero también se puede contar con recursos externos como los son formularios, LiveWorkSheet, entre otros; el proceso evaluativo dependerá de la intención de seguimiento que se desee brindar al participante del curso así como el objetivo del tutor sobre el proceso evaluativo. En ambas versiones se tiene acceso a las respuestas de participantes.</t>
  </si>
  <si>
    <t>1.2.1</t>
  </si>
  <si>
    <t>S.M.E. (especialista en la materia)  en liderazgo juvenil 1 x 1 pago por servicio producto único</t>
  </si>
  <si>
    <t>Asistencia Técnica</t>
  </si>
  <si>
    <t>1.2.2</t>
  </si>
  <si>
    <t>S.M.E. ( especialista en la materia )en género  1 x 1 pago por servicio producto único</t>
  </si>
  <si>
    <t>1.2.3</t>
  </si>
  <si>
    <t>Diseñador instruccional  1 x 1 mes pago por servicio por producto único</t>
  </si>
  <si>
    <t>1.2.4</t>
  </si>
  <si>
    <t>Diseñadores gráficos para plataforma  2 x 1 mes por servicio por producto único</t>
  </si>
  <si>
    <t>1.2.5</t>
  </si>
  <si>
    <t>Diseñador para diagramación 1 x 1 mes por servicio por producto único.</t>
  </si>
  <si>
    <t>Subtotal Actividad 1.2</t>
  </si>
  <si>
    <t>Actividad 1.3</t>
  </si>
  <si>
    <r>
      <t xml:space="preserve">Capacitación a organismos de gobernanza escolar con enfoque de género: </t>
    </r>
    <r>
      <rPr>
        <sz val="10"/>
        <color theme="1"/>
        <rFont val="Calibri"/>
        <family val="2"/>
        <scheme val="minor"/>
      </rPr>
      <t>actividades de sensibilización y capacitación sobre organismos de gobernanza escolar con enfoque de genero de diferentes estructuras organizativas entre ellas; Consejos Directivos Escolares, Consejos de alumnos, Comités de Prevención de Violencia, Defensorías Estudiantiles, integrada por estudiantes dirigido a NNA, docentes, madres, padres y personas cuidadoras de 40 CE, con el objetivo de estimular la participación estudiantil (400 estudiantes) en estos espacios de gobernanza de manera igualitaria, se fortalecera en las siguientes temáticas: formación en liderazgo Juvenil, Autodefensa de derechos, formación en organización juvenil,  formación de animadores escolares, transformación de conflicto, comunicación asertiva. Los procesos de capacitación y/o sensibilización se realizará con un modelo hibrido (presencial y virtual)</t>
    </r>
  </si>
  <si>
    <t>1.3.2</t>
  </si>
  <si>
    <t>Pliegos de papel bond 100 x 40 CE</t>
  </si>
  <si>
    <t>1.3.3</t>
  </si>
  <si>
    <t>post it 2 x 40 CE</t>
  </si>
  <si>
    <t>1.3.4</t>
  </si>
  <si>
    <t>Plumones 3 x 40 CE</t>
  </si>
  <si>
    <t>1.3.5</t>
  </si>
  <si>
    <t>Cajas de Lapicero</t>
  </si>
  <si>
    <t xml:space="preserve">Unidades </t>
  </si>
  <si>
    <t>1.3.6</t>
  </si>
  <si>
    <t>Libreta de apuntes/cuaderno 10 X 40 CE</t>
  </si>
  <si>
    <t>Subtotal Actividad 1.3</t>
  </si>
  <si>
    <t>Actividad 1.4</t>
  </si>
  <si>
    <r>
      <t xml:space="preserve">Desarrollo de estrategias de prevención de violencia basada en género para 40 CE: </t>
    </r>
    <r>
      <rPr>
        <sz val="10"/>
        <color theme="1"/>
        <rFont val="Calibri"/>
        <family val="2"/>
        <scheme val="minor"/>
      </rPr>
      <t>Se promoverán actividades con 40 centros educativos que prioricen este comité, a través de recreos dirigidos, torneos deportivos con enfoque de juego limpio y genero, encuentros familiares , vacaciones recreativa , talleres, campañas de equidad de género y murales para sensibilizar en masculinidades y prevención de violencia de género,  creación de decálogo de prevención de violencia basada en genero.</t>
    </r>
  </si>
  <si>
    <t>1.4.1</t>
  </si>
  <si>
    <t>Galón de pintura (azul, rojo, amarillo, blanco)</t>
  </si>
  <si>
    <t xml:space="preserve">Material didáctico </t>
  </si>
  <si>
    <t>1.4.2</t>
  </si>
  <si>
    <t>Pinceles 5 pinceles  por 40 centros escolares</t>
  </si>
  <si>
    <t>1.4.3</t>
  </si>
  <si>
    <t xml:space="preserve">Brochas </t>
  </si>
  <si>
    <t>Subtotal Actividad 1.4</t>
  </si>
  <si>
    <t>Actividad 1.5</t>
  </si>
  <si>
    <r>
      <t xml:space="preserve">Seguimiento a planes de igualdad: </t>
    </r>
    <r>
      <rPr>
        <sz val="10"/>
        <color theme="1"/>
        <rFont val="Calibri"/>
        <family val="2"/>
        <scheme val="minor"/>
      </rPr>
      <t>Realización de jornadas con el personal docente para el seguimiento a los planes de igualdad en los 15 CE que ya cuentan con uno.</t>
    </r>
  </si>
  <si>
    <t>1.5.1</t>
  </si>
  <si>
    <t>Alimentación (1 coffee break x $4.00 x 4 municipios x 2 sesiones x 8 representantes x 15 centros educativos)</t>
  </si>
  <si>
    <t xml:space="preserve">Alimentación </t>
  </si>
  <si>
    <t>Subtotal Actividad 1.5</t>
  </si>
  <si>
    <t>Actividad 1.6</t>
  </si>
  <si>
    <r>
      <t>Estratégias para la promoción y autodefensa de derechos humanos en 15 CE:</t>
    </r>
    <r>
      <rPr>
        <sz val="10"/>
        <color theme="1"/>
        <rFont val="Calibri"/>
        <family val="2"/>
        <scheme val="minor"/>
      </rPr>
      <t xml:space="preserve"> Desarrollo de estrategias para la promoción de derechos, autodefensa de derechos humanos, convivencia pacífica, liderazgo y rutas de atención sobre violencia incluida la de género para 15 CE que prioricen este comité. creación de decálogos para la promoción de derechos, autodefensa de derechos humanos, convivencia pacifica,  liderazgo y campañas de promoción sobre los derechos humanos, con énfasis en los derechos de las mujeres,  medio ambiente, convivencia e igualdad y equidad de genero con el apoyo de un kit educativo para la multiplicación entre pares. Participacion de estudiantes lideres en los Programas de Consejería Escolar que son transmitidos en canal TV10 y radio nacional</t>
    </r>
  </si>
  <si>
    <t>1.6.1</t>
  </si>
  <si>
    <t xml:space="preserve">Banner 1.5x1.5 mt 1 x 30 CE para decalogo </t>
  </si>
  <si>
    <t>Material de visibilidad</t>
  </si>
  <si>
    <t>1.6.2</t>
  </si>
  <si>
    <t>Capital semilla para desarrollo de proyectos concursables por parte de estudiantes  40CE</t>
  </si>
  <si>
    <t xml:space="preserve">Capital semilla </t>
  </si>
  <si>
    <t>1.6.3</t>
  </si>
  <si>
    <t>Alimentación (1 desayuno  y un almuerzo x $10.00 x 60 representantes de los centros educativos, docentes, alumnos )</t>
  </si>
  <si>
    <t>1.6.4</t>
  </si>
  <si>
    <t>Transporte para estudiantes para participar en programas de consejeria escolar transmitidos TV10 y radio Nacional 1 viaje x mes x 4 meses en total x 15 personas</t>
  </si>
  <si>
    <t>Transporte</t>
  </si>
  <si>
    <t>Subtotal Actividad 1.6</t>
  </si>
  <si>
    <t>Actividad 1.7</t>
  </si>
  <si>
    <r>
      <t>Desarrollo de estrategias para dinamizar comités de participación estudiantil en 10 centros educativos:</t>
    </r>
    <r>
      <rPr>
        <sz val="10"/>
        <color theme="1"/>
        <rFont val="Calibri"/>
        <family val="2"/>
        <scheme val="minor"/>
      </rPr>
      <t xml:space="preserve">dinamización de la organización juvenil a través de comité de interés estudiantil con temáticas específicas que puedan surgir en los 10 CE que no tienen planes de igualdad ni defensorías. Realización de Actividades de convivencia escolar, prevención de violencia de género y riesgos sociales, entre el alumnado y con el apoyo de la comunidad educativa. </t>
    </r>
  </si>
  <si>
    <t>Subtotal Actividad 1.7</t>
  </si>
  <si>
    <t>Actividad 1.8</t>
  </si>
  <si>
    <r>
      <t xml:space="preserve">Kit para implementación de actividades lúdicas y deportivas, y kit  para la multiplicación entre pares (defensoría de derechos): </t>
    </r>
    <r>
      <rPr>
        <sz val="10"/>
        <color theme="1"/>
        <rFont val="Calibri"/>
        <family val="2"/>
        <scheme val="minor"/>
      </rPr>
      <t xml:space="preserve">Adquisición y entrega de 1 kits por cada uno de los 15 centros educativos para la realización de multiplicación en el tema de defensoría de derechos de niñez. Adquisición y entrega de 1 kit deportivo y 1 kit lúdico a los 40 centros educativos  para apoyar la realización de actividades del estudiantado </t>
    </r>
    <r>
      <rPr>
        <b/>
        <sz val="10"/>
        <color theme="1"/>
        <rFont val="Calibri"/>
        <family val="2"/>
        <scheme val="minor"/>
      </rPr>
      <t xml:space="preserve">				</t>
    </r>
  </si>
  <si>
    <t>1.8.1</t>
  </si>
  <si>
    <t>Kit Multiplicador</t>
  </si>
  <si>
    <t>1.8.2</t>
  </si>
  <si>
    <t>Kit de Deporte</t>
  </si>
  <si>
    <t>1.8.3</t>
  </si>
  <si>
    <t>Kit lúdico</t>
  </si>
  <si>
    <t>1.8.4</t>
  </si>
  <si>
    <t>Impresión de tres documentos 460 paginas, 2 ejemplares por  x 40 centros educativos</t>
  </si>
  <si>
    <t>Subtotal Actividad 1.8</t>
  </si>
  <si>
    <t>Actividad 1.9</t>
  </si>
  <si>
    <r>
      <t xml:space="preserve">Foro de intercambio de experiencias equidad de genero, defensoria de derechos y participación estudiantil entre los 40 CE: </t>
    </r>
    <r>
      <rPr>
        <sz val="10"/>
        <color theme="1"/>
        <rFont val="Calibri"/>
        <family val="2"/>
        <scheme val="minor"/>
      </rPr>
      <t xml:space="preserve">se realizaran 2 tipos de foros
1)	Foros internos por centro escolar donde se comprartira la experiencias de equidad de género, defensoria de derechos humanos y participación estudiantil en los 40 CE.
2)	Foros virtuales departamentales  se solicitara la  participara de los representantes de la gobernanza de estudiantes para realizar un intercambio de experiencias sobre las buenas practicas  de equidad de género, defensoria de derechos y participación estudiantil .  </t>
    </r>
  </si>
  <si>
    <t>1.9.1</t>
  </si>
  <si>
    <t xml:space="preserve">Compra de licencia de plataforma zoom para video conferencia x 1 mes </t>
  </si>
  <si>
    <t xml:space="preserve">Plataforma de comunicación </t>
  </si>
  <si>
    <t>1.9.2</t>
  </si>
  <si>
    <t>Banner 1.5x1.5 mt 1 x 40 CE</t>
  </si>
  <si>
    <t>1.9.3</t>
  </si>
  <si>
    <t xml:space="preserve">Roll up 2 para ser usados en los foros de intercambio de experiencia en los 40 CE </t>
  </si>
  <si>
    <t>1.9.4</t>
  </si>
  <si>
    <t xml:space="preserve">Set de transmisión x 4 veces en total </t>
  </si>
  <si>
    <t xml:space="preserve">Instalaciones </t>
  </si>
  <si>
    <t>1.9.5</t>
  </si>
  <si>
    <t xml:space="preserve">Camara web x 4 veces en total </t>
  </si>
  <si>
    <t xml:space="preserve">Equipamiento </t>
  </si>
  <si>
    <t>1.9.6</t>
  </si>
  <si>
    <t>Bocinas con micrófono incorporado compra de uno por cada centro educativo 40 centros en general</t>
  </si>
  <si>
    <t>1.9.7</t>
  </si>
  <si>
    <t xml:space="preserve">Transporte </t>
  </si>
  <si>
    <t xml:space="preserve">Viajes </t>
  </si>
  <si>
    <t>Subtotal Actividad 1.9</t>
  </si>
  <si>
    <t>Actividad 1.10</t>
  </si>
  <si>
    <t>Contratación de equipo para trabajo en territorio</t>
  </si>
  <si>
    <t>1.10.1</t>
  </si>
  <si>
    <t>Coordinación 1 x 7 meses</t>
  </si>
  <si>
    <t>1.10.2</t>
  </si>
  <si>
    <t xml:space="preserve">Gestores territoriales 4 x 7 meses </t>
  </si>
  <si>
    <t>Subtotal Actividad 1.10</t>
  </si>
  <si>
    <t>Actividad 1.11</t>
  </si>
  <si>
    <t xml:space="preserve">Kit de identificación del equipo de territorio y saldo de telefono para comunicación constante con los 40 centros educativos </t>
  </si>
  <si>
    <t>1.11.1</t>
  </si>
  <si>
    <t>Chalecos identificativos para equipo de trabajo del proyecto 1 x 10 personas</t>
  </si>
  <si>
    <t>1.11.2</t>
  </si>
  <si>
    <t>Carnets de identificación para equipo de trabajo del proyecto 1 X 10 personas</t>
  </si>
  <si>
    <t>1.11.3</t>
  </si>
  <si>
    <t xml:space="preserve">Saldo de telefono 7 recargas de  saldos  X 4  personas </t>
  </si>
  <si>
    <t>Saldos</t>
  </si>
  <si>
    <t>Subtotal Actividad 1.11</t>
  </si>
  <si>
    <t>Actividad 1.12</t>
  </si>
  <si>
    <t>Transporte y víaticos</t>
  </si>
  <si>
    <t>1.12.1</t>
  </si>
  <si>
    <t>Transporte  para ejecución del proyecto 3 visitas por semana x 4 semanas x 7 meses x $25.00 X 4 técnicos  a  40 centros</t>
  </si>
  <si>
    <t>Viajes</t>
  </si>
  <si>
    <t>Subtotal Actividad 1.12</t>
  </si>
  <si>
    <t>TOTAL PRODUCTO 1</t>
  </si>
  <si>
    <t>Producto 2</t>
  </si>
  <si>
    <t>}</t>
  </si>
  <si>
    <t>Actividad 2.1</t>
  </si>
  <si>
    <t>Personal en el país de gestión y apoyo,  prorrateado según su contribución al programa (planificación, coordinación, logística, administración, finanzas, recursos humanos)</t>
  </si>
  <si>
    <t>2.1.1</t>
  </si>
  <si>
    <t>Técnico de recursos humanos (dedicación del 50% de su tiempo al proyecto = $200 por 4 meses). 25% FUSALMO, 25% UNICEF.</t>
  </si>
  <si>
    <t>2.1.2</t>
  </si>
  <si>
    <t>Contador del proyecto  40% (dedicación del 30% de su tiempo al proyecto=$300 por mes) 20% FUSALMO 20% UNICEF</t>
  </si>
  <si>
    <t>2.1.3</t>
  </si>
  <si>
    <t>Gerencia de Educación (dedicación del 30% de su tiempo al proyecto =$300 por mes) 15% FUSALMO, 15% UNICEF.</t>
  </si>
  <si>
    <t>2.1.5</t>
  </si>
  <si>
    <t>Gerencia de Gestión y Desarrollo (dedicación del 20% de su tiempo al proyecto =$300 por mes) 15% FUSALMO, 15% UNICEF</t>
  </si>
  <si>
    <t>2.1.6</t>
  </si>
  <si>
    <t>Técnico en compras (dedicación del 50%de su tiempo al proyecto $300 por 4 meses) 10% FUSALMO 10% UNICEF</t>
  </si>
  <si>
    <t>2.1.7</t>
  </si>
  <si>
    <t>Técnico en monitoreo y evaluación (Dedicación del 30% de su tiempo al proyecto $200 al mes) 10% FUSALMO 10% UNICEF</t>
  </si>
  <si>
    <t>Subtotal Actividad 2.1</t>
  </si>
  <si>
    <t>Actividad 2.2</t>
  </si>
  <si>
    <t>Gastos operacionales, prorrateados según su contribución al programa (espacio de oficinas, equipamiento, suministros  y servicios de oficina)</t>
  </si>
  <si>
    <t>2.2.1</t>
  </si>
  <si>
    <t>Uso de equipo , oficina e instalaciones para la coordinación, equipo que virtualizará e instalaciones para capacitaciones, eventos, equivale al 10% (5% FUSALMO Y 5% UNICEF )</t>
  </si>
  <si>
    <t>2.2.2</t>
  </si>
  <si>
    <t xml:space="preserve">Uso de Plataforma TRANSFORMA ( 8000 jóvenes, al menos 2 ingresos al  durante la ejecución del proyecto, a un costo de $0.50 cada ingreso) asumido por FUSALMO </t>
  </si>
  <si>
    <t xml:space="preserve">Plataforma  </t>
  </si>
  <si>
    <t>2.2.3</t>
  </si>
  <si>
    <t>Gastos básicos (Energia electrica, agua, Internet, telefonia de un promedio de $1,400)  equivale al 14% (7% FUSALMO y 7% UNICEF)</t>
  </si>
  <si>
    <t xml:space="preserve">Gastos básicos </t>
  </si>
  <si>
    <t>Subtotal Actividad 2.2</t>
  </si>
  <si>
    <t>Actividad 2.3</t>
  </si>
  <si>
    <t>Planificación, monitoreo, evaluación y comunicación,  prorrateados según su contribución al programa (locales, viajes, entre otros)</t>
  </si>
  <si>
    <t>2.3.1</t>
  </si>
  <si>
    <t xml:space="preserve">Asistencia a la coordinación (Dedicación del 30% de su tiempo al proyecto $350 por mes, asumida por FUSALMO)
</t>
  </si>
  <si>
    <t>2.3.2</t>
  </si>
  <si>
    <t>Tecnico en comunicaciones (dedicación del 10%  de su tiempo al proyecto $200 al mes) 10% FUSALMO, 10% UNICEF.</t>
  </si>
  <si>
    <t>Subtotal Actividad 2.3</t>
  </si>
  <si>
    <t>TOTAL PRODUCTO 2</t>
  </si>
  <si>
    <t>GASTOS TOTALES DEL PROGRAMA (Contribución UNICEF)</t>
  </si>
  <si>
    <t>CONTRAPARTIDA OSC</t>
  </si>
  <si>
    <t>Descripción</t>
  </si>
  <si>
    <t>Cantidad</t>
  </si>
  <si>
    <t>Costo Unitario</t>
  </si>
  <si>
    <t>Monto total</t>
  </si>
  <si>
    <t>GASTOS TOTALES DEL PROGRAMA (Contribución OSC)</t>
  </si>
  <si>
    <t>PORCENTAJES DE CONTRIBUCIÓN</t>
  </si>
  <si>
    <t>UNICEF</t>
  </si>
  <si>
    <t>OSC</t>
  </si>
  <si>
    <r>
      <t xml:space="preserve">DURACIÓN DEL CONVENIO: </t>
    </r>
    <r>
      <rPr>
        <b/>
        <sz val="10"/>
        <color rgb="FF0070C0"/>
        <rFont val="Calibri"/>
        <family val="2"/>
        <scheme val="minor"/>
      </rPr>
      <t>9 meses</t>
    </r>
  </si>
  <si>
    <t xml:space="preserve">NOMBRE DEL PROYECTO: Proyecto piloto: Implementación de la modalidad educativa de Educación Acelerada I y II ciclo en formato virtual </t>
  </si>
  <si>
    <r>
      <t>N.</t>
    </r>
    <r>
      <rPr>
        <b/>
        <vertAlign val="superscript"/>
        <sz val="10"/>
        <rFont val="Calibri"/>
        <family val="2"/>
        <scheme val="minor"/>
      </rPr>
      <t>o</t>
    </r>
    <r>
      <rPr>
        <b/>
        <sz val="10"/>
        <rFont val="Calibri"/>
        <family val="2"/>
        <scheme val="minor"/>
      </rPr>
      <t xml:space="preserve"> de rubro</t>
    </r>
  </si>
  <si>
    <t>Trimestre 3
ENMIENDA</t>
  </si>
  <si>
    <t>Para abril de 2023, 1,000 niñas, niños y adolescentes reciben materiales impresos de Educación Acelerada.</t>
  </si>
  <si>
    <t>Impresión de proyectos de Educación Acelerada para Año 1 y 2</t>
  </si>
  <si>
    <t xml:space="preserve">Reproducción de proyectos de Educación Acelerada </t>
  </si>
  <si>
    <t>Material educativo</t>
  </si>
  <si>
    <t xml:space="preserve">Para abril del año 2023, al menos 250 estudiantes de Educación Acelerada (219 de la modalidad presencial y 31 de la modalidad virtual) son atendidos en el proceso de aprendizaje y refuerzo educativo virtual, así como en el acompañamiento psicopedagógico, de los departamentos de La Libertad, San Salvador, Usulután, San Miguel.  </t>
  </si>
  <si>
    <t>Proceso de aprendizaje y refuerzo educativo virtual, así como en el acompañamiento psicopedagógico tanto a estudiantes de Educación Acelerada virtual como presencial.</t>
  </si>
  <si>
    <t>Contratación de 1 coordinador (1 persona por 7 meses a un costo de 1,310 incluye prestaciones sociales ISSS 7.5%, AFP 7.75%, INSAFORP 1%, Vacaciones, Aguinaldo e Indemnización anual )</t>
  </si>
  <si>
    <t>Contratación de 1 docente para que atienda al grupo de estudiantes de año 2 de Educación Acelerada en el proceso de aprendizaje y refuerzo educativo  (1 docente por 7 meses a un costo de $1,224.85 incluye prestaciones sociales ISSS 7.5%, AFP 7.75%, INSAFORP 1%, Vacaciones, Aguinaldo e Indemnización anual )</t>
  </si>
  <si>
    <t>Contratación de 2 personas psicologas que atenderán la atención psicopedagogica por tres meses  (incluye prestaciones sociales ISSS 7.5%, AFP 7.75%, INSAFORP 1%, Vacaciones, Aguinaldo e Indemnización anual )</t>
  </si>
  <si>
    <t>2.1.4</t>
  </si>
  <si>
    <r>
      <t xml:space="preserve">Adquisición de equipo informático para 1 docente. </t>
    </r>
    <r>
      <rPr>
        <sz val="9"/>
        <color rgb="FF0070C0"/>
        <rFont val="Arial Nova"/>
        <family val="2"/>
      </rPr>
      <t>(El equipo adquirido será entregado a la Dirección de Educación Básica de I y II Ciclo del Ministerio de Educación, Ciencia y Tecnología (MINEDUCYT) al finalizar el proyecto)</t>
    </r>
    <r>
      <rPr>
        <sz val="10"/>
        <rFont val="Arial Nova"/>
        <family val="2"/>
      </rPr>
      <t xml:space="preserve"> </t>
    </r>
    <r>
      <rPr>
        <sz val="10"/>
        <color rgb="FFFF0000"/>
        <rFont val="Arial Nova"/>
        <family val="2"/>
      </rPr>
      <t>¿A QUIÉN LE QUEDARÁ EST COMPUTADORA AL FINALIZAR  EL PROYECTO?</t>
    </r>
  </si>
  <si>
    <t>Equipo</t>
  </si>
  <si>
    <r>
      <t xml:space="preserve">Compra de saldo para el grupo de estudiantes durante los meses en que se implemente el proyecto (compra de saldo para 31 estudiantes x $30.00 cada uno x  mes x 6 meses); y 1 para docente $30 x mes x 7 meses 
</t>
    </r>
    <r>
      <rPr>
        <sz val="10"/>
        <color rgb="FFFF0000"/>
        <rFont val="Arial Nova"/>
        <family val="2"/>
      </rPr>
      <t xml:space="preserve">31 ESTUDIANTES X $30.00 = $930.00 X 6 MESES= $5,580.00
1 DOCENTE X $30 = $30.00 X 7 MESES= $210.00
$5,580.00+$210.00= $5790.00
NO ENTIENDO DE DONDE SALE $5,820.00. ADEMÁS PORQUÉ LOS ESTUDIANTES SON 6 MESES Y EL DOCENTE 7, </t>
    </r>
    <r>
      <rPr>
        <sz val="10"/>
        <color rgb="FF0070C0"/>
        <rFont val="Arial Nova"/>
        <family val="2"/>
      </rPr>
      <t xml:space="preserve"> (El docente después de atender a NNA por 6 meses, se queda un mes más para finalizar todos los procesos administrativos, reportes, notas, certificados, clausura)</t>
    </r>
    <r>
      <rPr>
        <sz val="10"/>
        <color rgb="FFFF0000"/>
        <rFont val="Arial Nova"/>
        <family val="2"/>
      </rPr>
      <t>. FAVOR ACLARAR Y CORREGIR</t>
    </r>
  </si>
  <si>
    <t>Conectividad</t>
  </si>
  <si>
    <r>
      <t xml:space="preserve">Compra de saldo para 1 especialista  en plataforma x $10.00 x mes x 6 meses) </t>
    </r>
    <r>
      <rPr>
        <sz val="10"/>
        <color rgb="FFFF0000"/>
        <rFont val="Arial Nova"/>
        <family val="2"/>
      </rPr>
      <t xml:space="preserve">IGUAL ¿POR QUÉ 6 MESES Y NO 7 QUE DURA EL PROYECTO? </t>
    </r>
    <r>
      <rPr>
        <sz val="10"/>
        <color rgb="FF0070C0"/>
        <rFont val="Arial Nova"/>
        <family val="2"/>
      </rPr>
      <t xml:space="preserve">(La fiunción de esta personas finaliza cuando termina la atención académica de los NNA, es decir, 6 meses, porque le da soporte a la población estudiantil) </t>
    </r>
  </si>
  <si>
    <t>Compra de 31 Kit de materiales básicos para el estudiantado que se va a atender en el año 2 de Educación Acelerada.</t>
  </si>
  <si>
    <t xml:space="preserve">   </t>
  </si>
  <si>
    <t>2.1.6.1</t>
  </si>
  <si>
    <t>Cuaderno escolar rayado cocido de 100 hojas, #3</t>
  </si>
  <si>
    <t>2.1.6.2</t>
  </si>
  <si>
    <t>Cuaderno escolar cuadriculado de 100 hojas 8mm, #3</t>
  </si>
  <si>
    <t>2.1.6.3</t>
  </si>
  <si>
    <t>Caja con lapiz largo de colores (12 unidades)</t>
  </si>
  <si>
    <t>2.1.6.4</t>
  </si>
  <si>
    <t xml:space="preserve">Lapiz HB con borrador #2 Stadler 4 unidades X 31 </t>
  </si>
  <si>
    <t>2.1.6.5</t>
  </si>
  <si>
    <t>Tijera escolar con punta redonda</t>
  </si>
  <si>
    <t>2.1.6.6</t>
  </si>
  <si>
    <t>Regla plastica de 30 cm</t>
  </si>
  <si>
    <t>2.1.6.7</t>
  </si>
  <si>
    <t>Pegamento liquido blanco, bote de 225 gr</t>
  </si>
  <si>
    <t>2.1.6.8</t>
  </si>
  <si>
    <t>Estuche de plumones c / tapón ventilado 12 unidades</t>
  </si>
  <si>
    <t>2.1.6.9</t>
  </si>
  <si>
    <t>Rompecabezas de cartón, 88 piezas, 39 x 25 cm</t>
  </si>
  <si>
    <t>2.1.6.10</t>
  </si>
  <si>
    <t>Tarjetas de cartón de 56 piezas, 14 x 8.5 cm</t>
  </si>
  <si>
    <t>2.1.6.11</t>
  </si>
  <si>
    <t>2.1.6.12</t>
  </si>
  <si>
    <t>Paquete de 25 paginas de papel bond de colores</t>
  </si>
  <si>
    <t>2.1.6.13</t>
  </si>
  <si>
    <t>Caja de 6 frascos de pintura de colores 25ml</t>
  </si>
  <si>
    <t>2.1.6.14</t>
  </si>
  <si>
    <t xml:space="preserve">Borrador suave para lapiz stadler 2 unidades x 31 </t>
  </si>
  <si>
    <t xml:space="preserve">Diplomas </t>
  </si>
  <si>
    <t>2.1.8</t>
  </si>
  <si>
    <t>Alimentación para eventos presenciales-Clausuras (1 almuerzo y 1 coffee break para 62 personas, a un costo de $12.00 por persona)</t>
  </si>
  <si>
    <t>Alimentación</t>
  </si>
  <si>
    <t>2.1.9</t>
  </si>
  <si>
    <r>
      <t xml:space="preserve">Transporte para evento presencial (un promedio de 5 viajes a un costo de $200.00 cada uno ) </t>
    </r>
    <r>
      <rPr>
        <sz val="10"/>
        <color rgb="FFFF0000"/>
        <rFont val="Arial Nova"/>
        <family val="2"/>
      </rPr>
      <t xml:space="preserve">¿PARA QUIÉN ES EL TRANSPORTE? ¿DE DÓNDE A DÓNDE ES EL TRANSPORTE? </t>
    </r>
    <r>
      <rPr>
        <sz val="10"/>
        <color theme="4"/>
        <rFont val="Arial Nova"/>
        <family val="2"/>
      </rPr>
      <t>el transporte será utilizado para trasladar al equipo de trabajo del MINEDUCYT y FUSALMO hacia las 5 sedes donde se realizará el evento de clausura (Lourdes, San Miguel (2 sedes), Usulután y San Salvador )</t>
    </r>
  </si>
  <si>
    <t>Producto 3</t>
  </si>
  <si>
    <t>Para abril del año 2023, el Ministerio de Educación, Ciencia y Tecnología cuenta con un plan de sostenibilidad de la modalidad de Educación Acelerada en formato virtual.</t>
  </si>
  <si>
    <t>Actividad 3.1</t>
  </si>
  <si>
    <t>Elaboración de un plan de sostenibilidad de la modalidad de Educación Acelerada en formato virtual en línea.</t>
  </si>
  <si>
    <t>3.1.1</t>
  </si>
  <si>
    <t>Contratación de especialista en desarrollo de plan de sostenibilidad  (1 especialista por $10,000.00, dividido en 3 productos entregables )</t>
  </si>
  <si>
    <t>Subtotal Actividad 3.1</t>
  </si>
  <si>
    <t>TOTAL PRODUCTO 3</t>
  </si>
  <si>
    <t>Producto 4</t>
  </si>
  <si>
    <t>Gestión eficaz y eficiente del programa</t>
  </si>
  <si>
    <t>Actividad 4.1</t>
  </si>
  <si>
    <t>4.1.1</t>
  </si>
  <si>
    <t xml:space="preserve">Coordinación de recursos humanos  Hilda Hernández (dedicación del 50% de su tiempo al proyecto = $200 por 1 mese). 25% FUSALMO, 25% UNICEF. </t>
  </si>
  <si>
    <t>4.1.2</t>
  </si>
  <si>
    <r>
      <t xml:space="preserve">Auxiliar contable del proyecto   Oscar Vega  (dedicación del </t>
    </r>
    <r>
      <rPr>
        <sz val="10"/>
        <color rgb="FF0070C0"/>
        <rFont val="Calibri"/>
        <family val="2"/>
        <scheme val="minor"/>
      </rPr>
      <t>40</t>
    </r>
    <r>
      <rPr>
        <sz val="10"/>
        <rFont val="Calibri"/>
        <family val="2"/>
        <scheme val="minor"/>
      </rPr>
      <t>% de su tiempo al proyecto=$350.00 por mes).</t>
    </r>
    <r>
      <rPr>
        <sz val="10"/>
        <color theme="4"/>
        <rFont val="Calibri"/>
        <family val="2"/>
        <scheme val="minor"/>
      </rPr>
      <t xml:space="preserve"> FUSALMO asume el 20% y</t>
    </r>
    <r>
      <rPr>
        <sz val="10"/>
        <rFont val="Calibri"/>
        <family val="2"/>
        <scheme val="minor"/>
      </rPr>
      <t xml:space="preserve"> </t>
    </r>
    <r>
      <rPr>
        <sz val="10"/>
        <color theme="4"/>
        <rFont val="Calibri"/>
        <family val="2"/>
        <scheme val="minor"/>
      </rPr>
      <t>UNICEF asume el 20%</t>
    </r>
    <r>
      <rPr>
        <sz val="10"/>
        <rFont val="Calibri"/>
        <family val="2"/>
        <scheme val="minor"/>
      </rPr>
      <t xml:space="preserve"> </t>
    </r>
    <r>
      <rPr>
        <sz val="10"/>
        <color rgb="FFFF0000"/>
        <rFont val="Calibri"/>
        <family val="2"/>
        <scheme val="minor"/>
      </rPr>
      <t>NO ENTIENDO AL PRINCIPIO DICE "OSCAR Vega 40% y luego en el paéntesis dice 30% y luego 20% unicef. Favor dejar solo el % que contribuye unicef, el del socio va en la contrapartida. ESTO NO ESTÁ BIEN. DIVIDEN  LO QUE EL SOCIO REFLEJA $1,400 ENTRE LOS 3 TRIMESTRES ES $466.66 Y LO DE UNICEF SON $450.00 ESO QUIERE DECIR QUE ES CASI EL 50% DE CONTRIBUCION DE UNICEF Y NO LOS % QUE ESTAN COLOCANDO</t>
    </r>
  </si>
  <si>
    <t>4.1.3</t>
  </si>
  <si>
    <r>
      <t>Técnico área  de Educación  Erick Amilcar Aragón Dedicación del 30% de su tiempo al proyecto =$300 por mes. (</t>
    </r>
    <r>
      <rPr>
        <sz val="10"/>
        <color rgb="FF0070C0"/>
        <rFont val="Calibri"/>
        <family val="2"/>
        <scheme val="minor"/>
      </rPr>
      <t>FUSALMO asume el 15% y UNICEF asume el 15%</t>
    </r>
    <r>
      <rPr>
        <sz val="10"/>
        <rFont val="Calibri"/>
        <family val="2"/>
        <scheme val="minor"/>
      </rPr>
      <t xml:space="preserve">). </t>
    </r>
    <r>
      <rPr>
        <sz val="10"/>
        <color rgb="FFFF0000"/>
        <rFont val="Calibri"/>
        <family val="2"/>
        <scheme val="minor"/>
      </rPr>
      <t>NO CUADRA, PARECE SER EL 50% ESTO ESTÁ MAL CALCULADO</t>
    </r>
    <r>
      <rPr>
        <sz val="10"/>
        <rFont val="Calibri"/>
        <family val="2"/>
        <scheme val="minor"/>
      </rPr>
      <t xml:space="preserve">. </t>
    </r>
    <r>
      <rPr>
        <sz val="10"/>
        <color rgb="FFFF0000"/>
        <rFont val="Calibri"/>
        <family val="2"/>
        <scheme val="minor"/>
      </rPr>
      <t>SI EL SALARIO DE LA PERSONA ES $1,500 AL MES (POR EJEMPLO), DE ESS $1,500 PODEMOS FINANCIAR MÁXIMO UN 50% MENSUAL, FAVOR SER MAS CLAROS EN EL RPORRATEO</t>
    </r>
  </si>
  <si>
    <t>4.1.4</t>
  </si>
  <si>
    <r>
      <t xml:space="preserve">Coordinación de Gestión y Desarrollo Cecilia Zepeda  (dedicación del 20% de su tiempo al proyecto =$300 por mes) </t>
    </r>
    <r>
      <rPr>
        <sz val="10"/>
        <color rgb="FF0070C0"/>
        <rFont val="Calibri"/>
        <family val="2"/>
        <scheme val="minor"/>
      </rPr>
      <t>FUSALMO asume el 10% y UNICEF asume el 10%</t>
    </r>
    <r>
      <rPr>
        <sz val="10"/>
        <rFont val="Calibri"/>
        <family val="2"/>
        <scheme val="minor"/>
      </rPr>
      <t xml:space="preserve"> </t>
    </r>
    <r>
      <rPr>
        <sz val="10"/>
        <color rgb="FFFF0000"/>
        <rFont val="Calibri"/>
        <family val="2"/>
        <scheme val="minor"/>
      </rPr>
      <t>Ídem</t>
    </r>
  </si>
  <si>
    <t>4.1.5</t>
  </si>
  <si>
    <r>
      <t xml:space="preserve">Técnico en compras María de los Angeles Pérez Moya. Dedicación del 50% de su tiempo al proyecto $350.00 por 4 meses. </t>
    </r>
    <r>
      <rPr>
        <sz val="10"/>
        <color rgb="FF0070C0"/>
        <rFont val="Calibri"/>
        <family val="2"/>
        <scheme val="minor"/>
      </rPr>
      <t>FUSALMO asume el 29% y UNICEF asume el 21%</t>
    </r>
    <r>
      <rPr>
        <sz val="10"/>
        <rFont val="Calibri"/>
        <family val="2"/>
        <scheme val="minor"/>
      </rPr>
      <t xml:space="preserve"> </t>
    </r>
    <r>
      <rPr>
        <sz val="10"/>
        <color rgb="FFFF0000"/>
        <rFont val="Calibri"/>
        <family val="2"/>
        <scheme val="minor"/>
      </rPr>
      <t>Ídem</t>
    </r>
  </si>
  <si>
    <t>4.1.6</t>
  </si>
  <si>
    <r>
      <t xml:space="preserve">Técnico en monitoreo Karla Mercado Hernández (Dedicación del 30% de su tiempo al proyecto $200 al mes) </t>
    </r>
    <r>
      <rPr>
        <sz val="10"/>
        <color rgb="FF0070C0"/>
        <rFont val="Calibri"/>
        <family val="2"/>
        <scheme val="minor"/>
      </rPr>
      <t>FUSALMO asume el 15% y UNICEF asume el 15%</t>
    </r>
    <r>
      <rPr>
        <sz val="10"/>
        <rFont val="Calibri"/>
        <family val="2"/>
        <scheme val="minor"/>
      </rPr>
      <t xml:space="preserve"> </t>
    </r>
    <r>
      <rPr>
        <sz val="10"/>
        <color rgb="FFFF0000"/>
        <rFont val="Calibri"/>
        <family val="2"/>
        <scheme val="minor"/>
      </rPr>
      <t>Ídem</t>
    </r>
  </si>
  <si>
    <t>4.1.7</t>
  </si>
  <si>
    <r>
      <t xml:space="preserve">Tecnico en comunicaciones (dedicación del 10%  de Alba  Rosario Castro tiempo al proyecto $200 al mes) </t>
    </r>
    <r>
      <rPr>
        <sz val="10"/>
        <color rgb="FF0070C0"/>
        <rFont val="Calibri"/>
        <family val="2"/>
        <scheme val="minor"/>
      </rPr>
      <t>FUSALMO asume el 5% y UNICEF asume el 5%</t>
    </r>
    <r>
      <rPr>
        <sz val="10"/>
        <rFont val="Calibri"/>
        <family val="2"/>
        <scheme val="minor"/>
      </rPr>
      <t xml:space="preserve">. </t>
    </r>
    <r>
      <rPr>
        <sz val="10"/>
        <color rgb="FFFF0000"/>
        <rFont val="Calibri"/>
        <family val="2"/>
        <scheme val="minor"/>
      </rPr>
      <t>Ídem</t>
    </r>
  </si>
  <si>
    <t>4.1.8</t>
  </si>
  <si>
    <r>
      <t>Gerencia de innovación Oscar Ernesto Delgado Lazo (dedicación 20 %  de  tiempo al proyecto $350 al mes).</t>
    </r>
    <r>
      <rPr>
        <sz val="10"/>
        <color theme="4"/>
        <rFont val="Calibri"/>
        <family val="2"/>
        <scheme val="minor"/>
      </rPr>
      <t>FUSALMO asume el 100</t>
    </r>
    <r>
      <rPr>
        <sz val="10"/>
        <rFont val="Calibri"/>
        <family val="2"/>
        <scheme val="minor"/>
      </rPr>
      <t>%</t>
    </r>
  </si>
  <si>
    <t>Subtotal Actividad 4.1</t>
  </si>
  <si>
    <t>Actividad 4.2</t>
  </si>
  <si>
    <t>4.2.1</t>
  </si>
  <si>
    <t>Uso de equipo, oficina e instalaciones para la coordinación, equipo que virtualizará e instalaciones para capacitaciones, eventos, equivale al 10% (5% FUSALMO Y 5% UNICEF )</t>
  </si>
  <si>
    <t>4.2.2</t>
  </si>
  <si>
    <t xml:space="preserve">Uso de Plataforma TRANSFORMA ( 31 estudiantes, al menos 1 ingresos al mes durante la ejecución del proyecto, a un costo de $1.00 cada ingreso) asumido por FUSALMO </t>
  </si>
  <si>
    <t>4.2.3</t>
  </si>
  <si>
    <t xml:space="preserve">Gastos básicos (Energia electrica, agua, Internet, telefonia de un promedio de $2,100.00)  </t>
  </si>
  <si>
    <t>Subtotal Actividad 4.2</t>
  </si>
  <si>
    <t>Actividad 4.3</t>
  </si>
  <si>
    <t>4.3.1</t>
  </si>
  <si>
    <t xml:space="preserve">Asistencia a la coordinación Kenia Argumedo  (Dedicación del 30% de su tiempo al proyecto $450 por mes, asumida por FUSALMO)
</t>
  </si>
  <si>
    <t>Subtotal Actividad 4.3</t>
  </si>
  <si>
    <t>TOTAL PRODUCTO 4</t>
  </si>
  <si>
    <t>Costos Opertivos</t>
  </si>
  <si>
    <t xml:space="preserve">DURACIÓN DEL CONVENIO: 18 meses. </t>
  </si>
  <si>
    <t>NOMBRE DEL PROYECTO:</t>
  </si>
  <si>
    <t>SOCIO:</t>
  </si>
  <si>
    <t>Unidad</t>
  </si>
  <si>
    <t xml:space="preserve">Para abril de 2023, al menos 100 docentes están capacitados en metodología STEM, con criterios de equidad de género, de los municipios de San Miguel, Usulután, Santa Ana y San Salvador 
Indicador(es) de desempeño
</t>
  </si>
  <si>
    <t xml:space="preserve">Formación STEM a 100 docentes de centros educativos públicos. </t>
  </si>
  <si>
    <t xml:space="preserve">Movilización para 100 docentes de Usulután, San Miguel, Santa Ana y San Salvador hacia campamento STEM por dos jornadas </t>
  </si>
  <si>
    <t xml:space="preserve">Alimentación para 100 docentes (2 refrigerios a $4.00, 1 almuerzo a $5.00 x 2 jornadas, haciendo un total de 1,080 ) </t>
  </si>
  <si>
    <t>Material didáctico</t>
  </si>
  <si>
    <t>1.3.1</t>
  </si>
  <si>
    <t>Material didáctio (papelería y material necesario para la formación)</t>
  </si>
  <si>
    <t xml:space="preserve">Manual para campamento para 100 docentes Usulután, San Miguel, Santa Ana y San Salvador, con un promedio de 150 páginas fullcolor </t>
  </si>
  <si>
    <t xml:space="preserve">USB con lanyard con material para campamento STEM </t>
  </si>
  <si>
    <t xml:space="preserve">Elementos para modelaje y desarrollo de proyectos STEM para integración en el aula </t>
  </si>
  <si>
    <t xml:space="preserve">Para abril 2023, al menos 1,500 niños, niñas, adolescentes y jóvenes son formados en STEM, con criterios de equidad de género, de los municipios de San Miguel, Usulután y Santa Ana. </t>
  </si>
  <si>
    <t>Formación STEM a 1,500 niños, niñas, adolescentes y jóvenes</t>
  </si>
  <si>
    <t>Coordinación general del proyecto (1 coordinador por 18 meses a un costo de $1,000.00)</t>
  </si>
  <si>
    <t>Educadores de STEM, para desarrollo de laboratorios y modelaje STEM en el aula en San Miguel, Usulután y Santa Ana (2 educadores por 15 meses a un costo de $650.00)</t>
  </si>
  <si>
    <t>Especialistas STEM, para la integración de ciencias y matemáticas con enfoque STEM en San Miguel, Usulután y Santa Ana (2 especialistas STEM por 5 meses a un costo de $1,000.00.  (Especialista STEM 1 a ser contratado los primeros 3 trimestres, y el Especialista STEM 2 a ser contratado los últimos 3 trimestres ))</t>
  </si>
  <si>
    <t>Pedagogos para validación de modelaje de aplicación STEM en el aula en San Miguel, Usulután y Santa Ana  (2 pedagogos por 5 meses a un costo de $1,000.00. (Pedagogo 1 a ser contratado los primeros 3 trimestres, y el Pedagogo 2 a ser contratado los últimos 3 trimestres ))</t>
  </si>
  <si>
    <t>Movilización para especialistas y educadores para desarrollo de laboratorios STEM en cada centro educativo (1 vez por semana, x 20 semanas en 6 centros educativos, a un costo de $30.00 dolares por viaje)</t>
  </si>
  <si>
    <t xml:space="preserve">Adecuación laboratorio STEM para instalación eléctrica o seguridad para resguardo del equipo </t>
  </si>
  <si>
    <t>Equipamiento laboratorio STEM (para 6 centros educativos)</t>
  </si>
  <si>
    <t>2.6.1</t>
  </si>
  <si>
    <t>Kit de robótica (DJI Robomaster EP CORE)</t>
  </si>
  <si>
    <t>2.6.2</t>
  </si>
  <si>
    <t>Kit de energía renovable (KNEX)</t>
  </si>
  <si>
    <t>2.6.3</t>
  </si>
  <si>
    <t>Kit de drone (DJI TELLO EDU)</t>
  </si>
  <si>
    <t>2.6.4</t>
  </si>
  <si>
    <t>TI-Innovator Rover (Texas Instrument)</t>
  </si>
  <si>
    <t>Visibilización del proyecto</t>
  </si>
  <si>
    <t>2.7.1</t>
  </si>
  <si>
    <t>Camisetas tipo polo para 100 docentes</t>
  </si>
  <si>
    <t>2.7.2</t>
  </si>
  <si>
    <t xml:space="preserve">Camisetas tipo polo para personal del proyecto </t>
  </si>
  <si>
    <t>2.7.3</t>
  </si>
  <si>
    <t xml:space="preserve">Carnets de identidicación para personal del proyecto </t>
  </si>
  <si>
    <t>Congreso para visualización de proyectos intergados STEM (un congreso presencial por cada uno de los 6 centros educativos)</t>
  </si>
  <si>
    <t>2.8.1</t>
  </si>
  <si>
    <t>2.8.1.1</t>
  </si>
  <si>
    <t>Caja de lapices (4 unidades)</t>
  </si>
  <si>
    <t>2.8.1.2</t>
  </si>
  <si>
    <t>Caja de lapiceros (4 unidades)</t>
  </si>
  <si>
    <t>2.8.1.3</t>
  </si>
  <si>
    <t xml:space="preserve">Marcadores parar pizarra </t>
  </si>
  <si>
    <t>2.8.1.4</t>
  </si>
  <si>
    <t xml:space="preserve">Pliegos de papel bond </t>
  </si>
  <si>
    <t>2.8.1.5</t>
  </si>
  <si>
    <t>Borrador de pizarra</t>
  </si>
  <si>
    <t>2.8.1.6</t>
  </si>
  <si>
    <t>Resma papel bond</t>
  </si>
  <si>
    <t>2.8.1.7</t>
  </si>
  <si>
    <t xml:space="preserve">Libretas de apuntes </t>
  </si>
  <si>
    <t>2.8.1.8</t>
  </si>
  <si>
    <t xml:space="preserve">Impresiones </t>
  </si>
  <si>
    <t>2.8.2</t>
  </si>
  <si>
    <t>Alimentación para congreso para visualización de proyectos intergados STEM ( 1 refrigerio para 50 personas a un costo de $4.00 cada uno )</t>
  </si>
  <si>
    <t>2.9</t>
  </si>
  <si>
    <t>Visibilización y comunicación (publicaciones por redes sociales para comunicación y promoción del proyecto )</t>
  </si>
  <si>
    <t>Para abril del año 2023, creadas alianzas con empresa privada, para pasantías, becas, equipamiento</t>
  </si>
  <si>
    <t xml:space="preserve">Gestiones de creación de alianzas con empresa privada </t>
  </si>
  <si>
    <t>Gestor Empresarial, para Identificación y gestión de alianzas de las empresas del sector privado (2 educadores por 18 meses a un costo de $800.00)</t>
  </si>
  <si>
    <t>Movilización para gestor empresarial para reuniones presenciales con empresa privada (2 veces por semana, x 12 meses, a un costo de $30.00 dolares por viaje)</t>
  </si>
  <si>
    <t xml:space="preserve">Sistematización de la experiencia </t>
  </si>
  <si>
    <t>Actividades de sistematización de la experiencia</t>
  </si>
  <si>
    <t>Sistematizador de la experiencia (1 consultor, por un periodo de 3 meses, a un costo de $1,000.00 mensuales )</t>
  </si>
  <si>
    <t>Producto 5</t>
  </si>
  <si>
    <r>
      <t>Gestión eficaz y eficiente del programa</t>
    </r>
    <r>
      <rPr>
        <b/>
        <i/>
        <sz val="10"/>
        <color rgb="FFFF0000"/>
        <rFont val="Calibri"/>
        <family val="2"/>
        <scheme val="minor"/>
      </rPr>
      <t xml:space="preserve"> </t>
    </r>
  </si>
  <si>
    <t>Actividad 5.1.</t>
  </si>
  <si>
    <t>5.1.1</t>
  </si>
  <si>
    <t>Técnico de recursos humanos (dedicación del 50% de su tiempo al proyecto = $200 por 6 meses). 25% FUSALMO, 25% UNICEF.</t>
  </si>
  <si>
    <t>5.1.2</t>
  </si>
  <si>
    <t>5.1.3</t>
  </si>
  <si>
    <t>5.1.4</t>
  </si>
  <si>
    <t>Gerencia de Tecnología (dedicación del 30% de su tiempo al proyecto =$300 por mes) 15% FUSALMO, 15% UNICEF</t>
  </si>
  <si>
    <t>5.1.5</t>
  </si>
  <si>
    <t>5.1.6</t>
  </si>
  <si>
    <t>Técnico en compras (dedicación del 20%de su tiempo al proyecto $200 al mes) 10% FUSALMO 10% UNICEF</t>
  </si>
  <si>
    <t>5.1.7</t>
  </si>
  <si>
    <t>Subtotal Actividad 5.1</t>
  </si>
  <si>
    <t>Actividad 5.2.</t>
  </si>
  <si>
    <t>5.2.1</t>
  </si>
  <si>
    <t>Uso de equipo , oficina e instalaciones para la coordinación, equipo que virtualizará e instalaciones para capacitaciones, eventos., equivale al 10% (5% FUSALMO Y 5% UNICEF )</t>
  </si>
  <si>
    <t>5.2.2</t>
  </si>
  <si>
    <t xml:space="preserve">Uso de talleres STEAM en oriente, occidente y centro  del 30% el 7% de UNICEF Y 23% FUSALMO </t>
  </si>
  <si>
    <t>5.2.3</t>
  </si>
  <si>
    <t>Uso de Plataforma TRANSFORMA (x 1,500 jóvenes x 18 meses, 4 veces al mes)</t>
  </si>
  <si>
    <t>5.2.4</t>
  </si>
  <si>
    <t xml:space="preserve">Gastos básicos (Energia electrica, agua, Internet, telefonia de un promedio de $3,500) en un 14% $500, 7% de UNICEF Y 7% FUSALMO </t>
  </si>
  <si>
    <t>Subtotal Actividad 5.2</t>
  </si>
  <si>
    <t>Actividad 5.3</t>
  </si>
  <si>
    <t>Gestión estratégica para el desarrollo de las actividades del programa (comunicaciones, monitoreo y evaluación,…)</t>
  </si>
  <si>
    <t>5.3.1</t>
  </si>
  <si>
    <t>5.3.2</t>
  </si>
  <si>
    <t>Tecnico en comunicaciones (dedicación del 20%  de su tiempo al proyecto $350 al mes) 10% FUSALMO, 10% UNICEF.</t>
  </si>
  <si>
    <t>Subtotal Actividad 5.3</t>
  </si>
  <si>
    <t>TOTAL PRODUCTO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</si>
</sst>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Red]\-&quot;$&quot;#,##0.00"/>
    <numFmt numFmtId="165" formatCode="_-&quot;$&quot;* #,##0.00_-;\-&quot;$&quot;* #,##0.00_-;_-&quot;$&quot;* &quot;-&quot;??_-;_-@_-"/>
    <numFmt numFmtId="166" formatCode="_(&quot;$&quot;* #,##0.00_);_(&quot;$&quot;* \(#,##0.00\);_(&quot;$&quot;* &quot;-&quot;??_);_(@_)"/>
    <numFmt numFmtId="167" formatCode="&quot;$&quot;#,##0.00"/>
  </numFmts>
  <fonts count="30">
    <font>
      <sz val="11"/>
      <color theme="1"/>
      <name val="Calibri"/>
      <family val="2"/>
      <scheme val="minor"/>
    </font>
    <font>
      <sz val="11"/>
      <color theme="1"/>
      <name val="Calibri"/>
      <family val="2"/>
      <scheme val="minor"/>
    </font>
    <font>
      <b/>
      <sz val="9"/>
      <color indexed="81"/>
      <name val="Tahoma"/>
      <family val="2"/>
    </font>
    <font>
      <b/>
      <sz val="10"/>
      <color theme="1"/>
      <name val="Calibri"/>
      <family val="2"/>
      <scheme val="minor"/>
    </font>
    <font>
      <sz val="10"/>
      <color theme="1"/>
      <name val="Calibri"/>
      <family val="2"/>
      <scheme val="minor"/>
    </font>
    <font>
      <b/>
      <i/>
      <sz val="10"/>
      <color theme="1"/>
      <name val="Calibri"/>
      <family val="2"/>
      <scheme val="minor"/>
    </font>
    <font>
      <b/>
      <i/>
      <sz val="10"/>
      <color rgb="FFFF0000"/>
      <name val="Calibri"/>
      <family val="2"/>
      <scheme val="minor"/>
    </font>
    <font>
      <sz val="10"/>
      <name val="Calibri"/>
      <family val="2"/>
      <scheme val="minor"/>
    </font>
    <font>
      <b/>
      <vertAlign val="superscript"/>
      <sz val="10"/>
      <color theme="1"/>
      <name val="Calibri"/>
      <family val="2"/>
      <scheme val="minor"/>
    </font>
    <font>
      <sz val="12"/>
      <color theme="1"/>
      <name val="Calibri"/>
      <family val="2"/>
      <scheme val="minor"/>
    </font>
    <font>
      <sz val="8"/>
      <name val="Calibri"/>
      <family val="2"/>
      <scheme val="minor"/>
    </font>
    <font>
      <sz val="10"/>
      <color rgb="FFFF0000"/>
      <name val="Calibri"/>
      <family val="2"/>
      <scheme val="minor"/>
    </font>
    <font>
      <sz val="10"/>
      <color theme="1"/>
      <name val="Arial"/>
      <family val="2"/>
    </font>
    <font>
      <sz val="8"/>
      <color theme="1"/>
      <name val="Calibri"/>
      <family val="2"/>
      <scheme val="minor"/>
    </font>
    <font>
      <b/>
      <sz val="12"/>
      <color rgb="FFFF0000"/>
      <name val="Calibri"/>
      <family val="2"/>
      <scheme val="minor"/>
    </font>
    <font>
      <b/>
      <sz val="10"/>
      <name val="Calibri"/>
      <family val="2"/>
      <scheme val="minor"/>
    </font>
    <font>
      <b/>
      <vertAlign val="superscript"/>
      <sz val="10"/>
      <name val="Calibri"/>
      <family val="2"/>
      <scheme val="minor"/>
    </font>
    <font>
      <b/>
      <i/>
      <sz val="10"/>
      <name val="Calibri"/>
      <family val="2"/>
      <scheme val="minor"/>
    </font>
    <font>
      <sz val="10"/>
      <name val="Arial Nova"/>
      <family val="2"/>
    </font>
    <font>
      <sz val="10"/>
      <name val="Arial"/>
      <family val="2"/>
    </font>
    <font>
      <sz val="10"/>
      <color rgb="FFFF0000"/>
      <name val="Arial Nova"/>
      <family val="2"/>
    </font>
    <font>
      <sz val="10"/>
      <color rgb="FFFF0000"/>
      <name val="Arial"/>
      <family val="2"/>
    </font>
    <font>
      <sz val="10"/>
      <color rgb="FF0070C0"/>
      <name val="Arial Nova"/>
      <family val="2"/>
    </font>
    <font>
      <sz val="9"/>
      <color rgb="FF0070C0"/>
      <name val="Arial Nova"/>
      <family val="2"/>
    </font>
    <font>
      <sz val="10"/>
      <color rgb="FF0070C0"/>
      <name val="Calibri"/>
      <family val="2"/>
      <scheme val="minor"/>
    </font>
    <font>
      <sz val="10"/>
      <color theme="4"/>
      <name val="Arial Nova"/>
      <family val="2"/>
    </font>
    <font>
      <sz val="10"/>
      <color theme="4"/>
      <name val="Calibri"/>
      <family val="2"/>
      <scheme val="minor"/>
    </font>
    <font>
      <b/>
      <sz val="10"/>
      <color rgb="FF0070C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CCCCCC"/>
        <bgColor indexed="64"/>
      </patternFill>
    </fill>
    <fill>
      <patternFill patternType="solid">
        <fgColor rgb="FFFFCC00"/>
        <bgColor indexed="64"/>
      </patternFill>
    </fill>
    <fill>
      <patternFill patternType="solid">
        <fgColor rgb="FFFFFF99"/>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99CCFF"/>
        <bgColor indexed="64"/>
      </patternFill>
    </fill>
    <fill>
      <patternFill patternType="solid">
        <fgColor theme="8" tint="0.39997558519241921"/>
        <bgColor indexed="64"/>
      </patternFill>
    </fill>
    <fill>
      <patternFill patternType="solid">
        <fgColor rgb="FFFFFF00"/>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s>
  <cellStyleXfs count="6">
    <xf numFmtId="0" fontId="0" fillId="0" borderId="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442">
    <xf numFmtId="0" fontId="0" fillId="0" borderId="0" xfId="0"/>
    <xf numFmtId="0" fontId="3" fillId="0" borderId="0" xfId="0" applyFont="1" applyAlignment="1">
      <alignment horizontal="right"/>
    </xf>
    <xf numFmtId="0" fontId="4" fillId="0" borderId="0" xfId="0" applyFont="1"/>
    <xf numFmtId="0" fontId="3" fillId="0" borderId="0" xfId="0" applyFont="1"/>
    <xf numFmtId="0" fontId="4" fillId="0" borderId="0" xfId="0" applyFont="1" applyAlignment="1">
      <alignment horizontal="left" wrapText="1"/>
    </xf>
    <xf numFmtId="0" fontId="4" fillId="0" borderId="0" xfId="0" applyFont="1" applyAlignment="1">
      <alignment horizontal="center" vertical="center"/>
    </xf>
    <xf numFmtId="0" fontId="4" fillId="0" borderId="0" xfId="0" applyFont="1" applyAlignment="1">
      <alignment horizontal="right"/>
    </xf>
    <xf numFmtId="166" fontId="4" fillId="0" borderId="0" xfId="1" applyFont="1" applyAlignment="1">
      <alignment horizontal="right"/>
    </xf>
    <xf numFmtId="0" fontId="3" fillId="2" borderId="5" xfId="0" applyFont="1" applyFill="1" applyBorder="1" applyAlignment="1">
      <alignment horizontal="right" vertical="center" wrapText="1"/>
    </xf>
    <xf numFmtId="166" fontId="3" fillId="2" borderId="2" xfId="1" applyFont="1" applyFill="1" applyBorder="1" applyAlignment="1">
      <alignment horizontal="right" vertical="center" wrapText="1"/>
    </xf>
    <xf numFmtId="167" fontId="4" fillId="0" borderId="17" xfId="0" applyNumberFormat="1" applyFont="1" applyBorder="1" applyAlignment="1">
      <alignment horizontal="right"/>
    </xf>
    <xf numFmtId="167" fontId="4" fillId="0" borderId="20" xfId="0" applyNumberFormat="1" applyFont="1" applyBorder="1" applyAlignment="1">
      <alignment horizontal="right"/>
    </xf>
    <xf numFmtId="166" fontId="4" fillId="0" borderId="1" xfId="1" applyFont="1" applyBorder="1" applyAlignment="1">
      <alignment horizontal="right"/>
    </xf>
    <xf numFmtId="167" fontId="4" fillId="0" borderId="1" xfId="0" applyNumberFormat="1" applyFont="1" applyBorder="1" applyAlignment="1">
      <alignment horizontal="right"/>
    </xf>
    <xf numFmtId="167" fontId="4" fillId="0" borderId="22" xfId="0" applyNumberFormat="1" applyFont="1" applyBorder="1" applyAlignment="1">
      <alignment horizontal="right"/>
    </xf>
    <xf numFmtId="166" fontId="4" fillId="0" borderId="22" xfId="1" applyFont="1" applyBorder="1" applyAlignment="1">
      <alignment horizontal="right"/>
    </xf>
    <xf numFmtId="167" fontId="4" fillId="5" borderId="17" xfId="0" applyNumberFormat="1" applyFont="1" applyFill="1" applyBorder="1" applyAlignment="1">
      <alignment horizontal="right"/>
    </xf>
    <xf numFmtId="167" fontId="4" fillId="5" borderId="1" xfId="0" applyNumberFormat="1" applyFont="1" applyFill="1" applyBorder="1" applyAlignment="1">
      <alignment horizontal="right"/>
    </xf>
    <xf numFmtId="166" fontId="4" fillId="5" borderId="1" xfId="1" applyFont="1" applyFill="1" applyBorder="1" applyAlignment="1">
      <alignment horizontal="right"/>
    </xf>
    <xf numFmtId="0" fontId="4" fillId="5" borderId="0" xfId="0" applyFont="1" applyFill="1" applyAlignment="1">
      <alignment horizontal="right"/>
    </xf>
    <xf numFmtId="0" fontId="4" fillId="5" borderId="0" xfId="0" applyFont="1" applyFill="1"/>
    <xf numFmtId="166" fontId="4" fillId="0" borderId="2" xfId="1" applyFont="1" applyBorder="1" applyAlignment="1">
      <alignment horizontal="right"/>
    </xf>
    <xf numFmtId="166" fontId="4" fillId="0" borderId="21" xfId="1" applyFont="1" applyBorder="1" applyAlignment="1">
      <alignment horizontal="right"/>
    </xf>
    <xf numFmtId="166" fontId="4" fillId="0" borderId="7" xfId="1" applyFont="1" applyBorder="1" applyAlignment="1">
      <alignment horizontal="right"/>
    </xf>
    <xf numFmtId="0" fontId="5" fillId="3" borderId="1" xfId="0" applyFont="1" applyFill="1" applyBorder="1" applyAlignment="1">
      <alignment horizontal="justify" vertical="center" wrapText="1"/>
    </xf>
    <xf numFmtId="0" fontId="3" fillId="4" borderId="18" xfId="0" applyFont="1" applyFill="1" applyBorder="1" applyAlignment="1">
      <alignment horizontal="justify"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6" borderId="14" xfId="0" applyFont="1" applyFill="1" applyBorder="1" applyAlignment="1">
      <alignment horizontal="justify" vertical="center" wrapText="1"/>
    </xf>
    <xf numFmtId="166" fontId="3" fillId="6" borderId="15" xfId="1" applyFont="1" applyFill="1" applyBorder="1" applyAlignment="1">
      <alignment horizontal="right" vertical="center" wrapText="1"/>
    </xf>
    <xf numFmtId="0" fontId="3" fillId="4" borderId="3" xfId="0" applyFont="1" applyFill="1" applyBorder="1" applyAlignment="1">
      <alignment horizontal="justify" vertical="center" wrapText="1"/>
    </xf>
    <xf numFmtId="166" fontId="3" fillId="6" borderId="1" xfId="1" applyFont="1" applyFill="1" applyBorder="1" applyAlignment="1">
      <alignment horizontal="right" vertical="center" wrapText="1"/>
    </xf>
    <xf numFmtId="166" fontId="3" fillId="6" borderId="24" xfId="1" applyFont="1" applyFill="1" applyBorder="1" applyAlignment="1">
      <alignment horizontal="righ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166" fontId="3" fillId="7" borderId="14" xfId="1" applyFont="1" applyFill="1" applyBorder="1" applyAlignment="1">
      <alignment horizontal="right" vertical="center" wrapText="1"/>
    </xf>
    <xf numFmtId="165" fontId="4" fillId="0" borderId="0" xfId="0" applyNumberFormat="1" applyFont="1" applyAlignment="1">
      <alignment horizontal="right"/>
    </xf>
    <xf numFmtId="0" fontId="7" fillId="5" borderId="13" xfId="0" applyFont="1" applyFill="1" applyBorder="1" applyAlignment="1">
      <alignment horizontal="center" vertical="center"/>
    </xf>
    <xf numFmtId="167" fontId="7" fillId="5" borderId="13" xfId="0" applyNumberFormat="1" applyFont="1" applyFill="1" applyBorder="1" applyAlignment="1">
      <alignment horizontal="right" vertical="center"/>
    </xf>
    <xf numFmtId="0" fontId="4" fillId="0" borderId="13" xfId="0" applyFont="1" applyBorder="1" applyAlignment="1">
      <alignment horizontal="left" vertical="top" wrapText="1"/>
    </xf>
    <xf numFmtId="167" fontId="4" fillId="0" borderId="0" xfId="0" applyNumberFormat="1" applyFont="1" applyAlignment="1">
      <alignment horizontal="right"/>
    </xf>
    <xf numFmtId="0" fontId="4" fillId="0" borderId="4" xfId="0" applyFont="1" applyBorder="1" applyAlignment="1">
      <alignment horizontal="left" wrapText="1"/>
    </xf>
    <xf numFmtId="166" fontId="4" fillId="0" borderId="1" xfId="0" applyNumberFormat="1" applyFont="1" applyBorder="1" applyAlignment="1">
      <alignment horizontal="center" vertical="center"/>
    </xf>
    <xf numFmtId="2" fontId="4" fillId="0" borderId="2" xfId="0" applyNumberFormat="1" applyFont="1" applyBorder="1" applyAlignment="1">
      <alignment horizontal="center" vertical="center"/>
    </xf>
    <xf numFmtId="0" fontId="3" fillId="0" borderId="9" xfId="0" applyFont="1" applyBorder="1" applyAlignment="1">
      <alignment horizontal="left" wrapText="1"/>
    </xf>
    <xf numFmtId="166" fontId="3" fillId="0" borderId="3" xfId="0" applyNumberFormat="1" applyFont="1" applyBorder="1" applyAlignment="1">
      <alignment horizontal="center" vertical="center"/>
    </xf>
    <xf numFmtId="2" fontId="4" fillId="0" borderId="6" xfId="0" applyNumberFormat="1" applyFont="1" applyBorder="1" applyAlignment="1">
      <alignment horizontal="center"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right" vertical="center" wrapText="1"/>
    </xf>
    <xf numFmtId="0" fontId="3" fillId="2" borderId="1" xfId="0" applyFont="1" applyFill="1" applyBorder="1" applyAlignment="1">
      <alignment horizontal="right" vertical="center" wrapText="1"/>
    </xf>
    <xf numFmtId="0" fontId="5" fillId="3" borderId="3" xfId="0" applyFont="1" applyFill="1" applyBorder="1" applyAlignment="1">
      <alignment horizontal="justify" vertical="center" wrapText="1"/>
    </xf>
    <xf numFmtId="0" fontId="4" fillId="5" borderId="3" xfId="0" applyFont="1" applyFill="1" applyBorder="1" applyAlignment="1">
      <alignment horizontal="justify" vertical="center" wrapText="1"/>
    </xf>
    <xf numFmtId="0" fontId="4" fillId="5" borderId="8" xfId="0" applyFont="1" applyFill="1" applyBorder="1" applyAlignment="1">
      <alignment horizontal="left" vertical="center" wrapText="1"/>
    </xf>
    <xf numFmtId="0" fontId="4" fillId="5" borderId="1" xfId="0" applyFont="1" applyFill="1" applyBorder="1" applyAlignment="1">
      <alignment horizontal="center" vertical="center" wrapText="1"/>
    </xf>
    <xf numFmtId="165" fontId="4" fillId="0" borderId="1" xfId="0" applyNumberFormat="1" applyFont="1" applyBorder="1" applyAlignment="1">
      <alignment horizontal="right" vertical="center" wrapText="1"/>
    </xf>
    <xf numFmtId="165" fontId="4" fillId="0" borderId="8" xfId="0" applyNumberFormat="1" applyFont="1" applyBorder="1" applyAlignment="1">
      <alignment horizontal="right" vertical="center" wrapText="1"/>
    </xf>
    <xf numFmtId="0" fontId="4" fillId="5" borderId="1" xfId="0" applyFont="1" applyFill="1" applyBorder="1" applyAlignment="1">
      <alignment horizontal="right" vertical="center" wrapText="1"/>
    </xf>
    <xf numFmtId="0" fontId="3" fillId="5" borderId="3" xfId="0" applyFont="1" applyFill="1" applyBorder="1" applyAlignment="1">
      <alignment horizontal="justify" vertical="center" wrapText="1"/>
    </xf>
    <xf numFmtId="0" fontId="3" fillId="5" borderId="1" xfId="0" applyFont="1" applyFill="1" applyBorder="1" applyAlignment="1">
      <alignment horizontal="left" vertical="center" wrapText="1"/>
    </xf>
    <xf numFmtId="0" fontId="4" fillId="5" borderId="0" xfId="0" applyFont="1" applyFill="1" applyAlignment="1">
      <alignment horizontal="left" vertical="center" wrapText="1"/>
    </xf>
    <xf numFmtId="0" fontId="4" fillId="5" borderId="2" xfId="0" applyFont="1" applyFill="1" applyBorder="1" applyAlignment="1">
      <alignment horizontal="right" vertical="center" wrapText="1"/>
    </xf>
    <xf numFmtId="0" fontId="4" fillId="5" borderId="1"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165" fontId="4" fillId="5" borderId="1" xfId="0" applyNumberFormat="1" applyFont="1" applyFill="1" applyBorder="1" applyAlignment="1">
      <alignment horizontal="right" vertical="center" wrapText="1"/>
    </xf>
    <xf numFmtId="0" fontId="4" fillId="6" borderId="3" xfId="0" applyFont="1" applyFill="1" applyBorder="1" applyAlignment="1">
      <alignment horizontal="justify" vertical="center" wrapText="1"/>
    </xf>
    <xf numFmtId="166" fontId="3" fillId="7" borderId="3" xfId="1" applyFont="1" applyFill="1" applyBorder="1" applyAlignment="1">
      <alignment horizontal="right" vertical="center" wrapText="1"/>
    </xf>
    <xf numFmtId="166" fontId="3" fillId="7" borderId="6" xfId="1" applyFont="1" applyFill="1" applyBorder="1" applyAlignment="1">
      <alignment horizontal="right" vertical="center" wrapText="1"/>
    </xf>
    <xf numFmtId="0" fontId="4" fillId="0" borderId="3"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wrapText="1"/>
    </xf>
    <xf numFmtId="0" fontId="4" fillId="0" borderId="3" xfId="0" applyFont="1" applyBorder="1" applyAlignment="1">
      <alignment horizontal="center" vertical="center" wrapText="1"/>
    </xf>
    <xf numFmtId="165" fontId="4" fillId="0" borderId="3" xfId="0" applyNumberFormat="1" applyFont="1" applyBorder="1" applyAlignment="1">
      <alignment horizontal="right" vertical="center" wrapText="1"/>
    </xf>
    <xf numFmtId="0" fontId="3" fillId="0" borderId="1" xfId="0" applyFont="1" applyBorder="1" applyAlignment="1">
      <alignment horizontal="left" vertical="center" wrapText="1"/>
    </xf>
    <xf numFmtId="0" fontId="3" fillId="5" borderId="8" xfId="0" applyFont="1" applyFill="1" applyBorder="1" applyAlignment="1">
      <alignment horizontal="left" vertical="center" wrapText="1"/>
    </xf>
    <xf numFmtId="165" fontId="4" fillId="0" borderId="2" xfId="0" applyNumberFormat="1" applyFont="1" applyBorder="1" applyAlignment="1">
      <alignment horizontal="right" vertical="center" wrapText="1"/>
    </xf>
    <xf numFmtId="0" fontId="4" fillId="0" borderId="3" xfId="0" applyFont="1" applyBorder="1" applyAlignment="1">
      <alignment horizontal="left" vertical="center" wrapText="1"/>
    </xf>
    <xf numFmtId="166" fontId="3" fillId="6" borderId="2" xfId="1" applyFont="1" applyFill="1" applyBorder="1" applyAlignment="1">
      <alignment horizontal="right" vertical="center" wrapText="1"/>
    </xf>
    <xf numFmtId="166" fontId="3" fillId="7" borderId="0" xfId="1" applyFont="1" applyFill="1" applyBorder="1" applyAlignment="1">
      <alignment horizontal="right" vertical="center" wrapText="1"/>
    </xf>
    <xf numFmtId="166" fontId="3" fillId="7" borderId="1" xfId="1" applyFont="1" applyFill="1" applyBorder="1" applyAlignment="1">
      <alignment horizontal="right" vertical="center" wrapText="1"/>
    </xf>
    <xf numFmtId="0" fontId="4" fillId="5"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4" fontId="4" fillId="5" borderId="6" xfId="1" applyNumberFormat="1" applyFont="1" applyFill="1" applyBorder="1" applyAlignment="1">
      <alignment horizontal="right" vertical="center" wrapText="1"/>
    </xf>
    <xf numFmtId="166" fontId="4" fillId="5" borderId="6" xfId="1" applyFont="1" applyFill="1" applyBorder="1" applyAlignment="1">
      <alignment horizontal="right" vertical="center" wrapText="1"/>
    </xf>
    <xf numFmtId="166" fontId="4" fillId="5" borderId="1" xfId="1" applyFont="1" applyFill="1" applyBorder="1" applyAlignment="1">
      <alignment horizontal="right" vertical="center" wrapText="1"/>
    </xf>
    <xf numFmtId="166" fontId="3" fillId="6" borderId="8" xfId="1" applyFont="1" applyFill="1" applyBorder="1" applyAlignment="1">
      <alignment horizontal="right" vertical="center" wrapText="1"/>
    </xf>
    <xf numFmtId="166" fontId="4" fillId="5" borderId="2" xfId="1" applyFont="1" applyFill="1" applyBorder="1" applyAlignment="1">
      <alignment horizontal="right" vertical="center" wrapText="1"/>
    </xf>
    <xf numFmtId="165" fontId="3" fillId="8" borderId="6" xfId="0" applyNumberFormat="1" applyFont="1" applyFill="1" applyBorder="1" applyAlignment="1">
      <alignment horizontal="right" vertical="center" wrapText="1"/>
    </xf>
    <xf numFmtId="0" fontId="3" fillId="4" borderId="13" xfId="0" applyFont="1" applyFill="1" applyBorder="1" applyAlignment="1">
      <alignment horizontal="justify" vertical="center" wrapText="1"/>
    </xf>
    <xf numFmtId="0" fontId="3" fillId="4" borderId="13" xfId="0" applyFont="1" applyFill="1" applyBorder="1" applyAlignment="1">
      <alignment horizontal="left" vertical="center" wrapText="1"/>
    </xf>
    <xf numFmtId="0" fontId="3" fillId="4" borderId="13" xfId="0" applyFont="1" applyFill="1" applyBorder="1" applyAlignment="1">
      <alignment horizontal="center" vertical="center" wrapText="1"/>
    </xf>
    <xf numFmtId="0" fontId="3" fillId="4" borderId="13" xfId="0" applyFont="1" applyFill="1" applyBorder="1" applyAlignment="1">
      <alignment horizontal="right" vertical="center" wrapText="1"/>
    </xf>
    <xf numFmtId="0" fontId="4" fillId="0" borderId="13" xfId="0" applyFont="1" applyBorder="1" applyAlignment="1">
      <alignment horizontal="justify" vertical="center" wrapText="1"/>
    </xf>
    <xf numFmtId="167" fontId="4" fillId="0" borderId="13" xfId="0" applyNumberFormat="1" applyFont="1" applyBorder="1" applyAlignment="1">
      <alignment horizontal="right" vertical="center" wrapText="1"/>
    </xf>
    <xf numFmtId="0" fontId="3" fillId="0" borderId="3" xfId="0" applyFont="1" applyBorder="1" applyAlignment="1">
      <alignment horizontal="left" vertical="center" wrapText="1"/>
    </xf>
    <xf numFmtId="0" fontId="0" fillId="0" borderId="25" xfId="0" applyBorder="1"/>
    <xf numFmtId="0" fontId="9" fillId="0" borderId="0" xfId="0" applyFont="1"/>
    <xf numFmtId="0" fontId="4" fillId="6" borderId="26" xfId="0" applyFont="1" applyFill="1" applyBorder="1" applyAlignment="1">
      <alignment horizontal="justify" vertical="center" wrapText="1"/>
    </xf>
    <xf numFmtId="166" fontId="3" fillId="6" borderId="27" xfId="1" applyFont="1" applyFill="1" applyBorder="1" applyAlignment="1">
      <alignment horizontal="right" vertical="center" wrapText="1"/>
    </xf>
    <xf numFmtId="166" fontId="3" fillId="6" borderId="28" xfId="1" applyFont="1" applyFill="1" applyBorder="1" applyAlignment="1">
      <alignment horizontal="right" vertical="center" wrapText="1"/>
    </xf>
    <xf numFmtId="167" fontId="4" fillId="0" borderId="29" xfId="0" applyNumberFormat="1" applyFont="1" applyBorder="1" applyAlignment="1">
      <alignment horizontal="right"/>
    </xf>
    <xf numFmtId="0" fontId="9" fillId="5" borderId="30" xfId="0" applyFont="1" applyFill="1" applyBorder="1" applyAlignment="1">
      <alignment horizontal="center" vertical="center" wrapText="1"/>
    </xf>
    <xf numFmtId="0" fontId="3" fillId="2" borderId="4" xfId="0" applyFont="1" applyFill="1" applyBorder="1" applyAlignment="1">
      <alignment vertical="center" wrapText="1"/>
    </xf>
    <xf numFmtId="167" fontId="4" fillId="0" borderId="17" xfId="0" applyNumberFormat="1" applyFont="1" applyBorder="1"/>
    <xf numFmtId="0" fontId="4" fillId="5" borderId="1" xfId="0" applyFont="1" applyFill="1" applyBorder="1" applyAlignment="1">
      <alignment vertical="center" wrapText="1"/>
    </xf>
    <xf numFmtId="167" fontId="4" fillId="5" borderId="17" xfId="0" applyNumberFormat="1" applyFont="1" applyFill="1" applyBorder="1"/>
    <xf numFmtId="166" fontId="3" fillId="6" borderId="1" xfId="1" applyFont="1" applyFill="1" applyBorder="1" applyAlignment="1">
      <alignment vertical="center" wrapText="1"/>
    </xf>
    <xf numFmtId="166" fontId="3" fillId="7" borderId="6" xfId="1" applyFont="1" applyFill="1" applyBorder="1" applyAlignment="1">
      <alignment vertical="center" wrapText="1"/>
    </xf>
    <xf numFmtId="165" fontId="4" fillId="0" borderId="1" xfId="0" applyNumberFormat="1" applyFont="1" applyBorder="1" applyAlignment="1">
      <alignment vertical="center" wrapText="1"/>
    </xf>
    <xf numFmtId="165" fontId="4" fillId="0" borderId="8" xfId="0" applyNumberFormat="1" applyFont="1" applyBorder="1" applyAlignment="1">
      <alignment vertical="center" wrapText="1"/>
    </xf>
    <xf numFmtId="167" fontId="4" fillId="0" borderId="1" xfId="0" applyNumberFormat="1" applyFont="1" applyBorder="1"/>
    <xf numFmtId="167" fontId="4" fillId="0" borderId="22" xfId="0" applyNumberFormat="1" applyFont="1" applyBorder="1"/>
    <xf numFmtId="166" fontId="3" fillId="7" borderId="1" xfId="1" applyFont="1" applyFill="1" applyBorder="1" applyAlignment="1">
      <alignment vertical="center" wrapText="1"/>
    </xf>
    <xf numFmtId="166" fontId="4" fillId="5" borderId="6" xfId="1" applyFont="1" applyFill="1" applyBorder="1" applyAlignment="1">
      <alignment vertical="center" wrapText="1"/>
    </xf>
    <xf numFmtId="166" fontId="4" fillId="5" borderId="1" xfId="1" applyFont="1" applyFill="1" applyBorder="1" applyAlignment="1">
      <alignment vertical="center" wrapText="1"/>
    </xf>
    <xf numFmtId="166" fontId="3" fillId="6" borderId="15" xfId="1" applyFont="1" applyFill="1" applyBorder="1" applyAlignment="1">
      <alignment vertical="center" wrapText="1"/>
    </xf>
    <xf numFmtId="166" fontId="3" fillId="7" borderId="14" xfId="1" applyFont="1" applyFill="1" applyBorder="1" applyAlignment="1">
      <alignment vertical="center" wrapText="1"/>
    </xf>
    <xf numFmtId="167" fontId="3" fillId="9" borderId="3" xfId="0" applyNumberFormat="1" applyFont="1" applyFill="1" applyBorder="1"/>
    <xf numFmtId="167" fontId="4" fillId="0" borderId="0" xfId="0" applyNumberFormat="1" applyFont="1" applyAlignment="1">
      <alignment vertical="center"/>
    </xf>
    <xf numFmtId="167" fontId="4" fillId="0" borderId="31" xfId="0" applyNumberFormat="1" applyFont="1" applyBorder="1" applyAlignment="1">
      <alignment horizontal="right"/>
    </xf>
    <xf numFmtId="167" fontId="4" fillId="0" borderId="32" xfId="0" applyNumberFormat="1" applyFont="1" applyBorder="1" applyAlignment="1">
      <alignment horizontal="right"/>
    </xf>
    <xf numFmtId="0" fontId="4" fillId="0" borderId="0" xfId="0" applyFont="1" applyAlignment="1">
      <alignment horizontal="right" wrapText="1"/>
    </xf>
    <xf numFmtId="167" fontId="4" fillId="0" borderId="0" xfId="0" applyNumberFormat="1" applyFont="1"/>
    <xf numFmtId="166" fontId="3" fillId="6" borderId="23" xfId="1" applyFont="1" applyFill="1" applyBorder="1" applyAlignment="1">
      <alignment horizontal="right" vertical="center" wrapText="1"/>
    </xf>
    <xf numFmtId="0" fontId="4" fillId="5" borderId="2" xfId="0" applyFont="1" applyFill="1" applyBorder="1" applyAlignment="1">
      <alignment horizontal="left" vertical="center" wrapText="1"/>
    </xf>
    <xf numFmtId="0" fontId="4" fillId="5" borderId="2" xfId="0" applyFont="1" applyFill="1" applyBorder="1" applyAlignment="1">
      <alignment horizontal="center" vertical="center" wrapText="1"/>
    </xf>
    <xf numFmtId="166" fontId="4" fillId="5" borderId="2" xfId="1" applyFont="1" applyFill="1" applyBorder="1" applyAlignment="1">
      <alignment vertical="center" wrapText="1"/>
    </xf>
    <xf numFmtId="167" fontId="4" fillId="0" borderId="17" xfId="0" applyNumberFormat="1" applyFont="1" applyBorder="1" applyAlignment="1">
      <alignment vertical="center"/>
    </xf>
    <xf numFmtId="0" fontId="4" fillId="0" borderId="0" xfId="0" applyFont="1" applyAlignment="1">
      <alignment horizontal="right" vertical="center"/>
    </xf>
    <xf numFmtId="0" fontId="4" fillId="0" borderId="0" xfId="0" applyFont="1" applyAlignment="1">
      <alignment vertical="center"/>
    </xf>
    <xf numFmtId="0" fontId="3" fillId="5" borderId="13" xfId="0" applyFont="1" applyFill="1" applyBorder="1" applyAlignment="1">
      <alignment horizontal="left" vertical="top" wrapText="1"/>
    </xf>
    <xf numFmtId="0" fontId="3" fillId="0" borderId="13" xfId="0" applyFont="1" applyBorder="1" applyAlignment="1">
      <alignment horizontal="left" vertical="top" wrapText="1"/>
    </xf>
    <xf numFmtId="0" fontId="4" fillId="5" borderId="13" xfId="0" applyFont="1" applyFill="1" applyBorder="1" applyAlignment="1">
      <alignment horizontal="left" vertical="center" wrapText="1"/>
    </xf>
    <xf numFmtId="0" fontId="4" fillId="0" borderId="13" xfId="0" applyFont="1" applyBorder="1" applyAlignment="1">
      <alignment horizontal="left" vertical="center" wrapText="1"/>
    </xf>
    <xf numFmtId="167" fontId="3" fillId="8" borderId="13" xfId="0" applyNumberFormat="1"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166" fontId="3" fillId="2" borderId="2" xfId="1" applyFont="1" applyFill="1" applyBorder="1" applyAlignment="1">
      <alignment horizontal="center" vertical="center" wrapText="1"/>
    </xf>
    <xf numFmtId="0" fontId="4" fillId="0" borderId="0" xfId="0" applyFont="1" applyAlignment="1">
      <alignment horizontal="center"/>
    </xf>
    <xf numFmtId="166" fontId="4" fillId="0" borderId="4" xfId="1" applyFont="1" applyBorder="1" applyAlignment="1">
      <alignment horizontal="right"/>
    </xf>
    <xf numFmtId="166" fontId="3" fillId="6" borderId="4" xfId="1" applyFont="1" applyFill="1" applyBorder="1" applyAlignment="1">
      <alignment horizontal="right" vertical="center" wrapText="1"/>
    </xf>
    <xf numFmtId="166" fontId="3" fillId="6" borderId="5" xfId="1" applyFont="1" applyFill="1" applyBorder="1" applyAlignment="1">
      <alignment horizontal="right" vertical="center" wrapText="1"/>
    </xf>
    <xf numFmtId="166" fontId="3" fillId="7" borderId="4" xfId="1" applyFont="1" applyFill="1" applyBorder="1" applyAlignment="1">
      <alignment horizontal="right" vertical="center" wrapText="1"/>
    </xf>
    <xf numFmtId="166" fontId="4" fillId="5" borderId="5" xfId="1" applyFont="1" applyFill="1" applyBorder="1" applyAlignment="1">
      <alignment horizontal="right" vertical="center" wrapText="1"/>
    </xf>
    <xf numFmtId="166" fontId="4" fillId="5" borderId="8" xfId="1" applyFont="1" applyFill="1" applyBorder="1" applyAlignment="1">
      <alignment horizontal="right" vertical="center" wrapText="1"/>
    </xf>
    <xf numFmtId="166" fontId="3" fillId="6" borderId="33" xfId="1" applyFont="1" applyFill="1" applyBorder="1" applyAlignment="1">
      <alignment horizontal="right" vertical="center" wrapText="1"/>
    </xf>
    <xf numFmtId="166" fontId="4" fillId="5" borderId="4" xfId="1" applyFont="1" applyFill="1" applyBorder="1" applyAlignment="1">
      <alignment horizontal="right" vertical="center" wrapText="1"/>
    </xf>
    <xf numFmtId="166" fontId="3" fillId="2" borderId="12" xfId="1" applyFont="1" applyFill="1" applyBorder="1" applyAlignment="1">
      <alignment horizontal="center" vertical="center" wrapText="1"/>
    </xf>
    <xf numFmtId="0" fontId="4" fillId="0" borderId="13" xfId="0" applyFont="1" applyBorder="1" applyAlignment="1">
      <alignment horizontal="right"/>
    </xf>
    <xf numFmtId="0" fontId="4" fillId="5" borderId="13" xfId="0" applyFont="1" applyFill="1" applyBorder="1" applyAlignment="1">
      <alignment horizontal="right"/>
    </xf>
    <xf numFmtId="0" fontId="9" fillId="0" borderId="13" xfId="0" applyFont="1" applyBorder="1"/>
    <xf numFmtId="165" fontId="4" fillId="0" borderId="13" xfId="0" applyNumberFormat="1" applyFont="1" applyBorder="1" applyAlignment="1">
      <alignment horizontal="right"/>
    </xf>
    <xf numFmtId="0" fontId="4" fillId="0" borderId="13" xfId="0" applyFont="1" applyBorder="1" applyAlignment="1">
      <alignment horizontal="right" vertical="center"/>
    </xf>
    <xf numFmtId="0" fontId="11" fillId="5" borderId="1" xfId="0" applyFont="1" applyFill="1" applyBorder="1" applyAlignment="1">
      <alignment horizontal="center" vertical="center" wrapText="1"/>
    </xf>
    <xf numFmtId="167" fontId="4" fillId="0" borderId="10" xfId="0" applyNumberFormat="1" applyFont="1" applyBorder="1" applyAlignment="1">
      <alignment horizontal="right"/>
    </xf>
    <xf numFmtId="0" fontId="4" fillId="5" borderId="4" xfId="0" applyFont="1" applyFill="1" applyBorder="1" applyAlignment="1">
      <alignment horizontal="left" vertical="center" wrapText="1"/>
    </xf>
    <xf numFmtId="167" fontId="4" fillId="0" borderId="10" xfId="0" applyNumberFormat="1" applyFont="1" applyBorder="1"/>
    <xf numFmtId="166" fontId="12" fillId="0" borderId="6" xfId="1" applyFont="1" applyBorder="1" applyAlignment="1">
      <alignment horizontal="right" vertical="center" wrapText="1"/>
    </xf>
    <xf numFmtId="0" fontId="11" fillId="5" borderId="1" xfId="0" applyFont="1" applyFill="1" applyBorder="1" applyAlignment="1">
      <alignment horizontal="center" vertical="center"/>
    </xf>
    <xf numFmtId="166" fontId="12" fillId="0" borderId="1" xfId="1" applyFont="1" applyBorder="1" applyAlignment="1">
      <alignment horizontal="right" vertical="center" wrapText="1"/>
    </xf>
    <xf numFmtId="0" fontId="4" fillId="5" borderId="5" xfId="0" applyFont="1" applyFill="1" applyBorder="1" applyAlignment="1">
      <alignment horizontal="right" vertical="center" wrapText="1"/>
    </xf>
    <xf numFmtId="0" fontId="4" fillId="5" borderId="10" xfId="0" applyFont="1" applyFill="1" applyBorder="1" applyAlignment="1">
      <alignment horizontal="left" vertical="center" wrapText="1"/>
    </xf>
    <xf numFmtId="0" fontId="4" fillId="0" borderId="13" xfId="0" applyFont="1" applyBorder="1" applyAlignment="1">
      <alignment horizontal="center" vertical="top" wrapText="1"/>
    </xf>
    <xf numFmtId="165" fontId="4" fillId="0" borderId="13" xfId="0" applyNumberFormat="1" applyFont="1" applyBorder="1" applyAlignment="1">
      <alignment horizontal="left" vertical="top" wrapText="1"/>
    </xf>
    <xf numFmtId="0" fontId="4" fillId="5" borderId="13" xfId="0" applyFont="1" applyFill="1" applyBorder="1" applyAlignment="1">
      <alignment horizontal="left" vertical="center"/>
    </xf>
    <xf numFmtId="166" fontId="4" fillId="5" borderId="13" xfId="0" applyNumberFormat="1" applyFont="1" applyFill="1" applyBorder="1" applyAlignment="1">
      <alignment horizontal="left" vertical="center"/>
    </xf>
    <xf numFmtId="0" fontId="4" fillId="5" borderId="13" xfId="0" applyFont="1" applyFill="1" applyBorder="1" applyAlignment="1">
      <alignment horizontal="center" vertical="center"/>
    </xf>
    <xf numFmtId="0" fontId="4" fillId="5" borderId="13" xfId="0" applyFont="1" applyFill="1" applyBorder="1" applyAlignment="1">
      <alignment horizontal="center" vertical="center" wrapText="1"/>
    </xf>
    <xf numFmtId="165" fontId="4" fillId="5" borderId="13" xfId="0" applyNumberFormat="1" applyFont="1" applyFill="1" applyBorder="1" applyAlignment="1">
      <alignment horizontal="left" vertical="center" wrapText="1"/>
    </xf>
    <xf numFmtId="165" fontId="4" fillId="0" borderId="6" xfId="0" applyNumberFormat="1" applyFont="1" applyBorder="1" applyAlignment="1">
      <alignment horizontal="right" vertical="center" wrapText="1"/>
    </xf>
    <xf numFmtId="167" fontId="4" fillId="0" borderId="10" xfId="0" applyNumberFormat="1" applyFont="1" applyBorder="1" applyAlignment="1">
      <alignment horizontal="right" vertical="center"/>
    </xf>
    <xf numFmtId="166" fontId="4" fillId="0" borderId="4" xfId="1" applyFont="1" applyBorder="1" applyAlignment="1">
      <alignment horizontal="right" vertical="center"/>
    </xf>
    <xf numFmtId="165" fontId="4" fillId="5" borderId="2" xfId="0" applyNumberFormat="1" applyFont="1" applyFill="1" applyBorder="1" applyAlignment="1">
      <alignment horizontal="right" vertical="center" wrapText="1"/>
    </xf>
    <xf numFmtId="166" fontId="3" fillId="6" borderId="3" xfId="1" applyFont="1" applyFill="1" applyBorder="1" applyAlignment="1">
      <alignment horizontal="right" vertical="center" wrapText="1"/>
    </xf>
    <xf numFmtId="166" fontId="3" fillId="6" borderId="3" xfId="1" applyFont="1" applyFill="1" applyBorder="1" applyAlignment="1">
      <alignment vertical="center" wrapText="1"/>
    </xf>
    <xf numFmtId="166" fontId="3" fillId="6" borderId="9" xfId="1" applyFont="1" applyFill="1" applyBorder="1" applyAlignment="1">
      <alignment horizontal="right" vertical="center" wrapText="1"/>
    </xf>
    <xf numFmtId="164" fontId="4" fillId="0" borderId="1" xfId="0" applyNumberFormat="1" applyFont="1" applyBorder="1" applyAlignment="1">
      <alignment horizontal="right" vertical="center" wrapText="1"/>
    </xf>
    <xf numFmtId="167" fontId="4" fillId="0" borderId="17" xfId="0" applyNumberFormat="1" applyFont="1" applyBorder="1" applyAlignment="1">
      <alignment horizontal="right" vertical="center"/>
    </xf>
    <xf numFmtId="0" fontId="13" fillId="0" borderId="13" xfId="0" applyFont="1" applyBorder="1" applyAlignment="1">
      <alignment horizontal="left" wrapText="1"/>
    </xf>
    <xf numFmtId="165" fontId="4" fillId="0" borderId="32" xfId="0" applyNumberFormat="1" applyFont="1" applyBorder="1" applyAlignment="1">
      <alignment horizontal="right" vertical="center" wrapText="1"/>
    </xf>
    <xf numFmtId="0" fontId="4" fillId="10" borderId="8" xfId="0" applyFont="1" applyFill="1" applyBorder="1" applyAlignment="1">
      <alignment horizontal="left" vertical="center" wrapText="1"/>
    </xf>
    <xf numFmtId="0" fontId="4" fillId="10" borderId="3" xfId="0" applyFont="1" applyFill="1" applyBorder="1" applyAlignment="1">
      <alignment horizontal="justify" vertical="center" wrapText="1"/>
    </xf>
    <xf numFmtId="0" fontId="4" fillId="10" borderId="1"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166" fontId="12" fillId="10" borderId="6" xfId="1" applyFont="1" applyFill="1" applyBorder="1" applyAlignment="1">
      <alignment horizontal="right" vertical="center" wrapText="1"/>
    </xf>
    <xf numFmtId="165" fontId="4" fillId="10" borderId="8" xfId="0" applyNumberFormat="1" applyFont="1" applyFill="1" applyBorder="1" applyAlignment="1">
      <alignment horizontal="right" vertical="center" wrapText="1"/>
    </xf>
    <xf numFmtId="166" fontId="0" fillId="0" borderId="0" xfId="1" applyFont="1"/>
    <xf numFmtId="166" fontId="0" fillId="0" borderId="0" xfId="0" applyNumberFormat="1"/>
    <xf numFmtId="165" fontId="14" fillId="0" borderId="0" xfId="0" applyNumberFormat="1" applyFont="1" applyAlignment="1">
      <alignment horizontal="right"/>
    </xf>
    <xf numFmtId="0" fontId="7" fillId="0" borderId="0" xfId="0" applyFont="1" applyAlignment="1">
      <alignment horizontal="center" vertical="center"/>
    </xf>
    <xf numFmtId="0" fontId="15" fillId="2" borderId="2"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15" fillId="4" borderId="13" xfId="0" applyFont="1" applyFill="1" applyBorder="1" applyAlignment="1">
      <alignment horizontal="center" vertical="center" wrapText="1"/>
    </xf>
    <xf numFmtId="166" fontId="7" fillId="0" borderId="1" xfId="0" applyNumberFormat="1" applyFont="1" applyBorder="1" applyAlignment="1">
      <alignment horizontal="center" vertical="center"/>
    </xf>
    <xf numFmtId="166" fontId="15" fillId="0" borderId="3" xfId="0" applyNumberFormat="1" applyFont="1" applyBorder="1" applyAlignment="1">
      <alignment horizontal="center" vertical="center"/>
    </xf>
    <xf numFmtId="0" fontId="7" fillId="5" borderId="32" xfId="0" applyFont="1" applyFill="1" applyBorder="1" applyAlignment="1">
      <alignment horizontal="center" vertical="center" wrapText="1"/>
    </xf>
    <xf numFmtId="166" fontId="7" fillId="5" borderId="13" xfId="1" applyFont="1" applyFill="1" applyBorder="1" applyAlignment="1">
      <alignment horizontal="right" vertical="center"/>
    </xf>
    <xf numFmtId="0" fontId="7" fillId="5" borderId="13" xfId="0" applyFont="1" applyFill="1" applyBorder="1" applyAlignment="1">
      <alignment horizontal="center" vertical="center" wrapText="1"/>
    </xf>
    <xf numFmtId="0" fontId="7" fillId="5" borderId="1" xfId="0" applyFont="1" applyFill="1" applyBorder="1" applyAlignment="1">
      <alignment horizontal="right" vertical="center" wrapText="1"/>
    </xf>
    <xf numFmtId="0" fontId="7" fillId="5" borderId="8" xfId="0" applyFont="1" applyFill="1" applyBorder="1" applyAlignment="1">
      <alignment horizontal="left" vertical="center" wrapText="1"/>
    </xf>
    <xf numFmtId="166" fontId="7" fillId="5" borderId="1" xfId="1" applyFont="1" applyFill="1" applyBorder="1" applyAlignment="1">
      <alignment horizontal="right" vertical="center" wrapText="1"/>
    </xf>
    <xf numFmtId="165" fontId="7" fillId="5" borderId="8" xfId="0" applyNumberFormat="1" applyFont="1" applyFill="1" applyBorder="1" applyAlignment="1">
      <alignment horizontal="right" vertical="center" wrapText="1"/>
    </xf>
    <xf numFmtId="167" fontId="7" fillId="5" borderId="17" xfId="0" applyNumberFormat="1" applyFont="1" applyFill="1" applyBorder="1" applyAlignment="1">
      <alignment vertical="center"/>
    </xf>
    <xf numFmtId="165" fontId="7" fillId="5" borderId="1" xfId="0" applyNumberFormat="1" applyFont="1" applyFill="1" applyBorder="1" applyAlignment="1">
      <alignment horizontal="right" vertical="center" wrapText="1"/>
    </xf>
    <xf numFmtId="167" fontId="7" fillId="5" borderId="17" xfId="0" applyNumberFormat="1" applyFont="1" applyFill="1" applyBorder="1" applyAlignment="1">
      <alignment horizontal="right" vertical="center"/>
    </xf>
    <xf numFmtId="167" fontId="7" fillId="5" borderId="10" xfId="0" applyNumberFormat="1" applyFont="1" applyFill="1" applyBorder="1" applyAlignment="1">
      <alignment horizontal="right" vertical="center"/>
    </xf>
    <xf numFmtId="166" fontId="7" fillId="5" borderId="1" xfId="1" applyFont="1" applyFill="1" applyBorder="1" applyAlignment="1">
      <alignment horizontal="right" vertical="center"/>
    </xf>
    <xf numFmtId="0" fontId="7" fillId="5" borderId="0" xfId="0" applyFont="1" applyFill="1" applyAlignment="1">
      <alignment vertical="center"/>
    </xf>
    <xf numFmtId="0" fontId="7" fillId="5" borderId="3" xfId="0" applyFont="1" applyFill="1" applyBorder="1" applyAlignment="1">
      <alignment horizontal="justify" vertical="center" wrapText="1"/>
    </xf>
    <xf numFmtId="166" fontId="7" fillId="5" borderId="1" xfId="1" applyFont="1" applyFill="1" applyBorder="1" applyAlignment="1">
      <alignment horizontal="center" vertical="center" wrapText="1"/>
    </xf>
    <xf numFmtId="0" fontId="15" fillId="0" borderId="0" xfId="0" applyFont="1"/>
    <xf numFmtId="0" fontId="7" fillId="0" borderId="0" xfId="0" applyFont="1" applyAlignment="1">
      <alignment horizontal="left" wrapText="1"/>
    </xf>
    <xf numFmtId="166" fontId="7" fillId="0" borderId="0" xfId="1" applyFont="1" applyAlignment="1">
      <alignment horizontal="right"/>
    </xf>
    <xf numFmtId="0" fontId="7" fillId="0" borderId="0" xfId="0" applyFont="1" applyAlignment="1">
      <alignment horizontal="right"/>
    </xf>
    <xf numFmtId="165" fontId="7" fillId="0" borderId="0" xfId="0" applyNumberFormat="1" applyFont="1" applyAlignment="1">
      <alignment horizontal="right"/>
    </xf>
    <xf numFmtId="0" fontId="7" fillId="0" borderId="0" xfId="0" applyFont="1"/>
    <xf numFmtId="0" fontId="15" fillId="2" borderId="1" xfId="0" applyFont="1" applyFill="1" applyBorder="1" applyAlignment="1">
      <alignment horizontal="center" vertical="center" wrapText="1"/>
    </xf>
    <xf numFmtId="166" fontId="15" fillId="2" borderId="2" xfId="1"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7" fillId="3" borderId="3" xfId="0" applyFont="1" applyFill="1" applyBorder="1" applyAlignment="1">
      <alignment horizontal="justify" vertical="center" wrapText="1"/>
    </xf>
    <xf numFmtId="0" fontId="15" fillId="4" borderId="3" xfId="0" applyFont="1" applyFill="1" applyBorder="1" applyAlignment="1">
      <alignment horizontal="justify" vertical="center" wrapText="1"/>
    </xf>
    <xf numFmtId="0" fontId="7" fillId="6" borderId="3" xfId="0" applyFont="1" applyFill="1" applyBorder="1" applyAlignment="1">
      <alignment horizontal="justify" vertical="center" wrapText="1"/>
    </xf>
    <xf numFmtId="166" fontId="15" fillId="6" borderId="1" xfId="1" applyFont="1" applyFill="1" applyBorder="1" applyAlignment="1">
      <alignment horizontal="right" vertical="center" wrapText="1"/>
    </xf>
    <xf numFmtId="166" fontId="15" fillId="7" borderId="3" xfId="1" applyFont="1" applyFill="1" applyBorder="1" applyAlignment="1">
      <alignment horizontal="right" vertical="center" wrapText="1"/>
    </xf>
    <xf numFmtId="0" fontId="18" fillId="0" borderId="1" xfId="0" applyFont="1" applyBorder="1" applyAlignment="1">
      <alignment vertical="center" wrapText="1"/>
    </xf>
    <xf numFmtId="167" fontId="7" fillId="0" borderId="10" xfId="0" applyNumberFormat="1" applyFont="1" applyBorder="1" applyAlignment="1">
      <alignment horizontal="right" vertical="center"/>
    </xf>
    <xf numFmtId="166" fontId="7" fillId="0" borderId="1" xfId="1" applyFont="1" applyBorder="1" applyAlignment="1">
      <alignment horizontal="right" vertical="center"/>
    </xf>
    <xf numFmtId="167" fontId="7" fillId="5" borderId="17" xfId="0" applyNumberFormat="1" applyFont="1" applyFill="1" applyBorder="1" applyAlignment="1">
      <alignment horizontal="right"/>
    </xf>
    <xf numFmtId="167" fontId="7" fillId="0" borderId="10" xfId="0" applyNumberFormat="1" applyFont="1" applyBorder="1" applyAlignment="1">
      <alignment horizontal="right"/>
    </xf>
    <xf numFmtId="166" fontId="7" fillId="0" borderId="1" xfId="1" applyFont="1" applyBorder="1" applyAlignment="1">
      <alignment horizontal="right"/>
    </xf>
    <xf numFmtId="165" fontId="7" fillId="5" borderId="6" xfId="0" applyNumberFormat="1" applyFont="1" applyFill="1" applyBorder="1" applyAlignment="1">
      <alignment horizontal="right" vertical="center" wrapText="1"/>
    </xf>
    <xf numFmtId="0" fontId="7" fillId="5" borderId="5" xfId="0" applyFont="1" applyFill="1" applyBorder="1" applyAlignment="1">
      <alignment horizontal="right" vertical="center" wrapText="1"/>
    </xf>
    <xf numFmtId="167" fontId="7" fillId="0" borderId="1" xfId="0" applyNumberFormat="1" applyFont="1" applyBorder="1" applyAlignment="1">
      <alignment horizontal="right" vertical="center"/>
    </xf>
    <xf numFmtId="166" fontId="19" fillId="5" borderId="32" xfId="1" applyFont="1" applyFill="1" applyBorder="1" applyAlignment="1">
      <alignment horizontal="right" vertical="center" wrapText="1"/>
    </xf>
    <xf numFmtId="165" fontId="7" fillId="0" borderId="1" xfId="0" applyNumberFormat="1" applyFont="1" applyBorder="1" applyAlignment="1">
      <alignment horizontal="right" vertical="center" wrapText="1"/>
    </xf>
    <xf numFmtId="0" fontId="7" fillId="5" borderId="9" xfId="0" applyFont="1" applyFill="1" applyBorder="1" applyAlignment="1">
      <alignment horizontal="justify" vertical="center" wrapText="1"/>
    </xf>
    <xf numFmtId="0" fontId="18" fillId="5" borderId="13" xfId="0" applyFont="1" applyFill="1" applyBorder="1" applyAlignment="1">
      <alignment horizontal="justify" vertical="center" wrapText="1"/>
    </xf>
    <xf numFmtId="0" fontId="7" fillId="5" borderId="12" xfId="0" applyFont="1" applyFill="1" applyBorder="1" applyAlignment="1">
      <alignment horizontal="center" vertical="center" wrapText="1"/>
    </xf>
    <xf numFmtId="167" fontId="7" fillId="5" borderId="10" xfId="0" applyNumberFormat="1" applyFont="1" applyFill="1" applyBorder="1"/>
    <xf numFmtId="167" fontId="7" fillId="0" borderId="1" xfId="0" applyNumberFormat="1" applyFont="1" applyBorder="1" applyAlignment="1">
      <alignment horizontal="right"/>
    </xf>
    <xf numFmtId="0" fontId="18" fillId="5" borderId="3" xfId="0" applyFont="1" applyFill="1" applyBorder="1" applyAlignment="1">
      <alignment vertical="center" wrapText="1"/>
    </xf>
    <xf numFmtId="0" fontId="18" fillId="5" borderId="1" xfId="0" applyFont="1" applyFill="1" applyBorder="1" applyAlignment="1">
      <alignment vertical="center" wrapText="1"/>
    </xf>
    <xf numFmtId="0" fontId="18" fillId="5" borderId="4" xfId="0" applyFont="1" applyFill="1" applyBorder="1" applyAlignment="1">
      <alignment horizontal="justify" vertical="center" wrapText="1"/>
    </xf>
    <xf numFmtId="0" fontId="17" fillId="3" borderId="1" xfId="0" applyFont="1" applyFill="1" applyBorder="1" applyAlignment="1">
      <alignment horizontal="justify" vertical="center" wrapText="1"/>
    </xf>
    <xf numFmtId="0" fontId="7" fillId="5" borderId="3" xfId="0" applyFont="1" applyFill="1" applyBorder="1" applyAlignment="1">
      <alignment horizontal="left" vertical="center" wrapText="1"/>
    </xf>
    <xf numFmtId="166" fontId="7" fillId="0" borderId="1" xfId="1" applyFont="1" applyBorder="1" applyAlignment="1">
      <alignment horizontal="right" vertical="center" wrapText="1"/>
    </xf>
    <xf numFmtId="165" fontId="7" fillId="0" borderId="8" xfId="0" applyNumberFormat="1" applyFont="1" applyBorder="1" applyAlignment="1">
      <alignment horizontal="right" vertical="center" wrapText="1"/>
    </xf>
    <xf numFmtId="167" fontId="7" fillId="0" borderId="17" xfId="0" applyNumberFormat="1" applyFont="1" applyBorder="1" applyAlignment="1">
      <alignment horizontal="right" vertical="center"/>
    </xf>
    <xf numFmtId="166" fontId="15" fillId="6" borderId="1" xfId="1" applyFont="1" applyFill="1" applyBorder="1" applyAlignment="1">
      <alignment vertical="center" wrapText="1"/>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wrapText="1"/>
    </xf>
    <xf numFmtId="166" fontId="7" fillId="5" borderId="2" xfId="1" applyFont="1" applyFill="1" applyBorder="1" applyAlignment="1">
      <alignment horizontal="right" vertical="center" wrapText="1"/>
    </xf>
    <xf numFmtId="166" fontId="7" fillId="5" borderId="2" xfId="1" applyFont="1" applyFill="1" applyBorder="1" applyAlignment="1">
      <alignment vertical="center" wrapText="1"/>
    </xf>
    <xf numFmtId="0" fontId="7" fillId="5" borderId="6" xfId="0" applyFont="1" applyFill="1" applyBorder="1" applyAlignment="1">
      <alignment horizontal="left" vertical="center" wrapText="1"/>
    </xf>
    <xf numFmtId="0" fontId="7" fillId="5" borderId="6" xfId="0" applyFont="1" applyFill="1" applyBorder="1" applyAlignment="1">
      <alignment horizontal="center" vertical="center" wrapText="1"/>
    </xf>
    <xf numFmtId="166" fontId="7" fillId="5" borderId="6" xfId="1" applyFont="1" applyFill="1" applyBorder="1" applyAlignment="1">
      <alignment horizontal="right" vertical="center" wrapText="1"/>
    </xf>
    <xf numFmtId="166" fontId="7" fillId="5" borderId="6" xfId="1" applyFont="1" applyFill="1" applyBorder="1" applyAlignment="1">
      <alignment vertical="center" wrapText="1"/>
    </xf>
    <xf numFmtId="0" fontId="7" fillId="5" borderId="32"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5" borderId="7" xfId="0" applyFont="1" applyFill="1" applyBorder="1" applyAlignment="1">
      <alignment horizontal="center" vertical="center" wrapText="1"/>
    </xf>
    <xf numFmtId="166" fontId="7" fillId="5" borderId="7" xfId="1" applyFont="1" applyFill="1" applyBorder="1" applyAlignment="1">
      <alignment horizontal="right" vertical="center" wrapText="1"/>
    </xf>
    <xf numFmtId="166" fontId="7" fillId="5" borderId="7" xfId="1" applyFont="1" applyFill="1" applyBorder="1" applyAlignment="1">
      <alignment vertical="center" wrapText="1"/>
    </xf>
    <xf numFmtId="167" fontId="7" fillId="0" borderId="32" xfId="0" applyNumberFormat="1" applyFont="1" applyBorder="1" applyAlignment="1">
      <alignment horizontal="right"/>
    </xf>
    <xf numFmtId="0" fontId="7" fillId="5" borderId="4" xfId="0" applyFont="1" applyFill="1" applyBorder="1" applyAlignment="1">
      <alignment horizontal="center" vertical="center" wrapText="1"/>
    </xf>
    <xf numFmtId="166" fontId="7" fillId="5" borderId="5" xfId="1" applyFont="1" applyFill="1" applyBorder="1" applyAlignment="1">
      <alignment horizontal="right" vertical="center" wrapText="1"/>
    </xf>
    <xf numFmtId="166" fontId="7" fillId="5" borderId="1" xfId="1" applyFont="1" applyFill="1" applyBorder="1" applyAlignment="1">
      <alignment vertical="center" wrapText="1"/>
    </xf>
    <xf numFmtId="0" fontId="7" fillId="6" borderId="26" xfId="0" applyFont="1" applyFill="1" applyBorder="1" applyAlignment="1">
      <alignment horizontal="justify" vertical="center" wrapText="1"/>
    </xf>
    <xf numFmtId="166" fontId="15" fillId="6" borderId="27" xfId="1" applyFont="1" applyFill="1" applyBorder="1" applyAlignment="1">
      <alignment horizontal="right" vertical="center" wrapText="1"/>
    </xf>
    <xf numFmtId="166" fontId="15" fillId="6" borderId="28" xfId="1"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167" fontId="7" fillId="0" borderId="17" xfId="0" applyNumberFormat="1" applyFont="1" applyBorder="1" applyAlignment="1">
      <alignment vertical="center"/>
    </xf>
    <xf numFmtId="0" fontId="7" fillId="6" borderId="14" xfId="0" applyFont="1" applyFill="1" applyBorder="1" applyAlignment="1">
      <alignment horizontal="justify" vertical="center" wrapText="1"/>
    </xf>
    <xf numFmtId="166" fontId="15" fillId="6" borderId="24" xfId="1" applyFont="1" applyFill="1" applyBorder="1" applyAlignment="1">
      <alignment horizontal="right" vertical="center" wrapText="1"/>
    </xf>
    <xf numFmtId="166" fontId="15" fillId="6" borderId="15" xfId="1" applyFont="1" applyFill="1" applyBorder="1" applyAlignment="1">
      <alignment vertical="center" wrapText="1"/>
    </xf>
    <xf numFmtId="166" fontId="15" fillId="6" borderId="15" xfId="1" applyFont="1" applyFill="1" applyBorder="1" applyAlignment="1">
      <alignment horizontal="right" vertical="center" wrapText="1"/>
    </xf>
    <xf numFmtId="166" fontId="15" fillId="6" borderId="16" xfId="1" applyFont="1" applyFill="1" applyBorder="1" applyAlignment="1">
      <alignment horizontal="right" vertical="center" wrapText="1"/>
    </xf>
    <xf numFmtId="0" fontId="15" fillId="4" borderId="18" xfId="0" applyFont="1" applyFill="1" applyBorder="1" applyAlignment="1">
      <alignment horizontal="justify" vertical="center" wrapText="1"/>
    </xf>
    <xf numFmtId="0" fontId="7" fillId="0" borderId="1" xfId="0" applyFont="1" applyBorder="1" applyAlignment="1">
      <alignment horizontal="justify" vertical="center" wrapText="1"/>
    </xf>
    <xf numFmtId="0" fontId="7" fillId="0" borderId="1" xfId="0" applyFont="1" applyBorder="1" applyAlignment="1">
      <alignment horizontal="left" vertical="top" wrapText="1"/>
    </xf>
    <xf numFmtId="166" fontId="15" fillId="6" borderId="23" xfId="1" applyFont="1" applyFill="1" applyBorder="1" applyAlignment="1">
      <alignment horizontal="right" vertical="center" wrapText="1"/>
    </xf>
    <xf numFmtId="166" fontId="15" fillId="6" borderId="2" xfId="1" applyFont="1" applyFill="1" applyBorder="1" applyAlignment="1">
      <alignment horizontal="right" vertical="center" wrapText="1"/>
    </xf>
    <xf numFmtId="166" fontId="15" fillId="7" borderId="14" xfId="1" applyFont="1" applyFill="1" applyBorder="1" applyAlignment="1">
      <alignment horizontal="right" vertical="center" wrapText="1"/>
    </xf>
    <xf numFmtId="166" fontId="15" fillId="7" borderId="1" xfId="1" applyFont="1" applyFill="1" applyBorder="1" applyAlignment="1">
      <alignment horizontal="right" vertical="center" wrapText="1"/>
    </xf>
    <xf numFmtId="165" fontId="15" fillId="8" borderId="6" xfId="0" applyNumberFormat="1" applyFont="1" applyFill="1" applyBorder="1" applyAlignment="1">
      <alignment horizontal="right" vertical="center" wrapText="1"/>
    </xf>
    <xf numFmtId="165" fontId="7" fillId="0" borderId="0" xfId="5" applyNumberFormat="1" applyFont="1" applyAlignment="1">
      <alignment horizontal="right"/>
    </xf>
    <xf numFmtId="167" fontId="7" fillId="0" borderId="0" xfId="0" applyNumberFormat="1" applyFont="1"/>
    <xf numFmtId="167" fontId="7" fillId="0" borderId="0" xfId="0" applyNumberFormat="1" applyFont="1" applyAlignment="1">
      <alignment vertical="center"/>
    </xf>
    <xf numFmtId="0" fontId="15" fillId="4" borderId="13" xfId="0" applyFont="1" applyFill="1" applyBorder="1" applyAlignment="1">
      <alignment horizontal="justify" vertical="center" wrapText="1"/>
    </xf>
    <xf numFmtId="0" fontId="15" fillId="4" borderId="13" xfId="0" applyFont="1" applyFill="1" applyBorder="1" applyAlignment="1">
      <alignment horizontal="left" vertical="center" wrapText="1"/>
    </xf>
    <xf numFmtId="166" fontId="15" fillId="4" borderId="13" xfId="1" applyFont="1" applyFill="1" applyBorder="1" applyAlignment="1">
      <alignment horizontal="right" vertical="center" wrapText="1"/>
    </xf>
    <xf numFmtId="0" fontId="15" fillId="4" borderId="13" xfId="0" applyFont="1" applyFill="1" applyBorder="1" applyAlignment="1">
      <alignment horizontal="right" vertical="center" wrapText="1"/>
    </xf>
    <xf numFmtId="0" fontId="7" fillId="0" borderId="13" xfId="0" applyFont="1" applyBorder="1" applyAlignment="1">
      <alignment horizontal="justify" vertical="center" wrapText="1"/>
    </xf>
    <xf numFmtId="0" fontId="15" fillId="0" borderId="13" xfId="0" applyFont="1" applyBorder="1" applyAlignment="1">
      <alignment horizontal="left" vertical="top" wrapText="1"/>
    </xf>
    <xf numFmtId="167" fontId="7" fillId="0" borderId="13" xfId="0" applyNumberFormat="1" applyFont="1" applyBorder="1" applyAlignment="1">
      <alignment horizontal="right" vertical="center" wrapText="1"/>
    </xf>
    <xf numFmtId="0" fontId="7" fillId="5" borderId="13" xfId="0" applyFont="1" applyFill="1" applyBorder="1" applyAlignment="1">
      <alignment horizontal="left" vertical="center" wrapText="1"/>
    </xf>
    <xf numFmtId="166" fontId="7" fillId="5" borderId="13" xfId="1" applyFont="1" applyFill="1" applyBorder="1" applyAlignment="1">
      <alignment horizontal="left" vertical="center" wrapText="1"/>
    </xf>
    <xf numFmtId="0" fontId="7" fillId="0" borderId="0" xfId="0" applyFont="1" applyAlignment="1">
      <alignment horizontal="right" wrapText="1"/>
    </xf>
    <xf numFmtId="167" fontId="7" fillId="0" borderId="0" xfId="0" applyNumberFormat="1" applyFont="1" applyAlignment="1">
      <alignment vertical="center" wrapText="1"/>
    </xf>
    <xf numFmtId="166" fontId="7" fillId="0" borderId="0" xfId="1" applyFont="1" applyAlignment="1">
      <alignment horizontal="right" wrapText="1"/>
    </xf>
    <xf numFmtId="167" fontId="15" fillId="8" borderId="13" xfId="0" applyNumberFormat="1" applyFont="1" applyFill="1" applyBorder="1" applyAlignment="1">
      <alignment horizontal="right" vertical="center" wrapText="1"/>
    </xf>
    <xf numFmtId="167" fontId="7" fillId="0" borderId="0" xfId="0" applyNumberFormat="1" applyFont="1" applyAlignment="1">
      <alignment horizontal="right"/>
    </xf>
    <xf numFmtId="0" fontId="7" fillId="0" borderId="4" xfId="0" applyFont="1" applyBorder="1" applyAlignment="1">
      <alignment horizontal="left" wrapText="1"/>
    </xf>
    <xf numFmtId="2" fontId="7" fillId="0" borderId="2" xfId="0" applyNumberFormat="1" applyFont="1" applyBorder="1" applyAlignment="1">
      <alignment horizontal="center" vertical="center"/>
    </xf>
    <xf numFmtId="0" fontId="15" fillId="0" borderId="9" xfId="0" applyFont="1" applyBorder="1" applyAlignment="1">
      <alignment horizontal="left" wrapText="1"/>
    </xf>
    <xf numFmtId="2" fontId="7" fillId="0" borderId="6" xfId="0" applyNumberFormat="1" applyFont="1" applyBorder="1" applyAlignment="1">
      <alignment horizontal="center" vertical="center"/>
    </xf>
    <xf numFmtId="0" fontId="11" fillId="0" borderId="0" xfId="0" applyFont="1" applyAlignment="1">
      <alignment horizontal="left" wrapText="1"/>
    </xf>
    <xf numFmtId="0" fontId="11" fillId="0" borderId="0" xfId="0" applyFont="1" applyAlignment="1">
      <alignment horizontal="center" vertical="center"/>
    </xf>
    <xf numFmtId="166" fontId="11" fillId="0" borderId="0" xfId="0" applyNumberFormat="1" applyFont="1" applyAlignment="1">
      <alignment horizontal="center" vertical="center"/>
    </xf>
    <xf numFmtId="9" fontId="7" fillId="0" borderId="0" xfId="0" applyNumberFormat="1" applyFont="1" applyAlignment="1">
      <alignment horizontal="right"/>
    </xf>
    <xf numFmtId="9" fontId="7" fillId="0" borderId="0" xfId="5" applyFont="1" applyAlignment="1">
      <alignment horizontal="right"/>
    </xf>
    <xf numFmtId="167" fontId="27" fillId="5" borderId="17" xfId="0" applyNumberFormat="1" applyFont="1" applyFill="1" applyBorder="1" applyAlignment="1">
      <alignment horizontal="right" vertical="center"/>
    </xf>
    <xf numFmtId="0" fontId="27" fillId="2" borderId="1" xfId="0" applyFont="1" applyFill="1" applyBorder="1" applyAlignment="1">
      <alignment horizontal="center" vertical="center" wrapText="1"/>
    </xf>
    <xf numFmtId="166" fontId="24" fillId="5" borderId="1" xfId="1" applyFont="1" applyFill="1" applyBorder="1" applyAlignment="1">
      <alignment horizontal="right" vertical="center" wrapText="1"/>
    </xf>
    <xf numFmtId="166" fontId="24" fillId="5" borderId="1" xfId="1" applyFont="1" applyFill="1" applyBorder="1" applyAlignment="1">
      <alignment vertical="center" wrapText="1"/>
    </xf>
    <xf numFmtId="0" fontId="7" fillId="10" borderId="1" xfId="0" applyFont="1" applyFill="1" applyBorder="1" applyAlignment="1">
      <alignment horizontal="left" vertical="center" wrapText="1"/>
    </xf>
    <xf numFmtId="0" fontId="7" fillId="10" borderId="2" xfId="0" applyFont="1" applyFill="1" applyBorder="1" applyAlignment="1">
      <alignment horizontal="left" vertical="center" wrapText="1"/>
    </xf>
    <xf numFmtId="0" fontId="7" fillId="10" borderId="2" xfId="0" applyFont="1" applyFill="1" applyBorder="1" applyAlignment="1">
      <alignment horizontal="center" vertical="center" wrapText="1"/>
    </xf>
    <xf numFmtId="166" fontId="7" fillId="10" borderId="1" xfId="1" applyFont="1" applyFill="1" applyBorder="1" applyAlignment="1">
      <alignment horizontal="right" vertical="center" wrapText="1"/>
    </xf>
    <xf numFmtId="166" fontId="7" fillId="10" borderId="6" xfId="1" applyFont="1" applyFill="1" applyBorder="1" applyAlignment="1">
      <alignment horizontal="right" vertical="center" wrapText="1"/>
    </xf>
    <xf numFmtId="166" fontId="24" fillId="5" borderId="6" xfId="1" applyFont="1" applyFill="1" applyBorder="1" applyAlignment="1">
      <alignment horizontal="right" vertical="center" wrapText="1"/>
    </xf>
    <xf numFmtId="166" fontId="24" fillId="5" borderId="7" xfId="1" applyFont="1" applyFill="1" applyBorder="1" applyAlignment="1">
      <alignment horizontal="right" vertical="center" wrapText="1"/>
    </xf>
    <xf numFmtId="0" fontId="7" fillId="10" borderId="32" xfId="0" applyFont="1" applyFill="1" applyBorder="1" applyAlignment="1">
      <alignment horizontal="left" vertical="center" wrapText="1"/>
    </xf>
    <xf numFmtId="0" fontId="7" fillId="10" borderId="1" xfId="0" applyFont="1" applyFill="1" applyBorder="1" applyAlignment="1">
      <alignment horizontal="center" vertical="center" wrapText="1"/>
    </xf>
    <xf numFmtId="0" fontId="7" fillId="10" borderId="4" xfId="0" applyFont="1" applyFill="1" applyBorder="1" applyAlignment="1">
      <alignment horizontal="center" vertical="center" wrapText="1"/>
    </xf>
    <xf numFmtId="166" fontId="7" fillId="10" borderId="5" xfId="1" applyFont="1" applyFill="1" applyBorder="1" applyAlignment="1">
      <alignment horizontal="right" vertical="center" wrapText="1"/>
    </xf>
    <xf numFmtId="166" fontId="7" fillId="10" borderId="1" xfId="1" applyFont="1" applyFill="1" applyBorder="1" applyAlignment="1">
      <alignment vertical="center" wrapText="1"/>
    </xf>
    <xf numFmtId="166" fontId="24" fillId="10" borderId="1" xfId="1" applyFont="1" applyFill="1" applyBorder="1" applyAlignment="1">
      <alignment horizontal="right" vertical="center" wrapText="1"/>
    </xf>
    <xf numFmtId="0" fontId="7" fillId="10" borderId="6" xfId="0" applyFont="1" applyFill="1" applyBorder="1" applyAlignment="1">
      <alignment horizontal="left" vertical="center" wrapText="1"/>
    </xf>
    <xf numFmtId="166" fontId="7" fillId="10" borderId="2" xfId="1" applyFont="1" applyFill="1" applyBorder="1" applyAlignment="1">
      <alignment horizontal="right" vertical="center" wrapText="1"/>
    </xf>
    <xf numFmtId="166" fontId="7" fillId="10" borderId="6" xfId="1" applyFont="1" applyFill="1" applyBorder="1" applyAlignment="1">
      <alignment vertical="center" wrapText="1"/>
    </xf>
    <xf numFmtId="166" fontId="24" fillId="5" borderId="2" xfId="1" applyFont="1" applyFill="1" applyBorder="1" applyAlignment="1">
      <alignment vertical="center" wrapText="1"/>
    </xf>
    <xf numFmtId="0" fontId="7" fillId="10" borderId="3" xfId="0" applyFont="1" applyFill="1" applyBorder="1" applyAlignment="1">
      <alignment horizontal="justify" vertical="center" wrapText="1"/>
    </xf>
    <xf numFmtId="0" fontId="18" fillId="10" borderId="1" xfId="0" applyFont="1" applyFill="1" applyBorder="1" applyAlignment="1">
      <alignment vertical="center" wrapText="1"/>
    </xf>
    <xf numFmtId="0" fontId="24" fillId="10" borderId="1" xfId="0" applyFont="1" applyFill="1" applyBorder="1" applyAlignment="1">
      <alignment horizontal="center" vertical="center" wrapText="1"/>
    </xf>
    <xf numFmtId="166" fontId="21" fillId="10" borderId="1" xfId="1" applyFont="1" applyFill="1" applyBorder="1" applyAlignment="1">
      <alignment horizontal="right" vertical="center" wrapText="1"/>
    </xf>
    <xf numFmtId="165" fontId="24" fillId="10" borderId="6" xfId="0" applyNumberFormat="1" applyFont="1" applyFill="1" applyBorder="1" applyAlignment="1">
      <alignment horizontal="right" vertical="center" wrapText="1"/>
    </xf>
    <xf numFmtId="0" fontId="7" fillId="10" borderId="5" xfId="0" applyFont="1" applyFill="1" applyBorder="1" applyAlignment="1">
      <alignment horizontal="right" vertical="center" wrapText="1"/>
    </xf>
    <xf numFmtId="167" fontId="11" fillId="10" borderId="17" xfId="0" applyNumberFormat="1" applyFont="1" applyFill="1" applyBorder="1" applyAlignment="1">
      <alignment vertical="center"/>
    </xf>
    <xf numFmtId="165" fontId="11" fillId="10" borderId="1" xfId="0" applyNumberFormat="1" applyFont="1" applyFill="1" applyBorder="1" applyAlignment="1">
      <alignment horizontal="right" vertical="center" wrapText="1"/>
    </xf>
    <xf numFmtId="167" fontId="27" fillId="10" borderId="17" xfId="0" applyNumberFormat="1" applyFont="1" applyFill="1" applyBorder="1" applyAlignment="1">
      <alignment horizontal="right" vertical="center"/>
    </xf>
    <xf numFmtId="0" fontId="18" fillId="10" borderId="0" xfId="0" applyFont="1" applyFill="1" applyAlignment="1">
      <alignment vertical="center" wrapText="1"/>
    </xf>
    <xf numFmtId="0" fontId="7" fillId="10" borderId="32" xfId="0" applyFont="1" applyFill="1" applyBorder="1" applyAlignment="1">
      <alignment horizontal="center" vertical="center" wrapText="1"/>
    </xf>
    <xf numFmtId="166" fontId="19" fillId="10" borderId="32" xfId="1" applyFont="1" applyFill="1" applyBorder="1" applyAlignment="1">
      <alignment horizontal="right" vertical="center" wrapText="1"/>
    </xf>
    <xf numFmtId="165" fontId="7" fillId="10" borderId="6" xfId="0" applyNumberFormat="1" applyFont="1" applyFill="1" applyBorder="1" applyAlignment="1">
      <alignment horizontal="right" vertical="center" wrapText="1"/>
    </xf>
    <xf numFmtId="167" fontId="7" fillId="10" borderId="10" xfId="0" applyNumberFormat="1" applyFont="1" applyFill="1" applyBorder="1" applyAlignment="1">
      <alignment horizontal="right" vertical="center"/>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24" xfId="0" applyFont="1" applyFill="1" applyBorder="1" applyAlignment="1">
      <alignment horizontal="left" vertical="center" wrapText="1"/>
    </xf>
    <xf numFmtId="0" fontId="3" fillId="7" borderId="4" xfId="0" applyFont="1" applyFill="1" applyBorder="1" applyAlignment="1">
      <alignment horizontal="right" vertical="center" wrapText="1"/>
    </xf>
    <xf numFmtId="0" fontId="3" fillId="7" borderId="5" xfId="0" applyFont="1" applyFill="1" applyBorder="1" applyAlignment="1">
      <alignment horizontal="right" vertical="center" wrapText="1"/>
    </xf>
    <xf numFmtId="0" fontId="3" fillId="7" borderId="2" xfId="0" applyFont="1" applyFill="1" applyBorder="1" applyAlignment="1">
      <alignment horizontal="right" vertical="center" wrapText="1"/>
    </xf>
    <xf numFmtId="0" fontId="3" fillId="6" borderId="19" xfId="0" applyFont="1" applyFill="1" applyBorder="1" applyAlignment="1">
      <alignment horizontal="right" vertical="center" wrapText="1"/>
    </xf>
    <xf numFmtId="0" fontId="3" fillId="6" borderId="0" xfId="0" applyFont="1" applyFill="1" applyAlignment="1">
      <alignment horizontal="right" vertical="center" wrapText="1"/>
    </xf>
    <xf numFmtId="0" fontId="3" fillId="6" borderId="7" xfId="0" applyFont="1" applyFill="1" applyBorder="1" applyAlignment="1">
      <alignment horizontal="right" vertical="center" wrapText="1"/>
    </xf>
    <xf numFmtId="0" fontId="3" fillId="6" borderId="4" xfId="0" applyFont="1" applyFill="1" applyBorder="1" applyAlignment="1">
      <alignment horizontal="right" vertical="center" wrapText="1"/>
    </xf>
    <xf numFmtId="0" fontId="3" fillId="6" borderId="5" xfId="0" applyFont="1" applyFill="1" applyBorder="1" applyAlignment="1">
      <alignment horizontal="right" vertical="center" wrapText="1"/>
    </xf>
    <xf numFmtId="0" fontId="3" fillId="6" borderId="2" xfId="0" applyFont="1" applyFill="1" applyBorder="1" applyAlignment="1">
      <alignment horizontal="righ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24" xfId="0" applyFont="1" applyFill="1" applyBorder="1" applyAlignment="1">
      <alignment horizontal="left" vertical="center" wrapText="1"/>
    </xf>
    <xf numFmtId="0" fontId="3" fillId="6" borderId="23" xfId="0" applyFont="1" applyFill="1" applyBorder="1" applyAlignment="1">
      <alignment horizontal="right" vertical="center" wrapText="1"/>
    </xf>
    <xf numFmtId="0" fontId="3" fillId="6" borderId="24" xfId="0" applyFont="1" applyFill="1" applyBorder="1" applyAlignment="1">
      <alignment horizontal="right"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2" xfId="0" applyFont="1" applyBorder="1" applyAlignment="1">
      <alignment horizontal="center"/>
    </xf>
    <xf numFmtId="0" fontId="3" fillId="8" borderId="4" xfId="0" applyFont="1" applyFill="1" applyBorder="1" applyAlignment="1">
      <alignment horizontal="right" vertical="center" wrapText="1"/>
    </xf>
    <xf numFmtId="0" fontId="3" fillId="8" borderId="5" xfId="0" applyFont="1" applyFill="1" applyBorder="1" applyAlignment="1">
      <alignment horizontal="right" vertical="center" wrapText="1"/>
    </xf>
    <xf numFmtId="0" fontId="3" fillId="8" borderId="2" xfId="0" applyFont="1" applyFill="1" applyBorder="1" applyAlignment="1">
      <alignment horizontal="right" vertical="center" wrapText="1"/>
    </xf>
    <xf numFmtId="0" fontId="4" fillId="0" borderId="11" xfId="0" applyFont="1" applyBorder="1" applyAlignment="1">
      <alignment horizontal="center"/>
    </xf>
    <xf numFmtId="0" fontId="5" fillId="3" borderId="34" xfId="0" applyFont="1" applyFill="1" applyBorder="1" applyAlignment="1">
      <alignment horizontal="left" vertical="center" wrapText="1"/>
    </xf>
    <xf numFmtId="0" fontId="5" fillId="3" borderId="35" xfId="0" applyFont="1" applyFill="1" applyBorder="1" applyAlignment="1">
      <alignment horizontal="left" vertical="center" wrapText="1"/>
    </xf>
    <xf numFmtId="0" fontId="5" fillId="3" borderId="36" xfId="0" applyFont="1" applyFill="1" applyBorder="1" applyAlignment="1">
      <alignment horizontal="left" vertical="center" wrapText="1"/>
    </xf>
    <xf numFmtId="0" fontId="3" fillId="8" borderId="34" xfId="0" applyFont="1" applyFill="1" applyBorder="1" applyAlignment="1">
      <alignment horizontal="right" vertical="center" wrapText="1"/>
    </xf>
    <xf numFmtId="0" fontId="3" fillId="8" borderId="35" xfId="0" applyFont="1" applyFill="1" applyBorder="1" applyAlignment="1">
      <alignment horizontal="right" vertical="center" wrapText="1"/>
    </xf>
    <xf numFmtId="0" fontId="3" fillId="8" borderId="36" xfId="0" applyFont="1" applyFill="1" applyBorder="1" applyAlignment="1">
      <alignment horizontal="right" vertical="center" wrapText="1"/>
    </xf>
    <xf numFmtId="0" fontId="3" fillId="6" borderId="10" xfId="0" applyFont="1" applyFill="1" applyBorder="1" applyAlignment="1">
      <alignment horizontal="right" vertical="center" wrapText="1"/>
    </xf>
    <xf numFmtId="0" fontId="3" fillId="0" borderId="0" xfId="0" applyFont="1" applyAlignment="1">
      <alignment horizontal="center"/>
    </xf>
    <xf numFmtId="0" fontId="3" fillId="0" borderId="0" xfId="0" applyFont="1" applyAlignment="1">
      <alignment horizontal="right"/>
    </xf>
    <xf numFmtId="0" fontId="15" fillId="6" borderId="19" xfId="0" applyFont="1" applyFill="1" applyBorder="1" applyAlignment="1">
      <alignment horizontal="right" vertical="center" wrapText="1"/>
    </xf>
    <xf numFmtId="0" fontId="15" fillId="6" borderId="0" xfId="0" applyFont="1" applyFill="1" applyAlignment="1">
      <alignment horizontal="right" vertical="center" wrapText="1"/>
    </xf>
    <xf numFmtId="0" fontId="15" fillId="6" borderId="7" xfId="0" applyFont="1" applyFill="1" applyBorder="1" applyAlignment="1">
      <alignment horizontal="right" vertical="center" wrapText="1"/>
    </xf>
    <xf numFmtId="0" fontId="15" fillId="3" borderId="4" xfId="0" applyFont="1" applyFill="1" applyBorder="1" applyAlignment="1">
      <alignment horizontal="left" vertical="center" wrapText="1"/>
    </xf>
    <xf numFmtId="0" fontId="15" fillId="3" borderId="5" xfId="0" applyFont="1" applyFill="1" applyBorder="1" applyAlignment="1">
      <alignment horizontal="left" vertical="center" wrapText="1"/>
    </xf>
    <xf numFmtId="0" fontId="15" fillId="3" borderId="2" xfId="0" applyFont="1" applyFill="1" applyBorder="1" applyAlignment="1">
      <alignment horizontal="left" vertical="center" wrapText="1"/>
    </xf>
    <xf numFmtId="0" fontId="15" fillId="4" borderId="4" xfId="0" applyFont="1" applyFill="1" applyBorder="1" applyAlignment="1">
      <alignment horizontal="left" vertical="center" wrapText="1"/>
    </xf>
    <xf numFmtId="0" fontId="15" fillId="4" borderId="5" xfId="0" applyFont="1" applyFill="1" applyBorder="1" applyAlignment="1">
      <alignment horizontal="left" vertical="center" wrapText="1"/>
    </xf>
    <xf numFmtId="0" fontId="15" fillId="4" borderId="2" xfId="0" applyFont="1" applyFill="1" applyBorder="1" applyAlignment="1">
      <alignment horizontal="left" vertical="center" wrapText="1"/>
    </xf>
    <xf numFmtId="0" fontId="15" fillId="6" borderId="10" xfId="0" applyFont="1" applyFill="1" applyBorder="1" applyAlignment="1">
      <alignment horizontal="right" vertical="center" wrapText="1"/>
    </xf>
    <xf numFmtId="0" fontId="15" fillId="7" borderId="4" xfId="0" applyFont="1" applyFill="1" applyBorder="1" applyAlignment="1">
      <alignment horizontal="right" vertical="center" wrapText="1"/>
    </xf>
    <xf numFmtId="0" fontId="15" fillId="7" borderId="5" xfId="0" applyFont="1" applyFill="1" applyBorder="1" applyAlignment="1">
      <alignment horizontal="right" vertical="center" wrapText="1"/>
    </xf>
    <xf numFmtId="0" fontId="15" fillId="7" borderId="2" xfId="0" applyFont="1" applyFill="1" applyBorder="1" applyAlignment="1">
      <alignment horizontal="right" vertical="center" wrapText="1"/>
    </xf>
    <xf numFmtId="0" fontId="15" fillId="0" borderId="0" xfId="0" applyFont="1" applyAlignment="1">
      <alignment horizontal="right"/>
    </xf>
    <xf numFmtId="0" fontId="15" fillId="6" borderId="33" xfId="0" applyFont="1" applyFill="1" applyBorder="1" applyAlignment="1">
      <alignment horizontal="right" vertical="center" wrapText="1"/>
    </xf>
    <xf numFmtId="0" fontId="15" fillId="6" borderId="8" xfId="0" applyFont="1" applyFill="1" applyBorder="1" applyAlignment="1">
      <alignment horizontal="right" vertical="center" wrapText="1"/>
    </xf>
    <xf numFmtId="0" fontId="15" fillId="6" borderId="37" xfId="0" applyFont="1" applyFill="1" applyBorder="1" applyAlignment="1">
      <alignment horizontal="right" vertical="center" wrapText="1"/>
    </xf>
    <xf numFmtId="0" fontId="15" fillId="6" borderId="23" xfId="0" applyFont="1" applyFill="1" applyBorder="1" applyAlignment="1">
      <alignment horizontal="right" vertical="center" wrapText="1"/>
    </xf>
    <xf numFmtId="0" fontId="15" fillId="6" borderId="5" xfId="0" applyFont="1" applyFill="1" applyBorder="1" applyAlignment="1">
      <alignment horizontal="right" vertical="center" wrapText="1"/>
    </xf>
    <xf numFmtId="0" fontId="15" fillId="6" borderId="2" xfId="0" applyFont="1" applyFill="1" applyBorder="1" applyAlignment="1">
      <alignment horizontal="right" vertical="center" wrapText="1"/>
    </xf>
    <xf numFmtId="0" fontId="15" fillId="6" borderId="24" xfId="0" applyFont="1" applyFill="1" applyBorder="1" applyAlignment="1">
      <alignment horizontal="right" vertical="center" wrapText="1"/>
    </xf>
    <xf numFmtId="0" fontId="15" fillId="8" borderId="4" xfId="0" applyFont="1" applyFill="1" applyBorder="1" applyAlignment="1">
      <alignment horizontal="right" vertical="center" wrapText="1"/>
    </xf>
    <xf numFmtId="0" fontId="15" fillId="8" borderId="5" xfId="0" applyFont="1" applyFill="1" applyBorder="1" applyAlignment="1">
      <alignment horizontal="right" vertical="center" wrapText="1"/>
    </xf>
    <xf numFmtId="0" fontId="15" fillId="8" borderId="2" xfId="0" applyFont="1" applyFill="1" applyBorder="1" applyAlignment="1">
      <alignment horizontal="right" vertical="center" wrapText="1"/>
    </xf>
    <xf numFmtId="0" fontId="7" fillId="0" borderId="11" xfId="0" applyFont="1" applyBorder="1" applyAlignment="1">
      <alignment horizontal="center"/>
    </xf>
    <xf numFmtId="0" fontId="17" fillId="3" borderId="34" xfId="0" applyFont="1" applyFill="1" applyBorder="1" applyAlignment="1">
      <alignment horizontal="left" vertical="center" wrapText="1"/>
    </xf>
    <xf numFmtId="0" fontId="17" fillId="3" borderId="35" xfId="0" applyFont="1" applyFill="1" applyBorder="1" applyAlignment="1">
      <alignment horizontal="left" vertical="center" wrapText="1"/>
    </xf>
    <xf numFmtId="0" fontId="17" fillId="3" borderId="36" xfId="0" applyFont="1" applyFill="1" applyBorder="1" applyAlignment="1">
      <alignment horizontal="left" vertical="center" wrapText="1"/>
    </xf>
    <xf numFmtId="0" fontId="15" fillId="8" borderId="34" xfId="0" applyFont="1" applyFill="1" applyBorder="1" applyAlignment="1">
      <alignment horizontal="right" vertical="center" wrapText="1"/>
    </xf>
    <xf numFmtId="0" fontId="15" fillId="8" borderId="35" xfId="0" applyFont="1" applyFill="1" applyBorder="1" applyAlignment="1">
      <alignment horizontal="right" vertical="center" wrapText="1"/>
    </xf>
    <xf numFmtId="0" fontId="15" fillId="8" borderId="36" xfId="0" applyFont="1" applyFill="1" applyBorder="1" applyAlignment="1">
      <alignment horizontal="right" vertical="center" wrapText="1"/>
    </xf>
    <xf numFmtId="0" fontId="15" fillId="0" borderId="4" xfId="0" applyFont="1" applyBorder="1" applyAlignment="1">
      <alignment horizontal="center"/>
    </xf>
    <xf numFmtId="0" fontId="15" fillId="0" borderId="5" xfId="0" applyFont="1" applyBorder="1" applyAlignment="1">
      <alignment horizontal="center"/>
    </xf>
    <xf numFmtId="0" fontId="15" fillId="0" borderId="2" xfId="0" applyFont="1" applyBorder="1" applyAlignment="1">
      <alignment horizontal="center"/>
    </xf>
    <xf numFmtId="0" fontId="3" fillId="8" borderId="13" xfId="0" applyFont="1" applyFill="1" applyBorder="1" applyAlignment="1">
      <alignment horizontal="right" vertical="center" wrapText="1"/>
    </xf>
    <xf numFmtId="0" fontId="3" fillId="4"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3" fillId="7" borderId="11" xfId="0" applyFont="1" applyFill="1" applyBorder="1" applyAlignment="1">
      <alignment horizontal="right" vertical="center" wrapText="1"/>
    </xf>
    <xf numFmtId="0" fontId="3" fillId="7" borderId="12" xfId="0" applyFont="1" applyFill="1" applyBorder="1" applyAlignment="1">
      <alignment horizontal="right" vertical="center" wrapText="1"/>
    </xf>
    <xf numFmtId="0" fontId="3" fillId="6" borderId="11" xfId="0" applyFont="1" applyFill="1" applyBorder="1" applyAlignment="1">
      <alignment horizontal="right" vertical="center" wrapText="1"/>
    </xf>
    <xf numFmtId="0" fontId="3" fillId="6" borderId="12" xfId="0" applyFont="1" applyFill="1" applyBorder="1" applyAlignment="1">
      <alignment horizontal="right" vertical="center" wrapText="1"/>
    </xf>
    <xf numFmtId="0" fontId="3" fillId="4" borderId="19"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7"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6" borderId="27" xfId="0" applyFont="1" applyFill="1" applyBorder="1" applyAlignment="1">
      <alignment horizontal="right" vertical="center" wrapText="1"/>
    </xf>
    <xf numFmtId="0" fontId="3" fillId="6" borderId="15" xfId="0" applyFont="1" applyFill="1" applyBorder="1" applyAlignment="1">
      <alignment horizontal="right" vertical="center" wrapText="1"/>
    </xf>
    <xf numFmtId="0" fontId="3" fillId="7" borderId="14" xfId="0" applyFont="1" applyFill="1" applyBorder="1" applyAlignment="1">
      <alignment horizontal="right" vertical="center" wrapText="1"/>
    </xf>
    <xf numFmtId="0" fontId="3" fillId="7" borderId="15" xfId="0" applyFont="1" applyFill="1" applyBorder="1" applyAlignment="1">
      <alignment horizontal="right" vertical="center" wrapText="1"/>
    </xf>
    <xf numFmtId="0" fontId="3" fillId="7" borderId="16" xfId="0" applyFont="1" applyFill="1" applyBorder="1" applyAlignment="1">
      <alignment horizontal="right" vertical="center" wrapText="1"/>
    </xf>
    <xf numFmtId="0" fontId="5" fillId="3" borderId="13" xfId="0" applyFont="1" applyFill="1" applyBorder="1" applyAlignment="1">
      <alignment horizontal="left" vertical="center" wrapText="1"/>
    </xf>
  </cellXfs>
  <cellStyles count="6">
    <cellStyle name="Moneda" xfId="1" builtinId="4"/>
    <cellStyle name="Moneda 2" xfId="2" xr:uid="{00000000-0005-0000-0000-000001000000}"/>
    <cellStyle name="Moneda 3" xfId="3" xr:uid="{00000000-0005-0000-0000-000002000000}"/>
    <cellStyle name="Moneda 4" xfId="4" xr:uid="{00000000-0005-0000-0000-000003000000}"/>
    <cellStyle name="Normal" xfId="0" builtinId="0"/>
    <cellStyle name="Porcentaje" xfId="5" builtinId="5"/>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arta Isabel Gomez" id="{46522B6E-AD6B-4876-B996-A599C2C5EF51}" userId="S::migomez@unicef.org::dfd27f15-3f0d-4ac3-9106-b839592368e2" providerId="AD"/>
  <person displayName="Marta Navarro Montes" id="{6559AA41-CA76-4575-9F34-CA73C9578B62}" userId="S::mnmontes@unicef.org::e20a7b6e-19e7-46a1-a943-6565dc0c12c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8" dT="2022-08-30T10:48:52.93" personId="{46522B6E-AD6B-4876-B996-A599C2C5EF51}" id="{0A3BD328-091B-4770-830F-6648D2CDE0B0}">
    <text>Corregir porque han calculado x 8 meses y son 7.</text>
  </threadedComment>
  <threadedComment ref="B49" dT="2022-09-29T20:36:46.08" personId="{6559AA41-CA76-4575-9F34-CA73C9578B62}" id="{CD6AB5D6-D9EB-4925-99D0-5382B0CCC397}">
    <text>Está correcto. UNICEF pagará el 15% del salario mensual, que corresponde a $150, que hace un total de $450 al mes</text>
  </threadedComment>
  <threadedComment ref="B50" dT="2022-09-29T20:38:33.78" personId="{6559AA41-CA76-4575-9F34-CA73C9578B62}" id="{83A2D966-D60B-4388-B72F-A35F3164657B}">
    <text>Coordinación de Gestión y Desarrollo Cecilia Zepeda. Dedicación del 20% de su tiempo al proyecto =$300 por mes. (10% FUSALMO y 10% UNICEF)</text>
  </threadedComment>
  <threadedComment ref="B52" dT="2022-09-29T20:40:56.10" personId="{6559AA41-CA76-4575-9F34-CA73C9578B62}" id="{FC3DEBE5-FD65-447F-BB4D-B1AD6F3A5AB9}">
    <text>Técnico en monitoreo Karla Mercado Hernández. Dedicación del 30% de su tiempo al proyecto: $200 al mes. (15% FUSALMO y 15% UNICEF)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
  <sheetViews>
    <sheetView zoomScale="110" zoomScaleNormal="110" workbookViewId="0">
      <pane ySplit="6" topLeftCell="A91" activePane="bottomLeft" state="frozen"/>
      <selection pane="bottomLeft" activeCell="F96" sqref="F96"/>
    </sheetView>
  </sheetViews>
  <sheetFormatPr defaultColWidth="9.140625" defaultRowHeight="13.9"/>
  <cols>
    <col min="1" max="1" width="17.5703125" style="2" customWidth="1"/>
    <col min="2" max="2" width="43" style="4" customWidth="1"/>
    <col min="3" max="3" width="19.42578125" style="5" customWidth="1"/>
    <col min="4" max="4" width="11.85546875" style="5" customWidth="1"/>
    <col min="5" max="5" width="16.7109375" style="6" customWidth="1"/>
    <col min="6" max="6" width="21.7109375" style="6" customWidth="1"/>
    <col min="7" max="7" width="18.42578125" style="6" customWidth="1"/>
    <col min="8" max="8" width="16.28515625" style="2" customWidth="1"/>
    <col min="9" max="9" width="16.7109375" style="6" customWidth="1"/>
    <col min="10" max="10" width="14.7109375" style="6" customWidth="1"/>
    <col min="11" max="13" width="13" style="6" customWidth="1"/>
    <col min="14" max="14" width="24" style="7" customWidth="1"/>
    <col min="15" max="15" width="101.7109375" style="6" customWidth="1"/>
    <col min="16" max="16384" width="9.140625" style="2"/>
  </cols>
  <sheetData>
    <row r="1" spans="1:15">
      <c r="A1" s="387" t="s">
        <v>0</v>
      </c>
      <c r="B1" s="387"/>
      <c r="C1" s="387"/>
      <c r="D1" s="387"/>
      <c r="E1" s="387"/>
      <c r="F1" s="387"/>
      <c r="G1" s="387"/>
      <c r="H1" s="387"/>
      <c r="I1" s="387"/>
      <c r="J1" s="387"/>
      <c r="K1" s="387"/>
      <c r="L1" s="387"/>
      <c r="M1" s="387"/>
      <c r="N1" s="387"/>
      <c r="O1" s="1"/>
    </row>
    <row r="2" spans="1:15">
      <c r="A2" s="3" t="s">
        <v>1</v>
      </c>
      <c r="G2" s="37"/>
      <c r="H2" s="388" t="s">
        <v>2</v>
      </c>
      <c r="I2" s="388"/>
      <c r="J2" s="388"/>
      <c r="K2" s="388"/>
      <c r="L2" s="388"/>
      <c r="M2" s="388"/>
      <c r="N2" s="388"/>
    </row>
    <row r="3" spans="1:15">
      <c r="A3" s="3" t="s">
        <v>3</v>
      </c>
      <c r="F3" s="37"/>
    </row>
    <row r="4" spans="1:15">
      <c r="A4" s="3" t="s">
        <v>4</v>
      </c>
      <c r="F4" s="37" t="e">
        <f>F95+G95</f>
        <v>#REF!</v>
      </c>
      <c r="G4" s="37"/>
    </row>
    <row r="5" spans="1:15" ht="14.45" thickBot="1">
      <c r="F5" s="37"/>
    </row>
    <row r="6" spans="1:15" s="142" customFormat="1" ht="42" thickBot="1">
      <c r="A6" s="138" t="s">
        <v>5</v>
      </c>
      <c r="B6" s="50" t="s">
        <v>6</v>
      </c>
      <c r="C6" s="50" t="s">
        <v>7</v>
      </c>
      <c r="D6" s="50" t="s">
        <v>8</v>
      </c>
      <c r="E6" s="50" t="s">
        <v>9</v>
      </c>
      <c r="F6" s="50" t="s">
        <v>10</v>
      </c>
      <c r="G6" s="139" t="s">
        <v>11</v>
      </c>
      <c r="H6" s="140" t="s">
        <v>12</v>
      </c>
      <c r="I6" s="138" t="s">
        <v>13</v>
      </c>
      <c r="J6" s="138" t="s">
        <v>14</v>
      </c>
      <c r="K6" s="50" t="s">
        <v>15</v>
      </c>
      <c r="L6" s="50" t="s">
        <v>16</v>
      </c>
      <c r="M6" s="50" t="s">
        <v>17</v>
      </c>
      <c r="N6" s="141" t="s">
        <v>18</v>
      </c>
      <c r="O6" s="151" t="s">
        <v>19</v>
      </c>
    </row>
    <row r="7" spans="1:15" ht="39.75" customHeight="1" thickBot="1">
      <c r="A7" s="53" t="s">
        <v>20</v>
      </c>
      <c r="B7" s="368" t="s">
        <v>21</v>
      </c>
      <c r="C7" s="369"/>
      <c r="D7" s="369"/>
      <c r="E7" s="369"/>
      <c r="F7" s="369"/>
      <c r="G7" s="369"/>
      <c r="H7" s="369"/>
      <c r="I7" s="369"/>
      <c r="J7" s="369"/>
      <c r="K7" s="369"/>
      <c r="L7" s="369"/>
      <c r="M7" s="369"/>
      <c r="N7" s="369"/>
      <c r="O7" s="152"/>
    </row>
    <row r="8" spans="1:15" ht="54" customHeight="1" thickBot="1">
      <c r="A8" s="30" t="s">
        <v>22</v>
      </c>
      <c r="B8" s="356" t="s">
        <v>23</v>
      </c>
      <c r="C8" s="357"/>
      <c r="D8" s="357"/>
      <c r="E8" s="357"/>
      <c r="F8" s="357"/>
      <c r="G8" s="357"/>
      <c r="H8" s="357"/>
      <c r="I8" s="357"/>
      <c r="J8" s="357"/>
      <c r="K8" s="357"/>
      <c r="L8" s="357"/>
      <c r="M8" s="357"/>
      <c r="N8" s="357"/>
      <c r="O8" s="152"/>
    </row>
    <row r="9" spans="1:15" ht="28.15" thickBot="1">
      <c r="A9" s="54" t="s">
        <v>24</v>
      </c>
      <c r="B9" s="55" t="s">
        <v>25</v>
      </c>
      <c r="C9" s="157" t="s">
        <v>26</v>
      </c>
      <c r="D9" s="56">
        <f>40*10</f>
        <v>400</v>
      </c>
      <c r="E9" s="57">
        <v>2</v>
      </c>
      <c r="F9" s="58">
        <f t="shared" ref="F9:F15" si="0">E9*D9</f>
        <v>800</v>
      </c>
      <c r="G9" s="59"/>
      <c r="H9" s="106">
        <f t="shared" ref="H9:H11" si="1">F9</f>
        <v>800</v>
      </c>
      <c r="I9" s="57"/>
      <c r="J9" s="10"/>
      <c r="K9" s="10"/>
      <c r="L9" s="10"/>
      <c r="M9" s="158"/>
      <c r="N9" s="143">
        <f t="shared" ref="N9:N15" si="2">SUM(H9:M9)</f>
        <v>800</v>
      </c>
      <c r="O9" s="152"/>
    </row>
    <row r="10" spans="1:15" ht="14.45" thickBot="1">
      <c r="A10" s="54" t="s">
        <v>27</v>
      </c>
      <c r="B10" s="55" t="s">
        <v>28</v>
      </c>
      <c r="C10" s="157" t="s">
        <v>26</v>
      </c>
      <c r="D10" s="56">
        <f>10*40</f>
        <v>400</v>
      </c>
      <c r="E10" s="57">
        <v>0.25</v>
      </c>
      <c r="F10" s="58">
        <f t="shared" si="0"/>
        <v>100</v>
      </c>
      <c r="G10" s="59"/>
      <c r="H10" s="106">
        <f t="shared" si="1"/>
        <v>100</v>
      </c>
      <c r="I10" s="57"/>
      <c r="J10" s="10"/>
      <c r="K10" s="10"/>
      <c r="L10" s="10"/>
      <c r="M10" s="158"/>
      <c r="N10" s="143">
        <f t="shared" si="2"/>
        <v>100</v>
      </c>
      <c r="O10" s="152"/>
    </row>
    <row r="11" spans="1:15" ht="14.45" thickBot="1">
      <c r="A11" s="54" t="s">
        <v>29</v>
      </c>
      <c r="B11" s="55" t="s">
        <v>30</v>
      </c>
      <c r="C11" s="157" t="s">
        <v>26</v>
      </c>
      <c r="D11" s="56">
        <f>30*40</f>
        <v>1200</v>
      </c>
      <c r="E11" s="57">
        <v>0.15</v>
      </c>
      <c r="F11" s="58">
        <f t="shared" si="0"/>
        <v>180</v>
      </c>
      <c r="G11" s="59"/>
      <c r="H11" s="106">
        <f t="shared" si="1"/>
        <v>180</v>
      </c>
      <c r="I11" s="57"/>
      <c r="J11" s="10"/>
      <c r="K11" s="10"/>
      <c r="L11" s="10"/>
      <c r="M11" s="158"/>
      <c r="N11" s="143">
        <f t="shared" si="2"/>
        <v>180</v>
      </c>
      <c r="O11" s="152"/>
    </row>
    <row r="12" spans="1:15" ht="28.5" customHeight="1" thickBot="1">
      <c r="A12" s="54" t="s">
        <v>31</v>
      </c>
      <c r="B12" s="159" t="s">
        <v>32</v>
      </c>
      <c r="C12" s="157" t="s">
        <v>33</v>
      </c>
      <c r="D12" s="56">
        <f>10*12</f>
        <v>120</v>
      </c>
      <c r="E12" s="57">
        <v>0.8</v>
      </c>
      <c r="F12" s="58">
        <f t="shared" si="0"/>
        <v>96</v>
      </c>
      <c r="G12" s="57"/>
      <c r="H12" s="106">
        <f>F12</f>
        <v>96</v>
      </c>
      <c r="I12" s="57"/>
      <c r="J12" s="57"/>
      <c r="K12" s="57"/>
      <c r="L12" s="57"/>
      <c r="M12" s="57"/>
      <c r="N12" s="143">
        <f t="shared" si="2"/>
        <v>96</v>
      </c>
      <c r="O12" s="152"/>
    </row>
    <row r="13" spans="1:15" ht="14.45" thickBot="1">
      <c r="A13" s="54" t="s">
        <v>34</v>
      </c>
      <c r="B13" s="159" t="s">
        <v>35</v>
      </c>
      <c r="C13" s="157" t="s">
        <v>36</v>
      </c>
      <c r="D13" s="56">
        <v>40</v>
      </c>
      <c r="E13" s="57">
        <v>0.5</v>
      </c>
      <c r="F13" s="58">
        <f t="shared" si="0"/>
        <v>20</v>
      </c>
      <c r="G13" s="57"/>
      <c r="H13" s="106">
        <f>F13</f>
        <v>20</v>
      </c>
      <c r="I13" s="57"/>
      <c r="J13" s="57"/>
      <c r="K13" s="57"/>
      <c r="L13" s="57"/>
      <c r="M13" s="57"/>
      <c r="N13" s="143">
        <f t="shared" si="2"/>
        <v>20</v>
      </c>
      <c r="O13" s="152"/>
    </row>
    <row r="14" spans="1:15" ht="14.45" thickBot="1">
      <c r="A14" s="54" t="s">
        <v>37</v>
      </c>
      <c r="B14" s="159" t="s">
        <v>38</v>
      </c>
      <c r="C14" s="157" t="s">
        <v>33</v>
      </c>
      <c r="D14" s="56">
        <v>40</v>
      </c>
      <c r="E14" s="57">
        <v>0.9</v>
      </c>
      <c r="F14" s="58">
        <f t="shared" si="0"/>
        <v>36</v>
      </c>
      <c r="G14" s="57"/>
      <c r="H14" s="106">
        <f>F14</f>
        <v>36</v>
      </c>
      <c r="I14" s="57"/>
      <c r="J14" s="57"/>
      <c r="K14" s="57"/>
      <c r="L14" s="57"/>
      <c r="M14" s="57"/>
      <c r="N14" s="143">
        <f t="shared" si="2"/>
        <v>36</v>
      </c>
      <c r="O14" s="152"/>
    </row>
    <row r="15" spans="1:15" ht="14.45" thickBot="1">
      <c r="A15" s="54" t="s">
        <v>39</v>
      </c>
      <c r="B15" s="165" t="s">
        <v>40</v>
      </c>
      <c r="C15" s="157" t="s">
        <v>41</v>
      </c>
      <c r="D15" s="56">
        <v>40</v>
      </c>
      <c r="E15" s="57">
        <v>12.75</v>
      </c>
      <c r="F15" s="58">
        <f t="shared" si="0"/>
        <v>510</v>
      </c>
      <c r="G15" s="57"/>
      <c r="H15" s="106">
        <f>F15</f>
        <v>510</v>
      </c>
      <c r="I15" s="57"/>
      <c r="J15" s="57"/>
      <c r="K15" s="57"/>
      <c r="L15" s="57"/>
      <c r="M15" s="57"/>
      <c r="N15" s="143">
        <f t="shared" si="2"/>
        <v>510</v>
      </c>
      <c r="O15" s="152"/>
    </row>
    <row r="16" spans="1:15" ht="14.45" thickBot="1">
      <c r="A16" s="68"/>
      <c r="B16" s="386" t="s">
        <v>42</v>
      </c>
      <c r="C16" s="363"/>
      <c r="D16" s="363"/>
      <c r="E16" s="364"/>
      <c r="F16" s="31">
        <f>SUM(F9:F15)</f>
        <v>1742</v>
      </c>
      <c r="G16" s="31">
        <f>SUM(G9:G15)</f>
        <v>0</v>
      </c>
      <c r="H16" s="109">
        <f>SUM(H9:H15)</f>
        <v>1742</v>
      </c>
      <c r="I16" s="109">
        <f>SUM(I9:I14)</f>
        <v>0</v>
      </c>
      <c r="J16" s="109">
        <f>SUM(J9:J14)</f>
        <v>0</v>
      </c>
      <c r="K16" s="109">
        <f>SUM(K9:K14)</f>
        <v>0</v>
      </c>
      <c r="L16" s="109">
        <f>SUM(L9:L14)</f>
        <v>0</v>
      </c>
      <c r="M16" s="109">
        <f>SUM(M9:M14)</f>
        <v>0</v>
      </c>
      <c r="N16" s="144">
        <f>SUM(H16:M16)</f>
        <v>1742</v>
      </c>
      <c r="O16" s="152"/>
    </row>
    <row r="17" spans="1:15" ht="58.15" customHeight="1" thickBot="1">
      <c r="A17" s="30" t="s">
        <v>43</v>
      </c>
      <c r="B17" s="356" t="s">
        <v>44</v>
      </c>
      <c r="C17" s="357"/>
      <c r="D17" s="357"/>
      <c r="E17" s="357"/>
      <c r="F17" s="357"/>
      <c r="G17" s="357"/>
      <c r="H17" s="357"/>
      <c r="I17" s="357"/>
      <c r="J17" s="357"/>
      <c r="K17" s="357"/>
      <c r="L17" s="357"/>
      <c r="M17" s="357"/>
      <c r="N17" s="357"/>
      <c r="O17" s="182" t="s">
        <v>45</v>
      </c>
    </row>
    <row r="18" spans="1:15" ht="28.15" thickBot="1">
      <c r="A18" s="54" t="s">
        <v>46</v>
      </c>
      <c r="B18" s="55" t="s">
        <v>47</v>
      </c>
      <c r="C18" s="162" t="s">
        <v>48</v>
      </c>
      <c r="D18" s="56">
        <v>1</v>
      </c>
      <c r="E18" s="57">
        <v>800</v>
      </c>
      <c r="F18" s="58">
        <f>E18*D18</f>
        <v>800</v>
      </c>
      <c r="G18" s="59"/>
      <c r="H18" s="106">
        <f>F18</f>
        <v>800</v>
      </c>
      <c r="I18" s="57"/>
      <c r="J18" s="10"/>
      <c r="K18" s="10"/>
      <c r="L18" s="10"/>
      <c r="M18" s="158"/>
      <c r="N18" s="143">
        <f t="shared" ref="N18:N22" si="3">SUM(H18:M18)</f>
        <v>800</v>
      </c>
      <c r="O18" s="152"/>
    </row>
    <row r="19" spans="1:15" ht="28.15" thickBot="1">
      <c r="A19" s="54" t="s">
        <v>49</v>
      </c>
      <c r="B19" s="184" t="s">
        <v>50</v>
      </c>
      <c r="C19" s="157" t="s">
        <v>48</v>
      </c>
      <c r="D19" s="56">
        <v>1</v>
      </c>
      <c r="E19" s="57">
        <v>800</v>
      </c>
      <c r="F19" s="58">
        <f t="shared" ref="F19:F22" si="4">E19*D19</f>
        <v>800</v>
      </c>
      <c r="G19" s="59"/>
      <c r="H19" s="106">
        <f t="shared" ref="H19:H22" si="5">F19</f>
        <v>800</v>
      </c>
      <c r="I19" s="57"/>
      <c r="J19" s="10"/>
      <c r="K19" s="10"/>
      <c r="L19" s="10"/>
      <c r="M19" s="158"/>
      <c r="N19" s="143">
        <f t="shared" si="3"/>
        <v>800</v>
      </c>
      <c r="O19" s="152"/>
    </row>
    <row r="20" spans="1:15" ht="28.15" thickBot="1">
      <c r="A20" s="54" t="s">
        <v>51</v>
      </c>
      <c r="B20" s="184" t="s">
        <v>52</v>
      </c>
      <c r="C20" s="157" t="s">
        <v>48</v>
      </c>
      <c r="D20" s="56">
        <v>1</v>
      </c>
      <c r="E20" s="57">
        <v>800</v>
      </c>
      <c r="F20" s="58">
        <f t="shared" si="4"/>
        <v>800</v>
      </c>
      <c r="G20" s="59"/>
      <c r="H20" s="106">
        <f t="shared" si="5"/>
        <v>800</v>
      </c>
      <c r="I20" s="57"/>
      <c r="J20" s="10"/>
      <c r="K20" s="10"/>
      <c r="L20" s="10"/>
      <c r="M20" s="158"/>
      <c r="N20" s="143">
        <f t="shared" si="3"/>
        <v>800</v>
      </c>
      <c r="O20" s="152"/>
    </row>
    <row r="21" spans="1:15" ht="28.15" thickBot="1">
      <c r="A21" s="54" t="s">
        <v>53</v>
      </c>
      <c r="B21" s="55" t="s">
        <v>54</v>
      </c>
      <c r="C21" s="157" t="s">
        <v>48</v>
      </c>
      <c r="D21" s="56">
        <v>2</v>
      </c>
      <c r="E21" s="57">
        <v>800</v>
      </c>
      <c r="F21" s="58">
        <f t="shared" si="4"/>
        <v>1600</v>
      </c>
      <c r="G21" s="59"/>
      <c r="H21" s="106">
        <f t="shared" si="5"/>
        <v>1600</v>
      </c>
      <c r="I21" s="57"/>
      <c r="J21" s="10"/>
      <c r="K21" s="10"/>
      <c r="L21" s="10"/>
      <c r="M21" s="158"/>
      <c r="N21" s="143">
        <f t="shared" si="3"/>
        <v>1600</v>
      </c>
      <c r="O21" s="152"/>
    </row>
    <row r="22" spans="1:15" ht="28.15" thickBot="1">
      <c r="A22" s="54" t="s">
        <v>55</v>
      </c>
      <c r="B22" s="55" t="s">
        <v>56</v>
      </c>
      <c r="C22" s="157" t="s">
        <v>48</v>
      </c>
      <c r="D22" s="56">
        <v>1</v>
      </c>
      <c r="E22" s="57">
        <v>800</v>
      </c>
      <c r="F22" s="58">
        <f t="shared" si="4"/>
        <v>800</v>
      </c>
      <c r="G22" s="59"/>
      <c r="H22" s="106">
        <f t="shared" si="5"/>
        <v>800</v>
      </c>
      <c r="I22" s="57"/>
      <c r="J22" s="10"/>
      <c r="K22" s="10"/>
      <c r="L22" s="10"/>
      <c r="M22" s="158"/>
      <c r="N22" s="143">
        <f t="shared" si="3"/>
        <v>800</v>
      </c>
      <c r="O22" s="152"/>
    </row>
    <row r="23" spans="1:15" ht="14.45" thickBot="1">
      <c r="A23" s="68"/>
      <c r="B23" s="386" t="s">
        <v>57</v>
      </c>
      <c r="C23" s="363"/>
      <c r="D23" s="363"/>
      <c r="E23" s="364"/>
      <c r="F23" s="31">
        <f t="shared" ref="F23:M23" si="6">SUM(F18:F22)</f>
        <v>4800</v>
      </c>
      <c r="G23" s="31">
        <f t="shared" si="6"/>
        <v>0</v>
      </c>
      <c r="H23" s="109">
        <f t="shared" si="6"/>
        <v>4800</v>
      </c>
      <c r="I23" s="109">
        <f t="shared" si="6"/>
        <v>0</v>
      </c>
      <c r="J23" s="109">
        <f t="shared" si="6"/>
        <v>0</v>
      </c>
      <c r="K23" s="109">
        <f t="shared" si="6"/>
        <v>0</v>
      </c>
      <c r="L23" s="109">
        <f t="shared" si="6"/>
        <v>0</v>
      </c>
      <c r="M23" s="109">
        <f t="shared" si="6"/>
        <v>0</v>
      </c>
      <c r="N23" s="144">
        <f>SUM(H23:M23)</f>
        <v>4800</v>
      </c>
      <c r="O23" s="152"/>
    </row>
    <row r="24" spans="1:15" ht="60" customHeight="1" thickBot="1">
      <c r="A24" s="30" t="s">
        <v>58</v>
      </c>
      <c r="B24" s="356" t="s">
        <v>59</v>
      </c>
      <c r="C24" s="357"/>
      <c r="D24" s="357"/>
      <c r="E24" s="357"/>
      <c r="F24" s="357"/>
      <c r="G24" s="357"/>
      <c r="H24" s="357"/>
      <c r="I24" s="357"/>
      <c r="J24" s="357"/>
      <c r="K24" s="357"/>
      <c r="L24" s="357"/>
      <c r="M24" s="357"/>
      <c r="N24" s="357"/>
      <c r="O24" s="152"/>
    </row>
    <row r="25" spans="1:15" ht="14.45" thickBot="1">
      <c r="A25" s="54" t="s">
        <v>60</v>
      </c>
      <c r="B25" s="55" t="s">
        <v>61</v>
      </c>
      <c r="C25" s="157" t="s">
        <v>26</v>
      </c>
      <c r="D25" s="56">
        <f>10*40</f>
        <v>400</v>
      </c>
      <c r="E25" s="57">
        <v>0.2</v>
      </c>
      <c r="F25" s="58">
        <f t="shared" ref="F25:F29" si="7">E25*D25</f>
        <v>80</v>
      </c>
      <c r="G25" s="59"/>
      <c r="H25" s="106">
        <f>F25</f>
        <v>80</v>
      </c>
      <c r="I25" s="10"/>
      <c r="J25" s="10"/>
      <c r="K25" s="10"/>
      <c r="L25" s="10"/>
      <c r="M25" s="158"/>
      <c r="N25" s="143">
        <f t="shared" ref="N25:N29" si="8">SUM(H25:M25)</f>
        <v>80</v>
      </c>
      <c r="O25" s="152"/>
    </row>
    <row r="26" spans="1:15" ht="14.45" thickBot="1">
      <c r="A26" s="54" t="s">
        <v>62</v>
      </c>
      <c r="B26" s="55" t="s">
        <v>63</v>
      </c>
      <c r="C26" s="157" t="s">
        <v>26</v>
      </c>
      <c r="D26" s="56">
        <f>40*2</f>
        <v>80</v>
      </c>
      <c r="E26" s="57">
        <v>1.4</v>
      </c>
      <c r="F26" s="58">
        <f t="shared" si="7"/>
        <v>112</v>
      </c>
      <c r="G26" s="59"/>
      <c r="H26" s="106">
        <f t="shared" ref="H26:H29" si="9">F26</f>
        <v>112</v>
      </c>
      <c r="I26" s="57"/>
      <c r="J26" s="10"/>
      <c r="K26" s="10"/>
      <c r="L26" s="10"/>
      <c r="M26" s="158"/>
      <c r="N26" s="143">
        <f t="shared" si="8"/>
        <v>112</v>
      </c>
      <c r="O26" s="152"/>
    </row>
    <row r="27" spans="1:15" ht="14.45" thickBot="1">
      <c r="A27" s="54" t="s">
        <v>64</v>
      </c>
      <c r="B27" s="55" t="s">
        <v>65</v>
      </c>
      <c r="C27" s="157" t="s">
        <v>26</v>
      </c>
      <c r="D27" s="56">
        <v>120</v>
      </c>
      <c r="E27" s="57">
        <v>0.8</v>
      </c>
      <c r="F27" s="58">
        <f t="shared" si="7"/>
        <v>96</v>
      </c>
      <c r="G27" s="10"/>
      <c r="H27" s="106">
        <f t="shared" si="9"/>
        <v>96</v>
      </c>
      <c r="I27" s="57"/>
      <c r="J27" s="10"/>
      <c r="K27" s="10"/>
      <c r="L27" s="10"/>
      <c r="M27" s="13"/>
      <c r="N27" s="143">
        <f t="shared" si="8"/>
        <v>96</v>
      </c>
      <c r="O27" s="152"/>
    </row>
    <row r="28" spans="1:15" ht="14.45" thickBot="1">
      <c r="A28" s="54" t="s">
        <v>66</v>
      </c>
      <c r="B28" s="55" t="s">
        <v>67</v>
      </c>
      <c r="C28" s="157" t="s">
        <v>68</v>
      </c>
      <c r="D28" s="56">
        <v>34</v>
      </c>
      <c r="E28" s="57">
        <v>2.9</v>
      </c>
      <c r="F28" s="58">
        <f t="shared" si="7"/>
        <v>98.6</v>
      </c>
      <c r="G28" s="59"/>
      <c r="H28" s="106">
        <f t="shared" si="9"/>
        <v>98.6</v>
      </c>
      <c r="I28" s="57"/>
      <c r="J28" s="10"/>
      <c r="K28" s="10"/>
      <c r="L28" s="10"/>
      <c r="M28" s="158"/>
      <c r="N28" s="143">
        <f t="shared" si="8"/>
        <v>98.6</v>
      </c>
      <c r="O28" s="152"/>
    </row>
    <row r="29" spans="1:15" ht="14.45" thickBot="1">
      <c r="A29" s="54" t="s">
        <v>69</v>
      </c>
      <c r="B29" s="55" t="s">
        <v>70</v>
      </c>
      <c r="C29" s="157" t="s">
        <v>26</v>
      </c>
      <c r="D29" s="56">
        <v>400</v>
      </c>
      <c r="E29" s="57">
        <v>1</v>
      </c>
      <c r="F29" s="58">
        <f t="shared" si="7"/>
        <v>400</v>
      </c>
      <c r="G29" s="59"/>
      <c r="H29" s="106">
        <f t="shared" si="9"/>
        <v>400</v>
      </c>
      <c r="I29" s="57"/>
      <c r="J29" s="10"/>
      <c r="K29" s="10"/>
      <c r="L29" s="10"/>
      <c r="M29" s="158"/>
      <c r="N29" s="143">
        <f t="shared" si="8"/>
        <v>400</v>
      </c>
      <c r="O29" s="152"/>
    </row>
    <row r="30" spans="1:15" ht="14.45" thickBot="1">
      <c r="A30" s="68"/>
      <c r="B30" s="386" t="s">
        <v>71</v>
      </c>
      <c r="C30" s="363"/>
      <c r="D30" s="363"/>
      <c r="E30" s="364"/>
      <c r="F30" s="31">
        <f>SUM(F25:F29)</f>
        <v>786.6</v>
      </c>
      <c r="G30" s="31">
        <f t="shared" ref="G30:M30" si="10">SUM(G25:G29)</f>
        <v>0</v>
      </c>
      <c r="H30" s="109">
        <f t="shared" si="10"/>
        <v>786.6</v>
      </c>
      <c r="I30" s="109">
        <f t="shared" si="10"/>
        <v>0</v>
      </c>
      <c r="J30" s="109">
        <f t="shared" si="10"/>
        <v>0</v>
      </c>
      <c r="K30" s="109">
        <f t="shared" si="10"/>
        <v>0</v>
      </c>
      <c r="L30" s="109">
        <f t="shared" si="10"/>
        <v>0</v>
      </c>
      <c r="M30" s="109">
        <f t="shared" si="10"/>
        <v>0</v>
      </c>
      <c r="N30" s="144">
        <f>SUM(H30:M30)</f>
        <v>786.6</v>
      </c>
      <c r="O30" s="152"/>
    </row>
    <row r="31" spans="1:15" ht="33" customHeight="1" thickBot="1">
      <c r="A31" s="30" t="s">
        <v>72</v>
      </c>
      <c r="B31" s="356" t="s">
        <v>73</v>
      </c>
      <c r="C31" s="357"/>
      <c r="D31" s="357"/>
      <c r="E31" s="357"/>
      <c r="F31" s="357"/>
      <c r="G31" s="357"/>
      <c r="H31" s="357"/>
      <c r="I31" s="357"/>
      <c r="J31" s="357"/>
      <c r="K31" s="357"/>
      <c r="L31" s="357"/>
      <c r="M31" s="357"/>
      <c r="N31" s="357"/>
      <c r="O31" s="152"/>
    </row>
    <row r="32" spans="1:15" ht="14.45" thickBot="1">
      <c r="A32" s="54" t="s">
        <v>74</v>
      </c>
      <c r="B32" s="64" t="s">
        <v>75</v>
      </c>
      <c r="C32" s="157" t="s">
        <v>76</v>
      </c>
      <c r="D32" s="56">
        <f>40*4</f>
        <v>160</v>
      </c>
      <c r="E32" s="163">
        <v>10</v>
      </c>
      <c r="F32" s="173">
        <f>D32*E32</f>
        <v>1600</v>
      </c>
      <c r="G32" s="164"/>
      <c r="H32" s="160">
        <f>F32</f>
        <v>1600</v>
      </c>
      <c r="I32" s="57"/>
      <c r="J32" s="158"/>
      <c r="K32" s="158"/>
      <c r="L32" s="158"/>
      <c r="M32" s="13"/>
      <c r="N32" s="143">
        <f t="shared" ref="N32:N34" si="11">SUM(H32:M32)</f>
        <v>1600</v>
      </c>
      <c r="O32" s="152"/>
    </row>
    <row r="33" spans="1:15" ht="14.45" thickBot="1">
      <c r="A33" s="54" t="s">
        <v>77</v>
      </c>
      <c r="B33" s="64" t="s">
        <v>78</v>
      </c>
      <c r="C33" s="157" t="s">
        <v>76</v>
      </c>
      <c r="D33" s="56">
        <f>5*40</f>
        <v>200</v>
      </c>
      <c r="E33" s="163">
        <v>0.64</v>
      </c>
      <c r="F33" s="173">
        <f>D33*E33</f>
        <v>128</v>
      </c>
      <c r="G33" s="164"/>
      <c r="H33" s="160">
        <f>F33</f>
        <v>128</v>
      </c>
      <c r="I33" s="57"/>
      <c r="J33" s="158"/>
      <c r="K33" s="158"/>
      <c r="L33" s="158"/>
      <c r="M33" s="13"/>
      <c r="N33" s="143">
        <f t="shared" si="11"/>
        <v>128</v>
      </c>
      <c r="O33" s="152"/>
    </row>
    <row r="34" spans="1:15" ht="14.45" thickBot="1">
      <c r="A34" s="54" t="s">
        <v>79</v>
      </c>
      <c r="B34" s="65" t="s">
        <v>80</v>
      </c>
      <c r="C34" s="157" t="s">
        <v>76</v>
      </c>
      <c r="D34" s="56">
        <f>5*40</f>
        <v>200</v>
      </c>
      <c r="E34" s="163">
        <v>4.9000000000000004</v>
      </c>
      <c r="F34" s="173">
        <f>D34*E34</f>
        <v>980.00000000000011</v>
      </c>
      <c r="G34" s="164"/>
      <c r="H34" s="160">
        <f>F34</f>
        <v>980.00000000000011</v>
      </c>
      <c r="I34" s="57"/>
      <c r="J34" s="158"/>
      <c r="K34" s="158"/>
      <c r="L34" s="158"/>
      <c r="M34" s="13"/>
      <c r="N34" s="143">
        <f t="shared" si="11"/>
        <v>980.00000000000011</v>
      </c>
      <c r="O34" s="152"/>
    </row>
    <row r="35" spans="1:15" ht="14.45" thickBot="1">
      <c r="A35" s="68"/>
      <c r="B35" s="362" t="s">
        <v>81</v>
      </c>
      <c r="C35" s="363"/>
      <c r="D35" s="363"/>
      <c r="E35" s="364"/>
      <c r="F35" s="31">
        <f t="shared" ref="F35:M35" si="12">SUM(F32:F34)</f>
        <v>2708</v>
      </c>
      <c r="G35" s="31">
        <f t="shared" si="12"/>
        <v>0</v>
      </c>
      <c r="H35" s="109">
        <f t="shared" si="12"/>
        <v>2708</v>
      </c>
      <c r="I35" s="109">
        <f t="shared" si="12"/>
        <v>0</v>
      </c>
      <c r="J35" s="109">
        <f t="shared" si="12"/>
        <v>0</v>
      </c>
      <c r="K35" s="109">
        <f t="shared" si="12"/>
        <v>0</v>
      </c>
      <c r="L35" s="109">
        <f t="shared" si="12"/>
        <v>0</v>
      </c>
      <c r="M35" s="109">
        <f t="shared" si="12"/>
        <v>0</v>
      </c>
      <c r="N35" s="144">
        <f>SUM(H35:M35)</f>
        <v>2708</v>
      </c>
      <c r="O35" s="152"/>
    </row>
    <row r="36" spans="1:15" ht="17.25" customHeight="1" thickBot="1">
      <c r="A36" s="30" t="s">
        <v>82</v>
      </c>
      <c r="B36" s="356" t="s">
        <v>83</v>
      </c>
      <c r="C36" s="357"/>
      <c r="D36" s="357"/>
      <c r="E36" s="357"/>
      <c r="F36" s="357">
        <f t="shared" ref="F36:M36" si="13">SUM(F32:F34)</f>
        <v>2708</v>
      </c>
      <c r="G36" s="357">
        <f t="shared" si="13"/>
        <v>0</v>
      </c>
      <c r="H36" s="357">
        <f t="shared" si="13"/>
        <v>2708</v>
      </c>
      <c r="I36" s="357">
        <f t="shared" si="13"/>
        <v>0</v>
      </c>
      <c r="J36" s="357">
        <f t="shared" si="13"/>
        <v>0</v>
      </c>
      <c r="K36" s="357">
        <f t="shared" si="13"/>
        <v>0</v>
      </c>
      <c r="L36" s="357">
        <f t="shared" si="13"/>
        <v>0</v>
      </c>
      <c r="M36" s="357">
        <f t="shared" si="13"/>
        <v>0</v>
      </c>
      <c r="N36" s="357">
        <f>SUM(H36:M36)</f>
        <v>2708</v>
      </c>
      <c r="O36" s="152"/>
    </row>
    <row r="37" spans="1:15" ht="42.75" customHeight="1" thickBot="1">
      <c r="A37" s="54" t="s">
        <v>84</v>
      </c>
      <c r="B37" s="64" t="s">
        <v>85</v>
      </c>
      <c r="C37" s="157" t="s">
        <v>86</v>
      </c>
      <c r="D37" s="56">
        <f>1*4*2*8*15</f>
        <v>960</v>
      </c>
      <c r="E37" s="57">
        <v>4</v>
      </c>
      <c r="F37" s="75">
        <f>D37*E37</f>
        <v>3840</v>
      </c>
      <c r="G37" s="59"/>
      <c r="H37" s="160"/>
      <c r="I37" s="57">
        <f>F37/2</f>
        <v>1920</v>
      </c>
      <c r="J37" s="158"/>
      <c r="K37" s="174">
        <f>F37/2</f>
        <v>1920</v>
      </c>
      <c r="L37" s="158"/>
      <c r="M37" s="13"/>
      <c r="N37" s="175">
        <f>SUM(H37:M37)</f>
        <v>3840</v>
      </c>
      <c r="O37" s="152"/>
    </row>
    <row r="38" spans="1:15" ht="13.5" customHeight="1" thickBot="1">
      <c r="A38" s="68"/>
      <c r="B38" s="386" t="s">
        <v>87</v>
      </c>
      <c r="C38" s="363"/>
      <c r="D38" s="363"/>
      <c r="E38" s="364"/>
      <c r="F38" s="31">
        <f>SUM(F37)</f>
        <v>3840</v>
      </c>
      <c r="G38" s="31">
        <f>SUM(G37)</f>
        <v>0</v>
      </c>
      <c r="H38" s="109">
        <f>SUM(H37)</f>
        <v>0</v>
      </c>
      <c r="I38" s="109">
        <f t="shared" ref="I38:M38" si="14">SUM(I37)</f>
        <v>1920</v>
      </c>
      <c r="J38" s="109">
        <f t="shared" si="14"/>
        <v>0</v>
      </c>
      <c r="K38" s="109">
        <f t="shared" si="14"/>
        <v>1920</v>
      </c>
      <c r="L38" s="109">
        <f t="shared" si="14"/>
        <v>0</v>
      </c>
      <c r="M38" s="109">
        <f t="shared" si="14"/>
        <v>0</v>
      </c>
      <c r="N38" s="144">
        <f>SUM(H38:M38)</f>
        <v>3840</v>
      </c>
      <c r="O38" s="152"/>
    </row>
    <row r="39" spans="1:15" ht="55.5" customHeight="1" thickBot="1">
      <c r="A39" s="30" t="s">
        <v>88</v>
      </c>
      <c r="B39" s="356" t="s">
        <v>89</v>
      </c>
      <c r="C39" s="357"/>
      <c r="D39" s="357"/>
      <c r="E39" s="357"/>
      <c r="F39" s="357"/>
      <c r="G39" s="357"/>
      <c r="H39" s="357"/>
      <c r="I39" s="357"/>
      <c r="J39" s="357"/>
      <c r="K39" s="357"/>
      <c r="L39" s="357"/>
      <c r="M39" s="357"/>
      <c r="N39" s="357"/>
      <c r="O39" s="152"/>
    </row>
    <row r="40" spans="1:15" ht="22.5" customHeight="1" thickBot="1">
      <c r="A40" s="54" t="s">
        <v>90</v>
      </c>
      <c r="B40" s="64" t="s">
        <v>91</v>
      </c>
      <c r="C40" s="157" t="s">
        <v>92</v>
      </c>
      <c r="D40" s="56">
        <v>30</v>
      </c>
      <c r="E40" s="57">
        <v>25</v>
      </c>
      <c r="F40" s="58">
        <f t="shared" ref="F40" si="15">D40*E40</f>
        <v>750</v>
      </c>
      <c r="G40" s="59"/>
      <c r="H40" s="160"/>
      <c r="I40" s="57">
        <f>F40</f>
        <v>750</v>
      </c>
      <c r="J40" s="158"/>
      <c r="K40" s="158"/>
      <c r="L40" s="158"/>
      <c r="M40" s="13"/>
      <c r="N40" s="143">
        <f>SUM(H40:M40)</f>
        <v>750</v>
      </c>
      <c r="O40" s="152"/>
    </row>
    <row r="41" spans="1:15" ht="38.25" customHeight="1" thickBot="1">
      <c r="A41" s="54" t="s">
        <v>93</v>
      </c>
      <c r="B41" s="64" t="s">
        <v>94</v>
      </c>
      <c r="C41" s="157" t="s">
        <v>95</v>
      </c>
      <c r="D41" s="56">
        <v>40</v>
      </c>
      <c r="E41" s="161">
        <v>200</v>
      </c>
      <c r="F41" s="58">
        <f>D41*E41</f>
        <v>8000</v>
      </c>
      <c r="G41" s="59"/>
      <c r="H41" s="160"/>
      <c r="I41" s="57">
        <f>F41</f>
        <v>8000</v>
      </c>
      <c r="J41" s="158"/>
      <c r="K41" s="158"/>
      <c r="L41" s="158"/>
      <c r="M41" s="13"/>
      <c r="N41" s="143">
        <f>SUM(H41:M41)</f>
        <v>8000</v>
      </c>
      <c r="O41" s="152"/>
    </row>
    <row r="42" spans="1:15" ht="47.25" customHeight="1" thickBot="1">
      <c r="A42" s="54" t="s">
        <v>96</v>
      </c>
      <c r="B42" s="64" t="s">
        <v>97</v>
      </c>
      <c r="C42" s="157" t="s">
        <v>86</v>
      </c>
      <c r="D42" s="56">
        <v>60</v>
      </c>
      <c r="E42" s="161">
        <v>10</v>
      </c>
      <c r="F42" s="58">
        <f>D42*E42</f>
        <v>600</v>
      </c>
      <c r="G42" s="59"/>
      <c r="H42" s="160"/>
      <c r="I42" s="57">
        <f>F42</f>
        <v>600</v>
      </c>
      <c r="J42" s="158"/>
      <c r="K42" s="158"/>
      <c r="L42" s="158"/>
      <c r="M42" s="13"/>
      <c r="N42" s="143">
        <f>SUM(H42:M42)</f>
        <v>600</v>
      </c>
      <c r="O42" s="152"/>
    </row>
    <row r="43" spans="1:15" ht="53.25" customHeight="1" thickBot="1">
      <c r="A43" s="54" t="s">
        <v>98</v>
      </c>
      <c r="B43" s="64" t="s">
        <v>99</v>
      </c>
      <c r="C43" s="157" t="s">
        <v>100</v>
      </c>
      <c r="D43" s="56">
        <f>4</f>
        <v>4</v>
      </c>
      <c r="E43" s="161">
        <v>150</v>
      </c>
      <c r="F43" s="58">
        <f>D43*E43</f>
        <v>600</v>
      </c>
      <c r="G43" s="59"/>
      <c r="H43" s="59"/>
      <c r="I43" s="57">
        <v>300</v>
      </c>
      <c r="J43" s="57">
        <v>300</v>
      </c>
      <c r="K43" s="59"/>
      <c r="L43" s="59"/>
      <c r="M43" s="13"/>
      <c r="N43" s="143">
        <f>SUM(H43:M43)</f>
        <v>600</v>
      </c>
      <c r="O43" s="152"/>
    </row>
    <row r="44" spans="1:15" ht="13.5" customHeight="1" thickBot="1">
      <c r="A44" s="68"/>
      <c r="B44" s="362" t="s">
        <v>101</v>
      </c>
      <c r="C44" s="363"/>
      <c r="D44" s="363"/>
      <c r="E44" s="364"/>
      <c r="F44" s="177">
        <f>SUM(F40:F43)</f>
        <v>9950</v>
      </c>
      <c r="G44" s="177">
        <f>SUM(G40:G41)</f>
        <v>0</v>
      </c>
      <c r="H44" s="178">
        <f t="shared" ref="H44:M44" si="16">SUM(H40:H43)</f>
        <v>0</v>
      </c>
      <c r="I44" s="178">
        <f t="shared" si="16"/>
        <v>9650</v>
      </c>
      <c r="J44" s="178">
        <f t="shared" si="16"/>
        <v>300</v>
      </c>
      <c r="K44" s="178">
        <f t="shared" si="16"/>
        <v>0</v>
      </c>
      <c r="L44" s="178">
        <f t="shared" si="16"/>
        <v>0</v>
      </c>
      <c r="M44" s="178">
        <f t="shared" si="16"/>
        <v>0</v>
      </c>
      <c r="N44" s="179">
        <f>SUM(H44:M44)</f>
        <v>9950</v>
      </c>
      <c r="O44" s="152"/>
    </row>
    <row r="45" spans="1:15" ht="35.25" customHeight="1" thickBot="1">
      <c r="A45" s="30" t="s">
        <v>102</v>
      </c>
      <c r="B45" s="356" t="s">
        <v>103</v>
      </c>
      <c r="C45" s="357"/>
      <c r="D45" s="357"/>
      <c r="E45" s="357"/>
      <c r="F45" s="357"/>
      <c r="G45" s="357"/>
      <c r="H45" s="357"/>
      <c r="I45" s="357"/>
      <c r="J45" s="357"/>
      <c r="K45" s="357"/>
      <c r="L45" s="357"/>
      <c r="M45" s="357"/>
      <c r="N45" s="357"/>
      <c r="O45" s="152"/>
    </row>
    <row r="46" spans="1:15" ht="14.45" thickBot="1">
      <c r="A46" s="54"/>
      <c r="B46" s="64"/>
      <c r="C46" s="157"/>
      <c r="D46" s="56"/>
      <c r="E46" s="57"/>
      <c r="F46" s="58"/>
      <c r="G46" s="59"/>
      <c r="H46" s="160"/>
      <c r="I46" s="183"/>
      <c r="J46" s="158"/>
      <c r="K46" s="158"/>
      <c r="L46" s="158"/>
      <c r="M46" s="13"/>
      <c r="N46" s="143">
        <f>SUM(H46:M46)</f>
        <v>0</v>
      </c>
      <c r="O46" s="152"/>
    </row>
    <row r="47" spans="1:15" ht="13.5" customHeight="1" thickBot="1">
      <c r="A47" s="68"/>
      <c r="B47" s="362" t="s">
        <v>104</v>
      </c>
      <c r="C47" s="363"/>
      <c r="D47" s="363"/>
      <c r="E47" s="364"/>
      <c r="F47" s="177">
        <f>SUM(F46:F46)</f>
        <v>0</v>
      </c>
      <c r="G47" s="177">
        <f>SUM(G44:G45)</f>
        <v>0</v>
      </c>
      <c r="H47" s="109">
        <f t="shared" ref="H47:M47" si="17">SUM(H46:H46)</f>
        <v>0</v>
      </c>
      <c r="I47" s="109">
        <f t="shared" si="17"/>
        <v>0</v>
      </c>
      <c r="J47" s="109">
        <f t="shared" si="17"/>
        <v>0</v>
      </c>
      <c r="K47" s="109">
        <f t="shared" si="17"/>
        <v>0</v>
      </c>
      <c r="L47" s="109">
        <f t="shared" si="17"/>
        <v>0</v>
      </c>
      <c r="M47" s="109">
        <f t="shared" si="17"/>
        <v>0</v>
      </c>
      <c r="N47" s="179">
        <f>SUM(H47:M47)</f>
        <v>0</v>
      </c>
      <c r="O47" s="152"/>
    </row>
    <row r="48" spans="1:15" ht="32.25" customHeight="1" thickBot="1">
      <c r="A48" s="30" t="s">
        <v>105</v>
      </c>
      <c r="B48" s="356" t="s">
        <v>106</v>
      </c>
      <c r="C48" s="357"/>
      <c r="D48" s="357"/>
      <c r="E48" s="357"/>
      <c r="F48" s="357"/>
      <c r="G48" s="357"/>
      <c r="H48" s="357"/>
      <c r="I48" s="357"/>
      <c r="J48" s="357"/>
      <c r="K48" s="357"/>
      <c r="L48" s="357"/>
      <c r="M48" s="357"/>
      <c r="N48" s="357"/>
      <c r="O48" s="152"/>
    </row>
    <row r="49" spans="1:15" ht="14.45" thickBot="1">
      <c r="A49" s="54" t="s">
        <v>107</v>
      </c>
      <c r="B49" s="64" t="s">
        <v>108</v>
      </c>
      <c r="C49" s="157" t="s">
        <v>76</v>
      </c>
      <c r="D49" s="56">
        <v>15</v>
      </c>
      <c r="E49" s="180" t="e">
        <f>#REF!</f>
        <v>#REF!</v>
      </c>
      <c r="F49" s="58" t="e">
        <f t="shared" ref="F49:F51" si="18">D49*E49</f>
        <v>#REF!</v>
      </c>
      <c r="G49" s="59"/>
      <c r="H49" s="160" t="e">
        <f>F49</f>
        <v>#REF!</v>
      </c>
      <c r="I49" s="57"/>
      <c r="J49" s="158"/>
      <c r="K49" s="158"/>
      <c r="L49" s="158"/>
      <c r="M49" s="13"/>
      <c r="N49" s="143" t="e">
        <f>SUM(H49:M49)</f>
        <v>#REF!</v>
      </c>
      <c r="O49" s="152"/>
    </row>
    <row r="50" spans="1:15" ht="14.45" thickBot="1">
      <c r="A50" s="54" t="s">
        <v>109</v>
      </c>
      <c r="B50" s="64" t="s">
        <v>110</v>
      </c>
      <c r="C50" s="157" t="s">
        <v>76</v>
      </c>
      <c r="D50" s="56">
        <v>40</v>
      </c>
      <c r="E50" s="57">
        <v>170</v>
      </c>
      <c r="F50" s="58">
        <f t="shared" si="18"/>
        <v>6800</v>
      </c>
      <c r="G50" s="59"/>
      <c r="H50" s="160">
        <f t="shared" ref="H50:H51" si="19">F50</f>
        <v>6800</v>
      </c>
      <c r="I50" s="57"/>
      <c r="J50" s="158"/>
      <c r="K50" s="158"/>
      <c r="L50" s="158"/>
      <c r="M50" s="13"/>
      <c r="N50" s="143">
        <f>SUM(H50:M50)</f>
        <v>6800</v>
      </c>
      <c r="O50" s="152"/>
    </row>
    <row r="51" spans="1:15" ht="14.45" thickBot="1">
      <c r="A51" s="54" t="s">
        <v>111</v>
      </c>
      <c r="B51" s="64" t="s">
        <v>112</v>
      </c>
      <c r="C51" s="157" t="s">
        <v>76</v>
      </c>
      <c r="D51" s="56">
        <v>40</v>
      </c>
      <c r="E51" s="161">
        <v>90</v>
      </c>
      <c r="F51" s="58">
        <f t="shared" si="18"/>
        <v>3600</v>
      </c>
      <c r="G51" s="59"/>
      <c r="H51" s="160">
        <f t="shared" si="19"/>
        <v>3600</v>
      </c>
      <c r="I51" s="57"/>
      <c r="J51" s="158"/>
      <c r="K51" s="158"/>
      <c r="L51" s="158"/>
      <c r="M51" s="13"/>
      <c r="N51" s="143">
        <f>SUM(H51:M51)</f>
        <v>3600</v>
      </c>
      <c r="O51" s="152"/>
    </row>
    <row r="52" spans="1:15" ht="28.15" thickBot="1">
      <c r="A52" s="185" t="s">
        <v>113</v>
      </c>
      <c r="B52" s="186" t="s">
        <v>114</v>
      </c>
      <c r="C52" s="187"/>
      <c r="D52" s="188">
        <f>460*40*2</f>
        <v>36800</v>
      </c>
      <c r="E52" s="189">
        <v>0.25</v>
      </c>
      <c r="F52" s="190">
        <v>3734</v>
      </c>
      <c r="G52" s="59"/>
      <c r="H52" s="160"/>
      <c r="I52" s="57"/>
      <c r="J52" s="158"/>
      <c r="K52" s="158"/>
      <c r="L52" s="158"/>
      <c r="M52" s="13"/>
      <c r="N52" s="143"/>
      <c r="O52" s="152"/>
    </row>
    <row r="53" spans="1:15" ht="14.45" thickBot="1">
      <c r="A53" s="68"/>
      <c r="B53" s="365" t="s">
        <v>115</v>
      </c>
      <c r="C53" s="366"/>
      <c r="D53" s="366"/>
      <c r="E53" s="367"/>
      <c r="F53" s="31" t="e">
        <f>SUM(F49:F52)</f>
        <v>#REF!</v>
      </c>
      <c r="G53" s="31">
        <f t="shared" ref="G53:M53" si="20">SUM(G49:G50)</f>
        <v>0</v>
      </c>
      <c r="H53" s="31" t="e">
        <f>SUM(H49:H51)</f>
        <v>#REF!</v>
      </c>
      <c r="I53" s="31">
        <f t="shared" si="20"/>
        <v>0</v>
      </c>
      <c r="J53" s="31">
        <f t="shared" si="20"/>
        <v>0</v>
      </c>
      <c r="K53" s="31">
        <f t="shared" si="20"/>
        <v>0</v>
      </c>
      <c r="L53" s="31">
        <f t="shared" si="20"/>
        <v>0</v>
      </c>
      <c r="M53" s="31">
        <f t="shared" si="20"/>
        <v>0</v>
      </c>
      <c r="N53" s="144" t="e">
        <f>SUM(H53:M53)</f>
        <v>#REF!</v>
      </c>
      <c r="O53" s="152"/>
    </row>
    <row r="54" spans="1:15" ht="51" customHeight="1" thickBot="1">
      <c r="A54" s="30" t="s">
        <v>116</v>
      </c>
      <c r="B54" s="356" t="s">
        <v>117</v>
      </c>
      <c r="C54" s="357"/>
      <c r="D54" s="357"/>
      <c r="E54" s="357"/>
      <c r="F54" s="357"/>
      <c r="G54" s="357"/>
      <c r="H54" s="357"/>
      <c r="I54" s="357"/>
      <c r="J54" s="357"/>
      <c r="K54" s="357"/>
      <c r="L54" s="357"/>
      <c r="M54" s="357"/>
      <c r="N54" s="358"/>
      <c r="O54" s="152"/>
    </row>
    <row r="55" spans="1:15" ht="30" customHeight="1" thickBot="1">
      <c r="A55" s="54" t="s">
        <v>118</v>
      </c>
      <c r="B55" s="55" t="s">
        <v>119</v>
      </c>
      <c r="C55" s="157" t="s">
        <v>120</v>
      </c>
      <c r="D55" s="56">
        <v>1</v>
      </c>
      <c r="E55" s="57">
        <v>150</v>
      </c>
      <c r="F55" s="58">
        <f>D55*E55</f>
        <v>150</v>
      </c>
      <c r="G55" s="59"/>
      <c r="H55" s="160"/>
      <c r="I55" s="57">
        <f>F55</f>
        <v>150</v>
      </c>
      <c r="J55" s="158"/>
      <c r="K55" s="158"/>
      <c r="L55" s="158"/>
      <c r="M55" s="13"/>
      <c r="N55" s="143">
        <f>SUM(H55:M55)</f>
        <v>150</v>
      </c>
      <c r="O55" s="152"/>
    </row>
    <row r="56" spans="1:15" ht="18.75" customHeight="1" thickBot="1">
      <c r="A56" s="54" t="s">
        <v>121</v>
      </c>
      <c r="B56" s="55" t="s">
        <v>122</v>
      </c>
      <c r="C56" s="157" t="s">
        <v>92</v>
      </c>
      <c r="D56" s="56">
        <v>40</v>
      </c>
      <c r="E56" s="57">
        <v>25</v>
      </c>
      <c r="F56" s="58">
        <f t="shared" ref="F56:F57" si="21">D56*E56</f>
        <v>1000</v>
      </c>
      <c r="G56" s="59"/>
      <c r="H56" s="160"/>
      <c r="I56" s="57">
        <f t="shared" ref="I56:I60" si="22">F56</f>
        <v>1000</v>
      </c>
      <c r="J56" s="158"/>
      <c r="K56" s="158"/>
      <c r="L56" s="158"/>
      <c r="M56" s="13"/>
      <c r="N56" s="143">
        <f t="shared" ref="N56:N61" si="23">SUM(H56:M56)</f>
        <v>1000</v>
      </c>
      <c r="O56" s="152"/>
    </row>
    <row r="57" spans="1:15" ht="28.15" thickBot="1">
      <c r="A57" s="54" t="s">
        <v>123</v>
      </c>
      <c r="B57" s="55" t="s">
        <v>124</v>
      </c>
      <c r="C57" s="157" t="s">
        <v>92</v>
      </c>
      <c r="D57" s="56">
        <v>2</v>
      </c>
      <c r="E57" s="57">
        <v>50</v>
      </c>
      <c r="F57" s="58">
        <f t="shared" si="21"/>
        <v>100</v>
      </c>
      <c r="G57" s="59"/>
      <c r="H57" s="160"/>
      <c r="I57" s="57">
        <f t="shared" si="22"/>
        <v>100</v>
      </c>
      <c r="J57" s="158"/>
      <c r="K57" s="158"/>
      <c r="L57" s="158"/>
      <c r="M57" s="13"/>
      <c r="N57" s="143">
        <f t="shared" si="23"/>
        <v>100</v>
      </c>
      <c r="O57" s="152"/>
    </row>
    <row r="58" spans="1:15" ht="14.45" thickBot="1">
      <c r="A58" s="54" t="s">
        <v>125</v>
      </c>
      <c r="B58" s="55" t="s">
        <v>126</v>
      </c>
      <c r="C58" s="157" t="s">
        <v>127</v>
      </c>
      <c r="D58" s="56">
        <v>4</v>
      </c>
      <c r="E58" s="57">
        <v>100</v>
      </c>
      <c r="F58" s="58"/>
      <c r="G58" s="67">
        <f>E58*D58</f>
        <v>400</v>
      </c>
      <c r="H58" s="160"/>
      <c r="I58" s="57"/>
      <c r="J58" s="158"/>
      <c r="K58" s="158"/>
      <c r="L58" s="158"/>
      <c r="M58" s="13"/>
      <c r="N58" s="143">
        <f t="shared" si="23"/>
        <v>0</v>
      </c>
      <c r="O58" s="152"/>
    </row>
    <row r="59" spans="1:15" s="20" customFormat="1" ht="14.45" thickBot="1">
      <c r="A59" s="54" t="s">
        <v>128</v>
      </c>
      <c r="B59" s="55" t="s">
        <v>129</v>
      </c>
      <c r="C59" s="157" t="s">
        <v>130</v>
      </c>
      <c r="D59" s="56">
        <v>4</v>
      </c>
      <c r="E59" s="57">
        <v>50</v>
      </c>
      <c r="F59" s="58"/>
      <c r="G59" s="67">
        <f>E59*D59</f>
        <v>200</v>
      </c>
      <c r="H59" s="160"/>
      <c r="I59" s="57"/>
      <c r="J59" s="158"/>
      <c r="K59" s="158"/>
      <c r="L59" s="158"/>
      <c r="M59" s="13"/>
      <c r="N59" s="143">
        <f t="shared" si="23"/>
        <v>0</v>
      </c>
      <c r="O59" s="153"/>
    </row>
    <row r="60" spans="1:15" s="20" customFormat="1" ht="45.75" customHeight="1" thickBot="1">
      <c r="A60" s="54" t="s">
        <v>131</v>
      </c>
      <c r="B60" s="55" t="s">
        <v>132</v>
      </c>
      <c r="C60" s="157" t="s">
        <v>130</v>
      </c>
      <c r="D60" s="56">
        <v>40</v>
      </c>
      <c r="E60" s="78">
        <v>150</v>
      </c>
      <c r="F60" s="58">
        <f>D60*E60</f>
        <v>6000</v>
      </c>
      <c r="G60" s="67"/>
      <c r="H60" s="160"/>
      <c r="I60" s="57">
        <f t="shared" si="22"/>
        <v>6000</v>
      </c>
      <c r="J60" s="158"/>
      <c r="K60" s="158"/>
      <c r="L60" s="158"/>
      <c r="M60" s="13"/>
      <c r="N60" s="143">
        <f t="shared" si="23"/>
        <v>6000</v>
      </c>
      <c r="O60" s="153"/>
    </row>
    <row r="61" spans="1:15" s="20" customFormat="1" ht="14.45" thickBot="1">
      <c r="A61" s="54" t="s">
        <v>133</v>
      </c>
      <c r="B61" s="55" t="s">
        <v>134</v>
      </c>
      <c r="C61" s="157" t="s">
        <v>135</v>
      </c>
      <c r="D61" s="56">
        <v>20</v>
      </c>
      <c r="E61" s="176">
        <v>50</v>
      </c>
      <c r="F61" s="58">
        <f t="shared" ref="F61" si="24">D61*E61</f>
        <v>1000</v>
      </c>
      <c r="G61" s="67"/>
      <c r="H61" s="160">
        <f>F61/7*3</f>
        <v>428.57142857142856</v>
      </c>
      <c r="I61" s="57">
        <f>F61/7*3</f>
        <v>428.57142857142856</v>
      </c>
      <c r="J61" s="158">
        <f>F61/7*1</f>
        <v>142.85714285714286</v>
      </c>
      <c r="K61" s="158"/>
      <c r="L61" s="158"/>
      <c r="M61" s="13"/>
      <c r="N61" s="143">
        <f t="shared" si="23"/>
        <v>1000</v>
      </c>
      <c r="O61" s="153"/>
    </row>
    <row r="62" spans="1:15" s="20" customFormat="1" ht="14.45" thickBot="1">
      <c r="A62" s="68"/>
      <c r="B62" s="365" t="s">
        <v>136</v>
      </c>
      <c r="C62" s="366"/>
      <c r="D62" s="366"/>
      <c r="E62" s="367"/>
      <c r="F62" s="31">
        <f>SUM(F55:F61)</f>
        <v>8250</v>
      </c>
      <c r="G62" s="31">
        <f>SUM(G55:G61)</f>
        <v>600</v>
      </c>
      <c r="H62" s="31">
        <f t="shared" ref="H62:L62" si="25">SUM(H55:H61)</f>
        <v>428.57142857142856</v>
      </c>
      <c r="I62" s="31">
        <f t="shared" si="25"/>
        <v>7678.5714285714284</v>
      </c>
      <c r="J62" s="31">
        <f t="shared" si="25"/>
        <v>142.85714285714286</v>
      </c>
      <c r="K62" s="31">
        <f t="shared" si="25"/>
        <v>0</v>
      </c>
      <c r="L62" s="31">
        <f t="shared" si="25"/>
        <v>0</v>
      </c>
      <c r="M62" s="31">
        <f t="shared" ref="M62" si="26">SUM(M55:M61)</f>
        <v>0</v>
      </c>
      <c r="N62" s="144">
        <f>SUM(H62:M62)</f>
        <v>8250</v>
      </c>
      <c r="O62" s="153"/>
    </row>
    <row r="63" spans="1:15" ht="14.45" thickBot="1">
      <c r="A63" s="30" t="s">
        <v>137</v>
      </c>
      <c r="B63" s="356" t="s">
        <v>138</v>
      </c>
      <c r="C63" s="357"/>
      <c r="D63" s="357"/>
      <c r="E63" s="357"/>
      <c r="F63" s="357"/>
      <c r="G63" s="357"/>
      <c r="H63" s="357"/>
      <c r="I63" s="357"/>
      <c r="J63" s="357"/>
      <c r="K63" s="357"/>
      <c r="L63" s="357"/>
      <c r="M63" s="357"/>
      <c r="N63" s="358"/>
      <c r="O63" s="152"/>
    </row>
    <row r="64" spans="1:15" ht="21.75" customHeight="1" thickBot="1">
      <c r="A64" s="54" t="s">
        <v>139</v>
      </c>
      <c r="B64" s="55" t="s">
        <v>140</v>
      </c>
      <c r="C64" s="157" t="s">
        <v>48</v>
      </c>
      <c r="D64" s="56">
        <v>7</v>
      </c>
      <c r="E64" s="57">
        <f>1100*1.31</f>
        <v>1441</v>
      </c>
      <c r="F64" s="58">
        <f>E64*D64</f>
        <v>10087</v>
      </c>
      <c r="G64" s="59"/>
      <c r="H64" s="160">
        <f>F64/7*3</f>
        <v>4323</v>
      </c>
      <c r="I64" s="57">
        <f>F64/7*3</f>
        <v>4323</v>
      </c>
      <c r="J64" s="158">
        <f>F64/7*1</f>
        <v>1441</v>
      </c>
      <c r="K64" s="158"/>
      <c r="L64" s="158"/>
      <c r="M64" s="13"/>
      <c r="N64" s="143">
        <f>SUM(H64:M64)</f>
        <v>10087</v>
      </c>
      <c r="O64" s="152"/>
    </row>
    <row r="65" spans="1:15" ht="14.45" thickBot="1">
      <c r="A65" s="54" t="s">
        <v>141</v>
      </c>
      <c r="B65" s="55" t="s">
        <v>142</v>
      </c>
      <c r="C65" s="157" t="s">
        <v>48</v>
      </c>
      <c r="D65" s="56">
        <f>4*7</f>
        <v>28</v>
      </c>
      <c r="E65" s="57">
        <f>700*1.31</f>
        <v>917</v>
      </c>
      <c r="F65" s="58">
        <f>E65*D65</f>
        <v>25676</v>
      </c>
      <c r="G65" s="10"/>
      <c r="H65" s="10">
        <f>F65/7*3</f>
        <v>11004</v>
      </c>
      <c r="I65" s="10">
        <f>F65/7*3</f>
        <v>11004</v>
      </c>
      <c r="J65" s="10">
        <f>F65/7*1</f>
        <v>3668</v>
      </c>
      <c r="K65" s="10"/>
      <c r="L65" s="10"/>
      <c r="M65" s="10"/>
      <c r="N65" s="143">
        <f>SUM(H65:M65)</f>
        <v>25676</v>
      </c>
      <c r="O65" s="152"/>
    </row>
    <row r="66" spans="1:15" s="20" customFormat="1" ht="14.45" thickBot="1">
      <c r="A66" s="68"/>
      <c r="B66" s="365" t="s">
        <v>143</v>
      </c>
      <c r="C66" s="366"/>
      <c r="D66" s="366"/>
      <c r="E66" s="367"/>
      <c r="F66" s="31">
        <f>SUM(F64:F65)</f>
        <v>35763</v>
      </c>
      <c r="G66" s="31"/>
      <c r="H66" s="109">
        <f>SUM(H64:H65)</f>
        <v>15327</v>
      </c>
      <c r="I66" s="109">
        <f t="shared" ref="I66:M66" si="27">SUM(I64:I65)</f>
        <v>15327</v>
      </c>
      <c r="J66" s="109">
        <f t="shared" si="27"/>
        <v>5109</v>
      </c>
      <c r="K66" s="109">
        <f t="shared" si="27"/>
        <v>0</v>
      </c>
      <c r="L66" s="109">
        <f t="shared" si="27"/>
        <v>0</v>
      </c>
      <c r="M66" s="109">
        <f t="shared" si="27"/>
        <v>0</v>
      </c>
      <c r="N66" s="144">
        <f>SUM(H66:M66)</f>
        <v>35763</v>
      </c>
      <c r="O66" s="153"/>
    </row>
    <row r="67" spans="1:15" ht="14.45" customHeight="1" thickBot="1">
      <c r="A67" s="30" t="s">
        <v>144</v>
      </c>
      <c r="B67" s="356" t="s">
        <v>145</v>
      </c>
      <c r="C67" s="357"/>
      <c r="D67" s="357"/>
      <c r="E67" s="357"/>
      <c r="F67" s="357"/>
      <c r="G67" s="357"/>
      <c r="H67" s="357"/>
      <c r="I67" s="357"/>
      <c r="J67" s="357"/>
      <c r="K67" s="357"/>
      <c r="L67" s="357"/>
      <c r="M67" s="357"/>
      <c r="N67" s="358"/>
      <c r="O67" s="152"/>
    </row>
    <row r="68" spans="1:15" s="20" customFormat="1" ht="28.15" thickBot="1">
      <c r="A68" s="54" t="s">
        <v>146</v>
      </c>
      <c r="B68" s="55" t="s">
        <v>147</v>
      </c>
      <c r="C68" s="157" t="s">
        <v>92</v>
      </c>
      <c r="D68" s="56">
        <v>10</v>
      </c>
      <c r="E68" s="78">
        <v>15</v>
      </c>
      <c r="F68" s="58">
        <f>D68*E68</f>
        <v>150</v>
      </c>
      <c r="G68" s="59"/>
      <c r="H68" s="174">
        <f>F68</f>
        <v>150</v>
      </c>
      <c r="I68" s="57"/>
      <c r="J68" s="158"/>
      <c r="K68" s="158"/>
      <c r="L68" s="158"/>
      <c r="M68" s="13"/>
      <c r="N68" s="143">
        <f>SUM(H68:M68)</f>
        <v>150</v>
      </c>
      <c r="O68" s="153"/>
    </row>
    <row r="69" spans="1:15" s="20" customFormat="1" ht="28.15" thickBot="1">
      <c r="A69" s="54" t="s">
        <v>148</v>
      </c>
      <c r="B69" s="55" t="s">
        <v>149</v>
      </c>
      <c r="C69" s="157" t="s">
        <v>92</v>
      </c>
      <c r="D69" s="56">
        <v>10</v>
      </c>
      <c r="E69" s="78">
        <v>5</v>
      </c>
      <c r="F69" s="58">
        <f>D69*E69</f>
        <v>50</v>
      </c>
      <c r="G69" s="59"/>
      <c r="H69" s="174">
        <f>F69</f>
        <v>50</v>
      </c>
      <c r="I69" s="57"/>
      <c r="J69" s="158"/>
      <c r="K69" s="158"/>
      <c r="L69" s="158"/>
      <c r="M69" s="13"/>
      <c r="N69" s="143">
        <f>SUM(H69:M69)</f>
        <v>50</v>
      </c>
      <c r="O69" s="153"/>
    </row>
    <row r="70" spans="1:15" ht="14.45" thickBot="1">
      <c r="A70" s="54" t="s">
        <v>150</v>
      </c>
      <c r="B70" s="64" t="s">
        <v>151</v>
      </c>
      <c r="C70" s="157" t="s">
        <v>152</v>
      </c>
      <c r="D70" s="56">
        <v>28</v>
      </c>
      <c r="E70" s="57">
        <v>15</v>
      </c>
      <c r="F70" s="57">
        <f>E70*D70</f>
        <v>420</v>
      </c>
      <c r="G70" s="59"/>
      <c r="H70" s="181">
        <f>F70</f>
        <v>420</v>
      </c>
      <c r="I70" s="57"/>
      <c r="J70" s="10"/>
      <c r="K70" s="10"/>
      <c r="L70" s="10"/>
      <c r="M70" s="158"/>
      <c r="N70" s="143">
        <f>SUM(H70:M70)</f>
        <v>420</v>
      </c>
      <c r="O70" s="152"/>
    </row>
    <row r="71" spans="1:15" s="20" customFormat="1" ht="14.45" thickBot="1">
      <c r="A71" s="68"/>
      <c r="B71" s="365" t="s">
        <v>153</v>
      </c>
      <c r="C71" s="366"/>
      <c r="D71" s="366"/>
      <c r="E71" s="367"/>
      <c r="F71" s="31">
        <f>SUM(F68:F70)</f>
        <v>620</v>
      </c>
      <c r="G71" s="31"/>
      <c r="H71" s="109">
        <f>SUM(H68:H70)</f>
        <v>620</v>
      </c>
      <c r="I71" s="109">
        <f t="shared" ref="I71:M71" si="28">SUM(I68:I70)</f>
        <v>0</v>
      </c>
      <c r="J71" s="109">
        <f t="shared" si="28"/>
        <v>0</v>
      </c>
      <c r="K71" s="109">
        <f t="shared" si="28"/>
        <v>0</v>
      </c>
      <c r="L71" s="109">
        <f t="shared" si="28"/>
        <v>0</v>
      </c>
      <c r="M71" s="109">
        <f t="shared" si="28"/>
        <v>0</v>
      </c>
      <c r="N71" s="144">
        <f>SUM(N68:N70)</f>
        <v>620</v>
      </c>
      <c r="O71" s="153"/>
    </row>
    <row r="72" spans="1:15" ht="14.45" thickBot="1">
      <c r="A72" s="30" t="s">
        <v>154</v>
      </c>
      <c r="B72" s="356" t="s">
        <v>155</v>
      </c>
      <c r="C72" s="357"/>
      <c r="D72" s="357"/>
      <c r="E72" s="357"/>
      <c r="F72" s="357"/>
      <c r="G72" s="357"/>
      <c r="H72" s="357"/>
      <c r="I72" s="357"/>
      <c r="J72" s="357"/>
      <c r="K72" s="357"/>
      <c r="L72" s="357"/>
      <c r="M72" s="357"/>
      <c r="N72" s="358"/>
      <c r="O72" s="152"/>
    </row>
    <row r="73" spans="1:15" ht="42" thickBot="1">
      <c r="A73" s="54" t="s">
        <v>156</v>
      </c>
      <c r="B73" s="55" t="s">
        <v>157</v>
      </c>
      <c r="C73" s="157" t="s">
        <v>158</v>
      </c>
      <c r="D73" s="56">
        <f>3*4*7*4</f>
        <v>336</v>
      </c>
      <c r="E73" s="57">
        <v>28</v>
      </c>
      <c r="F73" s="58">
        <f>E73*D73</f>
        <v>9408</v>
      </c>
      <c r="G73" s="59"/>
      <c r="H73" s="181">
        <f>F73</f>
        <v>9408</v>
      </c>
      <c r="I73" s="57"/>
      <c r="J73" s="10"/>
      <c r="K73" s="10"/>
      <c r="L73" s="10"/>
      <c r="M73" s="11"/>
      <c r="N73" s="143">
        <f>SUM(H73:M73)</f>
        <v>9408</v>
      </c>
      <c r="O73" s="152"/>
    </row>
    <row r="74" spans="1:15" s="20" customFormat="1" ht="14.45" thickBot="1">
      <c r="A74" s="68"/>
      <c r="B74" s="365" t="s">
        <v>159</v>
      </c>
      <c r="C74" s="366"/>
      <c r="D74" s="366"/>
      <c r="E74" s="367"/>
      <c r="F74" s="31">
        <f>SUM(F73)</f>
        <v>9408</v>
      </c>
      <c r="G74" s="31">
        <f>G73</f>
        <v>0</v>
      </c>
      <c r="H74" s="31">
        <f>H73</f>
        <v>9408</v>
      </c>
      <c r="I74" s="31">
        <f t="shared" ref="I74:M74" si="29">I73</f>
        <v>0</v>
      </c>
      <c r="J74" s="31">
        <f t="shared" si="29"/>
        <v>0</v>
      </c>
      <c r="K74" s="31">
        <f t="shared" si="29"/>
        <v>0</v>
      </c>
      <c r="L74" s="31">
        <f t="shared" si="29"/>
        <v>0</v>
      </c>
      <c r="M74" s="31">
        <f t="shared" si="29"/>
        <v>0</v>
      </c>
      <c r="N74" s="144">
        <f>SUM(H74:M74)</f>
        <v>9408</v>
      </c>
      <c r="O74" s="153"/>
    </row>
    <row r="75" spans="1:15" ht="19.5" customHeight="1" thickBot="1">
      <c r="A75" s="359" t="s">
        <v>160</v>
      </c>
      <c r="B75" s="360"/>
      <c r="C75" s="360"/>
      <c r="D75" s="360"/>
      <c r="E75" s="361"/>
      <c r="F75" s="69" t="e">
        <f t="shared" ref="F75:N75" si="30">F74+F53+F44+F30+F23+F16+F38+F35+F62+F66+F71+F47</f>
        <v>#REF!</v>
      </c>
      <c r="G75" s="69">
        <f t="shared" si="30"/>
        <v>600</v>
      </c>
      <c r="H75" s="69" t="e">
        <f t="shared" si="30"/>
        <v>#REF!</v>
      </c>
      <c r="I75" s="69">
        <f t="shared" si="30"/>
        <v>34575.571428571428</v>
      </c>
      <c r="J75" s="69">
        <f t="shared" si="30"/>
        <v>5551.8571428571431</v>
      </c>
      <c r="K75" s="69">
        <f t="shared" si="30"/>
        <v>1920</v>
      </c>
      <c r="L75" s="69">
        <f t="shared" si="30"/>
        <v>0</v>
      </c>
      <c r="M75" s="69">
        <f t="shared" si="30"/>
        <v>0</v>
      </c>
      <c r="N75" s="69" t="e">
        <f t="shared" si="30"/>
        <v>#REF!</v>
      </c>
      <c r="O75" s="152"/>
    </row>
    <row r="76" spans="1:15" ht="15.75" customHeight="1" thickBot="1">
      <c r="A76" s="24" t="s">
        <v>161</v>
      </c>
      <c r="B76" s="368" t="s">
        <v>162</v>
      </c>
      <c r="C76" s="369"/>
      <c r="D76" s="369"/>
      <c r="E76" s="369"/>
      <c r="F76" s="369"/>
      <c r="G76" s="369"/>
      <c r="H76" s="369"/>
      <c r="I76" s="369"/>
      <c r="J76" s="369"/>
      <c r="K76" s="369"/>
      <c r="L76" s="369"/>
      <c r="M76" s="369"/>
      <c r="N76" s="370"/>
      <c r="O76" s="152"/>
    </row>
    <row r="77" spans="1:15" ht="15.75" customHeight="1" thickBot="1">
      <c r="A77" s="30" t="s">
        <v>163</v>
      </c>
      <c r="B77" s="356" t="s">
        <v>164</v>
      </c>
      <c r="C77" s="357"/>
      <c r="D77" s="357"/>
      <c r="E77" s="357"/>
      <c r="F77" s="357"/>
      <c r="G77" s="357"/>
      <c r="H77" s="357"/>
      <c r="I77" s="357"/>
      <c r="J77" s="357"/>
      <c r="K77" s="357"/>
      <c r="L77" s="357"/>
      <c r="M77" s="357"/>
      <c r="N77" s="358"/>
      <c r="O77" s="152"/>
    </row>
    <row r="78" spans="1:15" s="99" customFormat="1" ht="51" customHeight="1" thickBot="1">
      <c r="A78" s="64" t="s">
        <v>165</v>
      </c>
      <c r="B78" s="127" t="s">
        <v>166</v>
      </c>
      <c r="C78" s="128" t="s">
        <v>48</v>
      </c>
      <c r="D78" s="128">
        <v>4</v>
      </c>
      <c r="E78" s="89">
        <v>200</v>
      </c>
      <c r="F78" s="89">
        <f t="shared" ref="F78:F83" si="31">E78*D78/2</f>
        <v>400</v>
      </c>
      <c r="G78" s="89">
        <f t="shared" ref="G78:G83" si="32">E78*D78/2</f>
        <v>400</v>
      </c>
      <c r="H78" s="129">
        <f>F78/4*3</f>
        <v>300</v>
      </c>
      <c r="I78" s="13">
        <f>F78/4*1</f>
        <v>100</v>
      </c>
      <c r="J78" s="13">
        <v>0</v>
      </c>
      <c r="K78" s="13"/>
      <c r="L78" s="13"/>
      <c r="M78" s="13"/>
      <c r="N78" s="147">
        <f>SUM(H78:M78)</f>
        <v>400</v>
      </c>
      <c r="O78" s="154"/>
    </row>
    <row r="79" spans="1:15" ht="45" customHeight="1" thickBot="1">
      <c r="A79" s="64" t="s">
        <v>167</v>
      </c>
      <c r="B79" s="83" t="s">
        <v>168</v>
      </c>
      <c r="C79" s="128" t="s">
        <v>48</v>
      </c>
      <c r="D79" s="84">
        <v>7</v>
      </c>
      <c r="E79" s="86">
        <v>300</v>
      </c>
      <c r="F79" s="86">
        <f t="shared" si="31"/>
        <v>1050</v>
      </c>
      <c r="G79" s="86">
        <f t="shared" si="32"/>
        <v>1050</v>
      </c>
      <c r="H79" s="116">
        <f>F79/7*3</f>
        <v>450</v>
      </c>
      <c r="I79" s="86">
        <f>F79/7*3</f>
        <v>450</v>
      </c>
      <c r="J79" s="86">
        <f>F79/7*1</f>
        <v>150</v>
      </c>
      <c r="K79" s="13"/>
      <c r="L79" s="13"/>
      <c r="M79" s="13"/>
      <c r="N79" s="148">
        <f>SUM(H79:M79)</f>
        <v>1050</v>
      </c>
      <c r="O79" s="152"/>
    </row>
    <row r="80" spans="1:15" s="99" customFormat="1" ht="45" customHeight="1" thickBot="1">
      <c r="A80" s="64" t="s">
        <v>169</v>
      </c>
      <c r="B80" s="83" t="s">
        <v>170</v>
      </c>
      <c r="C80" s="128" t="s">
        <v>48</v>
      </c>
      <c r="D80" s="84">
        <v>7</v>
      </c>
      <c r="E80" s="86">
        <v>300</v>
      </c>
      <c r="F80" s="86">
        <f t="shared" si="31"/>
        <v>1050</v>
      </c>
      <c r="G80" s="86">
        <f t="shared" si="32"/>
        <v>1050</v>
      </c>
      <c r="H80" s="116">
        <f t="shared" ref="H80:H83" si="33">F80/7*3</f>
        <v>450</v>
      </c>
      <c r="I80" s="86">
        <f t="shared" ref="I80:I83" si="34">F80/7*3</f>
        <v>450</v>
      </c>
      <c r="J80" s="86">
        <f t="shared" ref="J80:J83" si="35">F80/7*1</f>
        <v>150</v>
      </c>
      <c r="K80" s="13"/>
      <c r="L80" s="13"/>
      <c r="M80" s="13"/>
      <c r="N80" s="148">
        <f>SUM(H80:M80)</f>
        <v>1050</v>
      </c>
      <c r="O80" s="154"/>
    </row>
    <row r="81" spans="1:15" ht="46.5" customHeight="1" thickBot="1">
      <c r="A81" s="64" t="s">
        <v>171</v>
      </c>
      <c r="B81" s="83" t="s">
        <v>172</v>
      </c>
      <c r="C81" s="128" t="s">
        <v>48</v>
      </c>
      <c r="D81" s="84">
        <v>7</v>
      </c>
      <c r="E81" s="86">
        <v>300</v>
      </c>
      <c r="F81" s="86">
        <f t="shared" si="31"/>
        <v>1050</v>
      </c>
      <c r="G81" s="86">
        <f t="shared" si="32"/>
        <v>1050</v>
      </c>
      <c r="H81" s="116">
        <f t="shared" si="33"/>
        <v>450</v>
      </c>
      <c r="I81" s="86">
        <f t="shared" si="34"/>
        <v>450</v>
      </c>
      <c r="J81" s="86">
        <f t="shared" si="35"/>
        <v>150</v>
      </c>
      <c r="K81" s="13"/>
      <c r="L81" s="13"/>
      <c r="M81" s="13"/>
      <c r="N81" s="148">
        <f t="shared" ref="N81:N83" si="36">SUM(H81:M81)</f>
        <v>1050</v>
      </c>
      <c r="O81" s="152"/>
    </row>
    <row r="82" spans="1:15" ht="43.5" customHeight="1" thickBot="1">
      <c r="A82" s="64" t="s">
        <v>173</v>
      </c>
      <c r="B82" s="83" t="s">
        <v>174</v>
      </c>
      <c r="C82" s="128" t="s">
        <v>48</v>
      </c>
      <c r="D82" s="84">
        <v>4</v>
      </c>
      <c r="E82" s="86">
        <v>300</v>
      </c>
      <c r="F82" s="86">
        <f t="shared" si="31"/>
        <v>600</v>
      </c>
      <c r="G82" s="86">
        <f t="shared" si="32"/>
        <v>600</v>
      </c>
      <c r="H82" s="116">
        <f>F82/4*3</f>
        <v>450</v>
      </c>
      <c r="I82" s="86">
        <f>F82/4*1</f>
        <v>150</v>
      </c>
      <c r="J82" s="13">
        <v>0</v>
      </c>
      <c r="K82" s="13"/>
      <c r="L82" s="13"/>
      <c r="M82" s="13"/>
      <c r="N82" s="148">
        <f>SUM(H82:M82)</f>
        <v>600</v>
      </c>
      <c r="O82" s="152"/>
    </row>
    <row r="83" spans="1:15" ht="51.6" customHeight="1" thickBot="1">
      <c r="A83" s="64" t="s">
        <v>175</v>
      </c>
      <c r="B83" s="83" t="s">
        <v>176</v>
      </c>
      <c r="C83" s="128" t="s">
        <v>48</v>
      </c>
      <c r="D83" s="84">
        <v>7</v>
      </c>
      <c r="E83" s="86">
        <v>200</v>
      </c>
      <c r="F83" s="86">
        <f t="shared" si="31"/>
        <v>700</v>
      </c>
      <c r="G83" s="86">
        <f t="shared" si="32"/>
        <v>700</v>
      </c>
      <c r="H83" s="116">
        <f t="shared" si="33"/>
        <v>300</v>
      </c>
      <c r="I83" s="86">
        <f t="shared" si="34"/>
        <v>300</v>
      </c>
      <c r="J83" s="86">
        <f t="shared" si="35"/>
        <v>100</v>
      </c>
      <c r="K83" s="13"/>
      <c r="L83" s="13"/>
      <c r="M83" s="13"/>
      <c r="N83" s="148">
        <f t="shared" si="36"/>
        <v>700</v>
      </c>
      <c r="O83" s="152"/>
    </row>
    <row r="84" spans="1:15" ht="15.75" customHeight="1" thickBot="1">
      <c r="A84" s="100"/>
      <c r="B84" s="371" t="s">
        <v>177</v>
      </c>
      <c r="C84" s="366"/>
      <c r="D84" s="366"/>
      <c r="E84" s="372"/>
      <c r="F84" s="101">
        <f t="shared" ref="F84:M84" si="37">SUM(F78:F83)</f>
        <v>4850</v>
      </c>
      <c r="G84" s="101">
        <f t="shared" si="37"/>
        <v>4850</v>
      </c>
      <c r="H84" s="101">
        <f t="shared" si="37"/>
        <v>2400</v>
      </c>
      <c r="I84" s="101">
        <f t="shared" si="37"/>
        <v>1900</v>
      </c>
      <c r="J84" s="101">
        <f t="shared" si="37"/>
        <v>550</v>
      </c>
      <c r="K84" s="101">
        <f t="shared" si="37"/>
        <v>0</v>
      </c>
      <c r="L84" s="101">
        <f t="shared" si="37"/>
        <v>0</v>
      </c>
      <c r="M84" s="101">
        <f t="shared" si="37"/>
        <v>0</v>
      </c>
      <c r="N84" s="149">
        <f>SUM(H84:M84)</f>
        <v>4850</v>
      </c>
      <c r="O84" s="155"/>
    </row>
    <row r="85" spans="1:15" ht="15.75" customHeight="1" thickBot="1">
      <c r="A85" s="30" t="s">
        <v>178</v>
      </c>
      <c r="B85" s="356" t="s">
        <v>179</v>
      </c>
      <c r="C85" s="357"/>
      <c r="D85" s="357"/>
      <c r="E85" s="357"/>
      <c r="F85" s="357"/>
      <c r="G85" s="357"/>
      <c r="H85" s="357"/>
      <c r="I85" s="357"/>
      <c r="J85" s="357"/>
      <c r="K85" s="357"/>
      <c r="L85" s="357"/>
      <c r="M85" s="357"/>
      <c r="N85" s="358"/>
      <c r="O85" s="152"/>
    </row>
    <row r="86" spans="1:15" s="132" customFormat="1" ht="58.5" customHeight="1" thickBot="1">
      <c r="A86" s="26" t="s">
        <v>180</v>
      </c>
      <c r="B86" s="26" t="s">
        <v>181</v>
      </c>
      <c r="C86" s="27" t="s">
        <v>130</v>
      </c>
      <c r="D86" s="27">
        <v>7</v>
      </c>
      <c r="E86" s="57">
        <v>450</v>
      </c>
      <c r="F86" s="86">
        <f>D86*E86/2</f>
        <v>1575</v>
      </c>
      <c r="G86" s="86">
        <f>E86*D86/2</f>
        <v>1575</v>
      </c>
      <c r="H86" s="117">
        <f>F86/7*3</f>
        <v>675</v>
      </c>
      <c r="I86" s="87">
        <f>F86/7*3</f>
        <v>675</v>
      </c>
      <c r="J86" s="87">
        <f>F86/7*1</f>
        <v>225</v>
      </c>
      <c r="K86" s="87"/>
      <c r="L86" s="130"/>
      <c r="M86" s="130">
        <v>0</v>
      </c>
      <c r="N86" s="150">
        <f t="shared" ref="N86:N88" si="38">SUM(H86:M86)</f>
        <v>1575</v>
      </c>
      <c r="O86" s="156"/>
    </row>
    <row r="87" spans="1:15" ht="57.75" customHeight="1" thickBot="1">
      <c r="A87" s="26" t="s">
        <v>182</v>
      </c>
      <c r="B87" s="26" t="s">
        <v>183</v>
      </c>
      <c r="C87" s="27" t="s">
        <v>184</v>
      </c>
      <c r="D87" s="27">
        <v>8000</v>
      </c>
      <c r="E87" s="57">
        <v>1</v>
      </c>
      <c r="F87" s="86"/>
      <c r="G87" s="86">
        <f>E87*D87</f>
        <v>8000</v>
      </c>
      <c r="H87" s="117"/>
      <c r="I87" s="117"/>
      <c r="J87" s="117"/>
      <c r="K87" s="117"/>
      <c r="L87" s="117"/>
      <c r="M87" s="117"/>
      <c r="N87" s="150">
        <f t="shared" si="38"/>
        <v>0</v>
      </c>
      <c r="O87" s="152"/>
    </row>
    <row r="88" spans="1:15" ht="48" customHeight="1" thickBot="1">
      <c r="A88" s="26" t="s">
        <v>185</v>
      </c>
      <c r="B88" s="26" t="s">
        <v>186</v>
      </c>
      <c r="C88" s="27" t="s">
        <v>187</v>
      </c>
      <c r="D88" s="27">
        <v>7</v>
      </c>
      <c r="E88" s="57">
        <v>200</v>
      </c>
      <c r="F88" s="86">
        <f>D88*E88/2</f>
        <v>700</v>
      </c>
      <c r="G88" s="86">
        <f>E88*D88/2</f>
        <v>700</v>
      </c>
      <c r="H88" s="117">
        <f>F88/7*3</f>
        <v>300</v>
      </c>
      <c r="I88" s="117">
        <f>F88/7*3</f>
        <v>300</v>
      </c>
      <c r="J88" s="117">
        <f>F88/7*1</f>
        <v>100</v>
      </c>
      <c r="K88" s="117"/>
      <c r="L88" s="117"/>
      <c r="M88" s="130">
        <v>0</v>
      </c>
      <c r="N88" s="150">
        <f t="shared" si="38"/>
        <v>700</v>
      </c>
      <c r="O88" s="155"/>
    </row>
    <row r="89" spans="1:15" ht="15.75" customHeight="1" thickBot="1">
      <c r="A89" s="28"/>
      <c r="B89" s="371" t="s">
        <v>188</v>
      </c>
      <c r="C89" s="366"/>
      <c r="D89" s="366"/>
      <c r="E89" s="367"/>
      <c r="F89" s="31">
        <f>SUM(F86:F88)</f>
        <v>2275</v>
      </c>
      <c r="G89" s="32">
        <f>SUM(G86:G88)</f>
        <v>10275</v>
      </c>
      <c r="H89" s="118">
        <f>SUM(H86:H88)</f>
        <v>975</v>
      </c>
      <c r="I89" s="29">
        <f t="shared" ref="I89:M89" si="39">SUM(I86:I88)</f>
        <v>975</v>
      </c>
      <c r="J89" s="29">
        <f t="shared" si="39"/>
        <v>325</v>
      </c>
      <c r="K89" s="29">
        <f t="shared" si="39"/>
        <v>0</v>
      </c>
      <c r="L89" s="29">
        <f t="shared" si="39"/>
        <v>0</v>
      </c>
      <c r="M89" s="29">
        <f t="shared" si="39"/>
        <v>0</v>
      </c>
      <c r="N89" s="126">
        <f>SUM(N86:N88)</f>
        <v>2275</v>
      </c>
      <c r="O89" s="155"/>
    </row>
    <row r="90" spans="1:15" ht="15.75" customHeight="1" thickBot="1">
      <c r="A90" s="25" t="s">
        <v>189</v>
      </c>
      <c r="B90" s="356" t="s">
        <v>190</v>
      </c>
      <c r="C90" s="357"/>
      <c r="D90" s="357"/>
      <c r="E90" s="357"/>
      <c r="F90" s="357"/>
      <c r="G90" s="357"/>
      <c r="H90" s="357"/>
      <c r="I90" s="357"/>
      <c r="J90" s="357"/>
      <c r="K90" s="357"/>
      <c r="L90" s="357"/>
      <c r="M90" s="357"/>
      <c r="N90" s="358"/>
      <c r="O90" s="152"/>
    </row>
    <row r="91" spans="1:15" ht="40.5" customHeight="1" thickBot="1">
      <c r="A91" s="33" t="s">
        <v>191</v>
      </c>
      <c r="B91" s="34" t="s">
        <v>192</v>
      </c>
      <c r="C91" s="35" t="s">
        <v>48</v>
      </c>
      <c r="D91" s="35">
        <v>7</v>
      </c>
      <c r="E91" s="57">
        <v>350</v>
      </c>
      <c r="F91" s="87"/>
      <c r="G91" s="89">
        <f>E91*D91</f>
        <v>2450</v>
      </c>
      <c r="H91" s="117"/>
      <c r="I91" s="87"/>
      <c r="J91" s="87"/>
      <c r="K91" s="87"/>
      <c r="L91" s="87"/>
      <c r="M91" s="87"/>
      <c r="N91" s="150">
        <f>SUM(H91:M91)</f>
        <v>0</v>
      </c>
      <c r="O91" s="152"/>
    </row>
    <row r="92" spans="1:15" s="99" customFormat="1" ht="45" customHeight="1" thickBot="1">
      <c r="A92" s="33" t="s">
        <v>193</v>
      </c>
      <c r="B92" s="34" t="s">
        <v>194</v>
      </c>
      <c r="C92" s="35" t="s">
        <v>48</v>
      </c>
      <c r="D92" s="104">
        <v>6</v>
      </c>
      <c r="E92" s="57">
        <v>200</v>
      </c>
      <c r="F92" s="86">
        <f>D92*E92/2</f>
        <v>600</v>
      </c>
      <c r="G92" s="86">
        <f>E92*D92/2</f>
        <v>600</v>
      </c>
      <c r="H92" s="117">
        <f>F92/7*3</f>
        <v>257.14285714285711</v>
      </c>
      <c r="I92" s="117">
        <f>F92/7*3</f>
        <v>257.14285714285711</v>
      </c>
      <c r="J92" s="117">
        <f>F92/7*1</f>
        <v>85.714285714285708</v>
      </c>
      <c r="K92" s="117"/>
      <c r="L92" s="117"/>
      <c r="M92" s="117"/>
      <c r="N92" s="150">
        <f>SUM(H92:M92)</f>
        <v>599.99999999999989</v>
      </c>
      <c r="O92" s="154"/>
    </row>
    <row r="93" spans="1:15" ht="15.75" customHeight="1" thickBot="1">
      <c r="A93" s="28"/>
      <c r="B93" s="371" t="s">
        <v>195</v>
      </c>
      <c r="C93" s="366"/>
      <c r="D93" s="366"/>
      <c r="E93" s="372"/>
      <c r="F93" s="29">
        <f>SUM(F91:F92)</f>
        <v>600</v>
      </c>
      <c r="G93" s="126">
        <f>SUM(G91:G92)</f>
        <v>3050</v>
      </c>
      <c r="H93" s="109">
        <f>SUM(H91:H92)</f>
        <v>257.14285714285711</v>
      </c>
      <c r="I93" s="109">
        <f t="shared" ref="I93:M93" si="40">SUM(I91:I92)</f>
        <v>257.14285714285711</v>
      </c>
      <c r="J93" s="109">
        <f t="shared" si="40"/>
        <v>85.714285714285708</v>
      </c>
      <c r="K93" s="109">
        <f t="shared" si="40"/>
        <v>0</v>
      </c>
      <c r="L93" s="109">
        <f t="shared" si="40"/>
        <v>0</v>
      </c>
      <c r="M93" s="109">
        <f t="shared" si="40"/>
        <v>0</v>
      </c>
      <c r="N93" s="145">
        <f>SUM(N91:N92)</f>
        <v>599.99999999999989</v>
      </c>
      <c r="O93" s="155"/>
    </row>
    <row r="94" spans="1:15" ht="15.75" customHeight="1" thickBot="1">
      <c r="A94" s="359" t="s">
        <v>196</v>
      </c>
      <c r="B94" s="360"/>
      <c r="C94" s="360"/>
      <c r="D94" s="360"/>
      <c r="E94" s="361"/>
      <c r="F94" s="36">
        <f>F93+F89+F84</f>
        <v>7725</v>
      </c>
      <c r="G94" s="36">
        <f t="shared" ref="G94:M94" si="41">G93+G89+G84</f>
        <v>18175</v>
      </c>
      <c r="H94" s="36">
        <f t="shared" si="41"/>
        <v>3632.1428571428569</v>
      </c>
      <c r="I94" s="36">
        <f t="shared" si="41"/>
        <v>3132.1428571428569</v>
      </c>
      <c r="J94" s="36">
        <f t="shared" si="41"/>
        <v>960.71428571428578</v>
      </c>
      <c r="K94" s="36">
        <f t="shared" si="41"/>
        <v>0</v>
      </c>
      <c r="L94" s="36">
        <f t="shared" si="41"/>
        <v>0</v>
      </c>
      <c r="M94" s="36">
        <f t="shared" si="41"/>
        <v>0</v>
      </c>
      <c r="N94" s="146">
        <f>N93+N89+N84</f>
        <v>7725</v>
      </c>
      <c r="O94" s="152"/>
    </row>
    <row r="95" spans="1:15" ht="32.25" customHeight="1" thickBot="1">
      <c r="A95" s="376" t="s">
        <v>197</v>
      </c>
      <c r="B95" s="377"/>
      <c r="C95" s="377"/>
      <c r="D95" s="377"/>
      <c r="E95" s="378"/>
      <c r="F95" s="90" t="e">
        <f>F75+F94</f>
        <v>#REF!</v>
      </c>
      <c r="G95" s="90">
        <f>G75+G94</f>
        <v>18775</v>
      </c>
      <c r="H95" s="90" t="e">
        <f t="shared" ref="H95:N95" si="42">H75+H94</f>
        <v>#REF!</v>
      </c>
      <c r="I95" s="90">
        <f t="shared" si="42"/>
        <v>37707.714285714283</v>
      </c>
      <c r="J95" s="90">
        <f t="shared" si="42"/>
        <v>6512.5714285714294</v>
      </c>
      <c r="K95" s="90">
        <f t="shared" si="42"/>
        <v>1920</v>
      </c>
      <c r="L95" s="90">
        <f t="shared" si="42"/>
        <v>0</v>
      </c>
      <c r="M95" s="90">
        <f t="shared" si="42"/>
        <v>0</v>
      </c>
      <c r="N95" s="90" t="e">
        <f t="shared" si="42"/>
        <v>#REF!</v>
      </c>
      <c r="O95" s="152"/>
    </row>
    <row r="96" spans="1:15" ht="27" customHeight="1">
      <c r="A96" s="379"/>
      <c r="B96" s="379"/>
      <c r="C96" s="379"/>
      <c r="D96" s="379"/>
      <c r="E96" s="379"/>
      <c r="F96" s="193" t="e">
        <f>97000-F95</f>
        <v>#REF!</v>
      </c>
      <c r="G96" s="37"/>
      <c r="H96" s="125"/>
      <c r="I96" s="37"/>
      <c r="J96" s="37"/>
    </row>
    <row r="97" spans="1:8">
      <c r="F97" s="37"/>
    </row>
    <row r="99" spans="1:8" ht="38.25" customHeight="1">
      <c r="A99" s="380" t="s">
        <v>198</v>
      </c>
      <c r="B99" s="381"/>
      <c r="C99" s="381"/>
      <c r="D99" s="381"/>
      <c r="E99" s="381"/>
      <c r="F99" s="382"/>
      <c r="H99" s="121"/>
    </row>
    <row r="100" spans="1:8">
      <c r="A100" s="91"/>
      <c r="B100" s="92" t="s">
        <v>199</v>
      </c>
      <c r="C100" s="93" t="s">
        <v>7</v>
      </c>
      <c r="D100" s="93" t="s">
        <v>200</v>
      </c>
      <c r="E100" s="94" t="s">
        <v>201</v>
      </c>
      <c r="F100" s="94" t="s">
        <v>202</v>
      </c>
      <c r="H100" s="121"/>
    </row>
    <row r="101" spans="1:8">
      <c r="A101" s="95"/>
      <c r="B101" s="134" t="s">
        <v>20</v>
      </c>
      <c r="C101" s="38"/>
      <c r="D101" s="38"/>
      <c r="E101" s="39"/>
      <c r="F101" s="96"/>
      <c r="H101" s="121"/>
    </row>
    <row r="102" spans="1:8">
      <c r="A102" s="95"/>
      <c r="B102" s="40" t="str">
        <f t="shared" ref="B102:E103" si="43">B58</f>
        <v xml:space="preserve">Set de transmisión x 4 veces en total </v>
      </c>
      <c r="C102" s="166" t="str">
        <f t="shared" si="43"/>
        <v xml:space="preserve">Instalaciones </v>
      </c>
      <c r="D102" s="166">
        <f t="shared" si="43"/>
        <v>4</v>
      </c>
      <c r="E102" s="167">
        <f t="shared" si="43"/>
        <v>100</v>
      </c>
      <c r="F102" s="96">
        <f>G58</f>
        <v>400</v>
      </c>
      <c r="H102" s="121"/>
    </row>
    <row r="103" spans="1:8">
      <c r="A103" s="95"/>
      <c r="B103" s="40" t="str">
        <f t="shared" si="43"/>
        <v xml:space="preserve">Camara web x 4 veces en total </v>
      </c>
      <c r="C103" s="166" t="str">
        <f t="shared" si="43"/>
        <v xml:space="preserve">Equipamiento </v>
      </c>
      <c r="D103" s="166">
        <f t="shared" si="43"/>
        <v>4</v>
      </c>
      <c r="E103" s="167">
        <f t="shared" si="43"/>
        <v>50</v>
      </c>
      <c r="F103" s="96">
        <f>G59</f>
        <v>200</v>
      </c>
      <c r="H103" s="121"/>
    </row>
    <row r="104" spans="1:8">
      <c r="A104" s="95"/>
      <c r="B104" s="134" t="s">
        <v>161</v>
      </c>
      <c r="C104" s="38"/>
      <c r="D104" s="38"/>
      <c r="E104" s="39"/>
      <c r="F104" s="96"/>
      <c r="H104" s="121"/>
    </row>
    <row r="105" spans="1:8">
      <c r="A105" s="95"/>
      <c r="B105" s="168" t="str">
        <f t="shared" ref="B105:E107" si="44">B78</f>
        <v>Técnico de recursos humanos (dedicación del 50% de su tiempo al proyecto = $200 por 4 meses). 25% FUSALMO, 25% UNICEF.</v>
      </c>
      <c r="C105" s="170" t="str">
        <f t="shared" si="44"/>
        <v>Asistencia Técnica</v>
      </c>
      <c r="D105" s="170">
        <f t="shared" si="44"/>
        <v>4</v>
      </c>
      <c r="E105" s="169">
        <f t="shared" si="44"/>
        <v>200</v>
      </c>
      <c r="F105" s="96">
        <f>G78</f>
        <v>400</v>
      </c>
      <c r="H105" s="121"/>
    </row>
    <row r="106" spans="1:8">
      <c r="A106" s="95"/>
      <c r="B106" s="168" t="str">
        <f t="shared" si="44"/>
        <v>Contador del proyecto  40% (dedicación del 30% de su tiempo al proyecto=$300 por mes) 20% FUSALMO 20% UNICEF</v>
      </c>
      <c r="C106" s="170" t="str">
        <f t="shared" si="44"/>
        <v>Asistencia Técnica</v>
      </c>
      <c r="D106" s="170">
        <f t="shared" si="44"/>
        <v>7</v>
      </c>
      <c r="E106" s="169">
        <f t="shared" si="44"/>
        <v>300</v>
      </c>
      <c r="F106" s="96">
        <f>G79</f>
        <v>1050</v>
      </c>
      <c r="H106" s="121"/>
    </row>
    <row r="107" spans="1:8">
      <c r="A107" s="95"/>
      <c r="B107" s="168" t="str">
        <f t="shared" si="44"/>
        <v>Gerencia de Educación (dedicación del 30% de su tiempo al proyecto =$300 por mes) 15% FUSALMO, 15% UNICEF.</v>
      </c>
      <c r="C107" s="170" t="str">
        <f t="shared" si="44"/>
        <v>Asistencia Técnica</v>
      </c>
      <c r="D107" s="170">
        <f t="shared" si="44"/>
        <v>7</v>
      </c>
      <c r="E107" s="169">
        <f t="shared" si="44"/>
        <v>300</v>
      </c>
      <c r="F107" s="96">
        <f>G80</f>
        <v>1050</v>
      </c>
      <c r="H107" s="121"/>
    </row>
    <row r="108" spans="1:8">
      <c r="A108" s="95"/>
      <c r="B108" s="168" t="str">
        <f t="shared" ref="B108:E108" si="45">B81</f>
        <v>Gerencia de Gestión y Desarrollo (dedicación del 20% de su tiempo al proyecto =$300 por mes) 15% FUSALMO, 15% UNICEF</v>
      </c>
      <c r="C108" s="170" t="str">
        <f t="shared" si="45"/>
        <v>Asistencia Técnica</v>
      </c>
      <c r="D108" s="170">
        <f t="shared" si="45"/>
        <v>7</v>
      </c>
      <c r="E108" s="169">
        <f t="shared" si="45"/>
        <v>300</v>
      </c>
      <c r="F108" s="96">
        <f t="shared" ref="F108:F110" si="46">G81</f>
        <v>1050</v>
      </c>
      <c r="H108" s="121"/>
    </row>
    <row r="109" spans="1:8">
      <c r="A109" s="95"/>
      <c r="B109" s="168" t="str">
        <f t="shared" ref="B109:E109" si="47">B82</f>
        <v>Técnico en compras (dedicación del 50%de su tiempo al proyecto $300 por 4 meses) 10% FUSALMO 10% UNICEF</v>
      </c>
      <c r="C109" s="170" t="str">
        <f t="shared" si="47"/>
        <v>Asistencia Técnica</v>
      </c>
      <c r="D109" s="170">
        <f t="shared" si="47"/>
        <v>4</v>
      </c>
      <c r="E109" s="169">
        <f t="shared" si="47"/>
        <v>300</v>
      </c>
      <c r="F109" s="96">
        <f t="shared" si="46"/>
        <v>600</v>
      </c>
      <c r="H109" s="121"/>
    </row>
    <row r="110" spans="1:8">
      <c r="A110" s="95"/>
      <c r="B110" s="168" t="str">
        <f t="shared" ref="B110:D110" si="48">B83</f>
        <v>Técnico en monitoreo y evaluación (Dedicación del 30% de su tiempo al proyecto $200 al mes) 10% FUSALMO 10% UNICEF</v>
      </c>
      <c r="C110" s="170" t="str">
        <f t="shared" si="48"/>
        <v>Asistencia Técnica</v>
      </c>
      <c r="D110" s="170">
        <f t="shared" si="48"/>
        <v>7</v>
      </c>
      <c r="E110" s="169">
        <f>E83</f>
        <v>200</v>
      </c>
      <c r="F110" s="96">
        <f t="shared" si="46"/>
        <v>700</v>
      </c>
      <c r="H110" s="121"/>
    </row>
    <row r="111" spans="1:8">
      <c r="A111" s="95"/>
      <c r="B111" s="168" t="str">
        <f t="shared" ref="B111:E111" si="49">B86</f>
        <v>Uso de equipo , oficina e instalaciones para la coordinación, equipo que virtualizará e instalaciones para capacitaciones, eventos, equivale al 10% (5% FUSALMO Y 5% UNICEF )</v>
      </c>
      <c r="C111" s="170" t="str">
        <f t="shared" si="49"/>
        <v xml:space="preserve">Equipamiento </v>
      </c>
      <c r="D111" s="170">
        <f t="shared" si="49"/>
        <v>7</v>
      </c>
      <c r="E111" s="169">
        <f t="shared" si="49"/>
        <v>450</v>
      </c>
      <c r="F111" s="96">
        <f>G86</f>
        <v>1575</v>
      </c>
      <c r="H111" s="121"/>
    </row>
    <row r="112" spans="1:8">
      <c r="A112" s="95"/>
      <c r="B112" s="168" t="str">
        <f t="shared" ref="B112:E112" si="50">B87</f>
        <v xml:space="preserve">Uso de Plataforma TRANSFORMA ( 8000 jóvenes, al menos 2 ingresos al  durante la ejecución del proyecto, a un costo de $0.50 cada ingreso) asumido por FUSALMO </v>
      </c>
      <c r="C112" s="170" t="str">
        <f t="shared" si="50"/>
        <v xml:space="preserve">Plataforma  </v>
      </c>
      <c r="D112" s="170">
        <f t="shared" si="50"/>
        <v>8000</v>
      </c>
      <c r="E112" s="169">
        <f t="shared" si="50"/>
        <v>1</v>
      </c>
      <c r="F112" s="96">
        <f t="shared" ref="F112:F113" si="51">G87</f>
        <v>8000</v>
      </c>
      <c r="H112" s="121"/>
    </row>
    <row r="113" spans="1:8" ht="27.6" customHeight="1">
      <c r="A113" s="95"/>
      <c r="B113" s="168" t="str">
        <f t="shared" ref="B113:E113" si="52">B88</f>
        <v>Gastos básicos (Energia electrica, agua, Internet, telefonia de un promedio de $1,400)  equivale al 14% (7% FUSALMO y 7% UNICEF)</v>
      </c>
      <c r="C113" s="170" t="str">
        <f t="shared" si="52"/>
        <v xml:space="preserve">Gastos básicos </v>
      </c>
      <c r="D113" s="170">
        <f t="shared" si="52"/>
        <v>7</v>
      </c>
      <c r="E113" s="169">
        <f t="shared" si="52"/>
        <v>200</v>
      </c>
      <c r="F113" s="96">
        <f t="shared" si="51"/>
        <v>700</v>
      </c>
      <c r="H113" s="121"/>
    </row>
    <row r="114" spans="1:8" ht="55.15">
      <c r="A114" s="95"/>
      <c r="B114" s="135" t="str">
        <f>B91</f>
        <v xml:space="preserve">Asistencia a la coordinación (Dedicación del 30% de su tiempo al proyecto $350 por mes, asumida por FUSALMO)
</v>
      </c>
      <c r="C114" s="135" t="str">
        <f t="shared" ref="C114:D115" si="53">C91</f>
        <v>Asistencia Técnica</v>
      </c>
      <c r="D114" s="171">
        <f>D91</f>
        <v>7</v>
      </c>
      <c r="E114" s="172">
        <f>E91</f>
        <v>350</v>
      </c>
      <c r="F114" s="96">
        <f>G91</f>
        <v>2450</v>
      </c>
      <c r="H114" s="121"/>
    </row>
    <row r="115" spans="1:8" ht="41.45">
      <c r="A115" s="95"/>
      <c r="B115" s="135" t="str">
        <f>B92</f>
        <v>Tecnico en comunicaciones (dedicación del 10%  de su tiempo al proyecto $200 al mes) 10% FUSALMO, 10% UNICEF.</v>
      </c>
      <c r="C115" s="135" t="str">
        <f t="shared" si="53"/>
        <v>Asistencia Técnica</v>
      </c>
      <c r="D115" s="171">
        <f t="shared" si="53"/>
        <v>6</v>
      </c>
      <c r="E115" s="172">
        <f>E92</f>
        <v>200</v>
      </c>
      <c r="F115" s="96">
        <f>G92</f>
        <v>600</v>
      </c>
      <c r="H115" s="121"/>
    </row>
    <row r="116" spans="1:8" ht="13.9" customHeight="1">
      <c r="A116" s="383" t="s">
        <v>203</v>
      </c>
      <c r="B116" s="384"/>
      <c r="C116" s="384"/>
      <c r="D116" s="384"/>
      <c r="E116" s="385"/>
      <c r="F116" s="137">
        <f>SUM(F101:F115)</f>
        <v>18775</v>
      </c>
      <c r="H116" s="121"/>
    </row>
    <row r="117" spans="1:8" ht="14.45" thickBot="1">
      <c r="F117" s="41"/>
    </row>
    <row r="118" spans="1:8" ht="14.45" thickBot="1">
      <c r="B118" s="373" t="s">
        <v>204</v>
      </c>
      <c r="C118" s="374"/>
      <c r="D118" s="375"/>
    </row>
    <row r="119" spans="1:8" ht="14.45" thickBot="1">
      <c r="B119" s="42" t="s">
        <v>205</v>
      </c>
      <c r="C119" s="43" t="e">
        <f>F95</f>
        <v>#REF!</v>
      </c>
      <c r="D119" s="44" t="e">
        <f>C119*100/C121</f>
        <v>#REF!</v>
      </c>
    </row>
    <row r="120" spans="1:8" ht="14.45" thickBot="1">
      <c r="B120" s="42" t="s">
        <v>206</v>
      </c>
      <c r="C120" s="43">
        <f>G95</f>
        <v>18775</v>
      </c>
      <c r="D120" s="44" t="e">
        <f>C120*100/C121</f>
        <v>#REF!</v>
      </c>
    </row>
    <row r="121" spans="1:8" ht="16.5" customHeight="1" thickBot="1">
      <c r="B121" s="45" t="s">
        <v>18</v>
      </c>
      <c r="C121" s="46" t="e">
        <f>C119+C120</f>
        <v>#REF!</v>
      </c>
      <c r="D121" s="47" t="e">
        <f>D119+D120</f>
        <v>#REF!</v>
      </c>
    </row>
  </sheetData>
  <mergeCells count="41">
    <mergeCell ref="B39:N39"/>
    <mergeCell ref="B48:N48"/>
    <mergeCell ref="B35:E35"/>
    <mergeCell ref="B24:N24"/>
    <mergeCell ref="B36:N36"/>
    <mergeCell ref="B38:E38"/>
    <mergeCell ref="B16:E16"/>
    <mergeCell ref="B23:E23"/>
    <mergeCell ref="B30:E30"/>
    <mergeCell ref="B31:N31"/>
    <mergeCell ref="A1:N1"/>
    <mergeCell ref="H2:N2"/>
    <mergeCell ref="B7:N7"/>
    <mergeCell ref="B8:N8"/>
    <mergeCell ref="B17:N17"/>
    <mergeCell ref="B118:D118"/>
    <mergeCell ref="B93:E93"/>
    <mergeCell ref="A94:E94"/>
    <mergeCell ref="A95:E95"/>
    <mergeCell ref="A96:E96"/>
    <mergeCell ref="A99:F99"/>
    <mergeCell ref="A116:E116"/>
    <mergeCell ref="B90:N90"/>
    <mergeCell ref="B76:N76"/>
    <mergeCell ref="B77:N77"/>
    <mergeCell ref="B84:E84"/>
    <mergeCell ref="B85:N85"/>
    <mergeCell ref="B89:E89"/>
    <mergeCell ref="B54:N54"/>
    <mergeCell ref="A75:E75"/>
    <mergeCell ref="B44:E44"/>
    <mergeCell ref="B53:E53"/>
    <mergeCell ref="B74:E74"/>
    <mergeCell ref="B63:N63"/>
    <mergeCell ref="B67:N67"/>
    <mergeCell ref="B72:N72"/>
    <mergeCell ref="B62:E62"/>
    <mergeCell ref="B66:E66"/>
    <mergeCell ref="B71:E71"/>
    <mergeCell ref="B45:N45"/>
    <mergeCell ref="B47:E47"/>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A49BB-25B5-49D7-B926-9B7F1240AE8B}">
  <sheetPr>
    <tabColor rgb="FF00B0F0"/>
  </sheetPr>
  <dimension ref="A1:N91"/>
  <sheetViews>
    <sheetView tabSelected="1" topLeftCell="C1" zoomScaleNormal="100" workbookViewId="0">
      <pane ySplit="6" topLeftCell="A7" activePane="bottomLeft" state="frozen"/>
      <selection pane="bottomLeft" activeCell="B7" sqref="B7:N7"/>
    </sheetView>
  </sheetViews>
  <sheetFormatPr defaultColWidth="9.140625" defaultRowHeight="13.9"/>
  <cols>
    <col min="1" max="1" width="17.5703125" style="2" customWidth="1"/>
    <col min="2" max="2" width="43" style="4" customWidth="1"/>
    <col min="3" max="3" width="19.42578125" style="194" customWidth="1"/>
    <col min="4" max="4" width="11.85546875" style="5" customWidth="1"/>
    <col min="5" max="5" width="16.7109375" style="7" customWidth="1"/>
    <col min="6" max="6" width="21.7109375" style="6" customWidth="1"/>
    <col min="7" max="7" width="18.42578125" style="6" customWidth="1"/>
    <col min="8" max="8" width="16.28515625" style="2" customWidth="1"/>
    <col min="9" max="9" width="16.7109375" style="6" customWidth="1"/>
    <col min="10" max="10" width="14.7109375" style="6" customWidth="1"/>
    <col min="11" max="13" width="13" style="6" customWidth="1"/>
    <col min="14" max="14" width="28.5703125" style="7" customWidth="1"/>
    <col min="15" max="16384" width="9.140625" style="2"/>
  </cols>
  <sheetData>
    <row r="1" spans="1:14">
      <c r="A1" s="387" t="s">
        <v>0</v>
      </c>
      <c r="B1" s="387"/>
      <c r="C1" s="387"/>
      <c r="D1" s="387"/>
      <c r="E1" s="387"/>
      <c r="F1" s="387"/>
      <c r="G1" s="387"/>
      <c r="H1" s="387"/>
      <c r="I1" s="387"/>
      <c r="J1" s="387"/>
      <c r="K1" s="387"/>
      <c r="L1" s="387"/>
      <c r="M1" s="387"/>
      <c r="N1" s="387"/>
    </row>
    <row r="2" spans="1:14">
      <c r="A2" s="219" t="s">
        <v>207</v>
      </c>
      <c r="B2" s="220"/>
      <c r="D2" s="194"/>
      <c r="E2" s="221"/>
      <c r="F2" s="222"/>
      <c r="G2" s="223"/>
      <c r="H2" s="402" t="s">
        <v>2</v>
      </c>
      <c r="I2" s="402"/>
      <c r="J2" s="402"/>
      <c r="K2" s="402"/>
      <c r="L2" s="402"/>
      <c r="M2" s="402"/>
      <c r="N2" s="402"/>
    </row>
    <row r="3" spans="1:14">
      <c r="A3" s="219" t="s">
        <v>208</v>
      </c>
      <c r="B3" s="220"/>
      <c r="D3" s="194"/>
      <c r="E3" s="221"/>
      <c r="F3" s="223"/>
      <c r="G3" s="320"/>
      <c r="H3" s="224"/>
      <c r="I3" s="222"/>
      <c r="J3" s="222"/>
      <c r="K3" s="222"/>
      <c r="L3" s="222"/>
      <c r="M3" s="222"/>
      <c r="N3" s="221"/>
    </row>
    <row r="4" spans="1:14">
      <c r="A4" s="219"/>
      <c r="B4" s="220"/>
      <c r="D4" s="194"/>
      <c r="E4" s="221"/>
      <c r="F4" s="223"/>
      <c r="G4" s="319"/>
      <c r="H4" s="224"/>
      <c r="I4" s="222"/>
      <c r="J4" s="222"/>
      <c r="K4" s="222"/>
      <c r="L4" s="222"/>
      <c r="M4" s="222"/>
      <c r="N4" s="221"/>
    </row>
    <row r="5" spans="1:14" ht="14.45" thickBot="1">
      <c r="A5" s="224"/>
      <c r="B5" s="220"/>
      <c r="D5" s="194"/>
      <c r="E5" s="221"/>
      <c r="F5" s="223"/>
      <c r="G5" s="319"/>
      <c r="H5" s="224"/>
      <c r="I5" s="222"/>
      <c r="J5" s="222"/>
      <c r="K5" s="222"/>
      <c r="L5" s="222"/>
      <c r="M5" s="222"/>
      <c r="N5" s="221"/>
    </row>
    <row r="6" spans="1:14" s="142" customFormat="1" ht="42" thickBot="1">
      <c r="A6" s="225" t="s">
        <v>209</v>
      </c>
      <c r="B6" s="195" t="s">
        <v>6</v>
      </c>
      <c r="C6" s="195" t="s">
        <v>7</v>
      </c>
      <c r="D6" s="195" t="s">
        <v>8</v>
      </c>
      <c r="E6" s="226" t="s">
        <v>9</v>
      </c>
      <c r="F6" s="195" t="s">
        <v>10</v>
      </c>
      <c r="G6" s="227" t="s">
        <v>11</v>
      </c>
      <c r="H6" s="228" t="s">
        <v>12</v>
      </c>
      <c r="I6" s="225" t="s">
        <v>13</v>
      </c>
      <c r="J6" s="322" t="s">
        <v>210</v>
      </c>
      <c r="K6" s="195" t="s">
        <v>15</v>
      </c>
      <c r="L6" s="195" t="s">
        <v>16</v>
      </c>
      <c r="M6" s="195" t="s">
        <v>17</v>
      </c>
      <c r="N6" s="226" t="s">
        <v>18</v>
      </c>
    </row>
    <row r="7" spans="1:14" ht="39.75" customHeight="1">
      <c r="A7" s="229" t="s">
        <v>20</v>
      </c>
      <c r="B7" s="392" t="s">
        <v>211</v>
      </c>
      <c r="C7" s="393"/>
      <c r="D7" s="393"/>
      <c r="E7" s="393"/>
      <c r="F7" s="393"/>
      <c r="G7" s="393"/>
      <c r="H7" s="393"/>
      <c r="I7" s="393"/>
      <c r="J7" s="393"/>
      <c r="K7" s="393"/>
      <c r="L7" s="393"/>
      <c r="M7" s="393"/>
      <c r="N7" s="394"/>
    </row>
    <row r="8" spans="1:14" ht="33" customHeight="1" thickBot="1">
      <c r="A8" s="230" t="s">
        <v>22</v>
      </c>
      <c r="B8" s="395" t="s">
        <v>212</v>
      </c>
      <c r="C8" s="396"/>
      <c r="D8" s="396"/>
      <c r="E8" s="396"/>
      <c r="F8" s="396"/>
      <c r="G8" s="396"/>
      <c r="H8" s="396"/>
      <c r="I8" s="396"/>
      <c r="J8" s="396"/>
      <c r="K8" s="396"/>
      <c r="L8" s="396"/>
      <c r="M8" s="396"/>
      <c r="N8" s="397"/>
    </row>
    <row r="9" spans="1:14" s="216" customFormat="1" ht="39.75" customHeight="1" thickBot="1">
      <c r="A9" s="217" t="s">
        <v>24</v>
      </c>
      <c r="B9" s="208" t="s">
        <v>213</v>
      </c>
      <c r="C9" s="196" t="s">
        <v>214</v>
      </c>
      <c r="D9" s="196">
        <v>1000</v>
      </c>
      <c r="E9" s="209">
        <v>30</v>
      </c>
      <c r="F9" s="210">
        <f>E9*D9</f>
        <v>30000</v>
      </c>
      <c r="G9" s="207"/>
      <c r="H9" s="211">
        <f>F9</f>
        <v>30000</v>
      </c>
      <c r="I9" s="212"/>
      <c r="J9" s="213"/>
      <c r="K9" s="213"/>
      <c r="L9" s="213"/>
      <c r="M9" s="214"/>
      <c r="N9" s="215">
        <f t="shared" ref="N9" si="0">SUM(H9:M9)</f>
        <v>30000</v>
      </c>
    </row>
    <row r="10" spans="1:14" ht="14.45" thickBot="1">
      <c r="A10" s="231"/>
      <c r="B10" s="398" t="s">
        <v>42</v>
      </c>
      <c r="C10" s="390"/>
      <c r="D10" s="390"/>
      <c r="E10" s="391"/>
      <c r="F10" s="232">
        <f>SUM(F9)</f>
        <v>30000</v>
      </c>
      <c r="G10" s="232">
        <f t="shared" ref="G10:N10" si="1">SUM(G9:G9)</f>
        <v>0</v>
      </c>
      <c r="H10" s="232">
        <f>SUM(H9:H9)</f>
        <v>30000</v>
      </c>
      <c r="I10" s="232">
        <f t="shared" si="1"/>
        <v>0</v>
      </c>
      <c r="J10" s="232">
        <f t="shared" si="1"/>
        <v>0</v>
      </c>
      <c r="K10" s="232">
        <f t="shared" si="1"/>
        <v>0</v>
      </c>
      <c r="L10" s="232">
        <f t="shared" si="1"/>
        <v>0</v>
      </c>
      <c r="M10" s="232">
        <f t="shared" si="1"/>
        <v>0</v>
      </c>
      <c r="N10" s="232">
        <f t="shared" si="1"/>
        <v>30000</v>
      </c>
    </row>
    <row r="11" spans="1:14" ht="19.5" customHeight="1" thickBot="1">
      <c r="A11" s="399" t="s">
        <v>160</v>
      </c>
      <c r="B11" s="400"/>
      <c r="C11" s="400"/>
      <c r="D11" s="400"/>
      <c r="E11" s="401"/>
      <c r="F11" s="233">
        <f>F10</f>
        <v>30000</v>
      </c>
      <c r="G11" s="233">
        <f t="shared" ref="G11:N11" si="2">G10</f>
        <v>0</v>
      </c>
      <c r="H11" s="233">
        <f t="shared" si="2"/>
        <v>30000</v>
      </c>
      <c r="I11" s="233">
        <f t="shared" si="2"/>
        <v>0</v>
      </c>
      <c r="J11" s="233">
        <f t="shared" si="2"/>
        <v>0</v>
      </c>
      <c r="K11" s="233">
        <f t="shared" si="2"/>
        <v>0</v>
      </c>
      <c r="L11" s="233">
        <f t="shared" si="2"/>
        <v>0</v>
      </c>
      <c r="M11" s="233">
        <f t="shared" si="2"/>
        <v>0</v>
      </c>
      <c r="N11" s="233">
        <f t="shared" si="2"/>
        <v>30000</v>
      </c>
    </row>
    <row r="12" spans="1:14" ht="39.75" customHeight="1" thickBot="1">
      <c r="A12" s="229" t="s">
        <v>161</v>
      </c>
      <c r="B12" s="392" t="s">
        <v>215</v>
      </c>
      <c r="C12" s="393"/>
      <c r="D12" s="393"/>
      <c r="E12" s="393"/>
      <c r="F12" s="393"/>
      <c r="G12" s="393"/>
      <c r="H12" s="393"/>
      <c r="I12" s="393"/>
      <c r="J12" s="393"/>
      <c r="K12" s="393"/>
      <c r="L12" s="393"/>
      <c r="M12" s="393"/>
      <c r="N12" s="394"/>
    </row>
    <row r="13" spans="1:14" ht="21.75" customHeight="1" thickBot="1">
      <c r="A13" s="230" t="s">
        <v>163</v>
      </c>
      <c r="B13" s="395" t="s">
        <v>216</v>
      </c>
      <c r="C13" s="396"/>
      <c r="D13" s="396"/>
      <c r="E13" s="396"/>
      <c r="F13" s="396" t="e">
        <f>SUM(#REF!)</f>
        <v>#REF!</v>
      </c>
      <c r="G13" s="396" t="e">
        <f>SUM(#REF!)</f>
        <v>#REF!</v>
      </c>
      <c r="H13" s="396" t="e">
        <f>SUM(#REF!)</f>
        <v>#REF!</v>
      </c>
      <c r="I13" s="396" t="e">
        <f>SUM(#REF!)</f>
        <v>#REF!</v>
      </c>
      <c r="J13" s="396" t="e">
        <f>SUM(#REF!)</f>
        <v>#REF!</v>
      </c>
      <c r="K13" s="396" t="e">
        <f>SUM(#REF!)</f>
        <v>#REF!</v>
      </c>
      <c r="L13" s="396" t="e">
        <f>SUM(#REF!)</f>
        <v>#REF!</v>
      </c>
      <c r="M13" s="396" t="e">
        <f>SUM(#REF!)</f>
        <v>#REF!</v>
      </c>
      <c r="N13" s="397" t="e">
        <f>SUM(H13:M13)</f>
        <v>#REF!</v>
      </c>
    </row>
    <row r="14" spans="1:14" s="132" customFormat="1" ht="53.45" thickBot="1">
      <c r="A14" s="217" t="s">
        <v>165</v>
      </c>
      <c r="B14" s="234" t="s">
        <v>217</v>
      </c>
      <c r="C14" s="197" t="s">
        <v>48</v>
      </c>
      <c r="D14" s="196">
        <v>9</v>
      </c>
      <c r="E14" s="209">
        <f>1000*1.31</f>
        <v>1310</v>
      </c>
      <c r="F14" s="210">
        <f>E14*D14</f>
        <v>11790</v>
      </c>
      <c r="G14" s="207"/>
      <c r="H14" s="211">
        <v>3930</v>
      </c>
      <c r="I14" s="212">
        <v>5240</v>
      </c>
      <c r="J14" s="321">
        <v>2620</v>
      </c>
      <c r="K14" s="213"/>
      <c r="L14" s="213"/>
      <c r="M14" s="235"/>
      <c r="N14" s="236">
        <f t="shared" ref="N14" si="3">SUM(H14:M14)</f>
        <v>11790</v>
      </c>
    </row>
    <row r="15" spans="1:14" s="132" customFormat="1" ht="93" thickBot="1">
      <c r="A15" s="217" t="s">
        <v>167</v>
      </c>
      <c r="B15" s="234" t="s">
        <v>218</v>
      </c>
      <c r="C15" s="197" t="s">
        <v>48</v>
      </c>
      <c r="D15" s="196">
        <v>9</v>
      </c>
      <c r="E15" s="209">
        <f>935*1.31</f>
        <v>1224.8500000000001</v>
      </c>
      <c r="F15" s="210">
        <f>E15*D15</f>
        <v>11023.650000000001</v>
      </c>
      <c r="G15" s="207"/>
      <c r="H15" s="211">
        <v>3674.55</v>
      </c>
      <c r="I15" s="212">
        <v>4899.3999999999996</v>
      </c>
      <c r="J15" s="321">
        <v>2449.6999999999998</v>
      </c>
      <c r="K15" s="213"/>
      <c r="L15" s="213"/>
      <c r="M15" s="214"/>
      <c r="N15" s="215">
        <f t="shared" ref="N15:N16" si="4">SUM(H15:M15)</f>
        <v>11023.650000000001</v>
      </c>
    </row>
    <row r="16" spans="1:14" s="132" customFormat="1" ht="66.599999999999994" thickBot="1">
      <c r="A16" s="217" t="s">
        <v>169</v>
      </c>
      <c r="B16" s="234" t="s">
        <v>219</v>
      </c>
      <c r="C16" s="197" t="s">
        <v>48</v>
      </c>
      <c r="D16" s="196">
        <v>8</v>
      </c>
      <c r="E16" s="209">
        <f>935*1.31</f>
        <v>1224.8500000000001</v>
      </c>
      <c r="F16" s="210">
        <f>E16*D16</f>
        <v>9798.8000000000011</v>
      </c>
      <c r="G16" s="207"/>
      <c r="H16" s="211"/>
      <c r="I16" s="213">
        <v>7349.1</v>
      </c>
      <c r="J16" s="321">
        <v>2449.6999999999998</v>
      </c>
      <c r="K16" s="213"/>
      <c r="L16" s="213"/>
      <c r="M16" s="214"/>
      <c r="N16" s="215">
        <f t="shared" si="4"/>
        <v>9798.7999999999993</v>
      </c>
    </row>
    <row r="17" spans="1:14" ht="98.25" customHeight="1" thickBot="1">
      <c r="A17" s="217" t="s">
        <v>220</v>
      </c>
      <c r="B17" s="234" t="s">
        <v>221</v>
      </c>
      <c r="C17" s="196" t="s">
        <v>222</v>
      </c>
      <c r="D17" s="196">
        <v>1</v>
      </c>
      <c r="E17" s="209">
        <v>900</v>
      </c>
      <c r="F17" s="210">
        <f t="shared" ref="F17" si="5">E17*D17</f>
        <v>900</v>
      </c>
      <c r="G17" s="207"/>
      <c r="H17" s="211">
        <f>F17</f>
        <v>900</v>
      </c>
      <c r="I17" s="212"/>
      <c r="J17" s="321"/>
      <c r="K17" s="213"/>
      <c r="L17" s="237"/>
      <c r="M17" s="238"/>
      <c r="N17" s="236">
        <f t="shared" ref="N17" si="6">SUM(H17:M17)</f>
        <v>900</v>
      </c>
    </row>
    <row r="18" spans="1:14" s="132" customFormat="1" ht="236.25" customHeight="1" thickBot="1">
      <c r="A18" s="342" t="s">
        <v>171</v>
      </c>
      <c r="B18" s="343" t="s">
        <v>223</v>
      </c>
      <c r="C18" s="187" t="s">
        <v>224</v>
      </c>
      <c r="D18" s="344">
        <f>(31*6)+(1*7)</f>
        <v>193</v>
      </c>
      <c r="E18" s="345">
        <v>30</v>
      </c>
      <c r="F18" s="346">
        <f>D18*E18</f>
        <v>5790</v>
      </c>
      <c r="G18" s="347"/>
      <c r="H18" s="348">
        <f t="shared" ref="H18" si="7">F18/7*3</f>
        <v>2481.4285714285716</v>
      </c>
      <c r="I18" s="349">
        <f>F18/7*4</f>
        <v>3308.5714285714284</v>
      </c>
      <c r="J18" s="350">
        <f>1920-960-465</f>
        <v>495</v>
      </c>
      <c r="K18" s="213"/>
      <c r="L18" s="214"/>
      <c r="M18" s="242"/>
      <c r="N18" s="236">
        <f>SUM(H18:M18)</f>
        <v>6285</v>
      </c>
    </row>
    <row r="19" spans="1:14" s="132" customFormat="1" ht="92.25" customHeight="1">
      <c r="A19" s="342" t="s">
        <v>171</v>
      </c>
      <c r="B19" s="351" t="s">
        <v>225</v>
      </c>
      <c r="C19" s="333" t="s">
        <v>224</v>
      </c>
      <c r="D19" s="352">
        <v>6</v>
      </c>
      <c r="E19" s="353">
        <v>10</v>
      </c>
      <c r="F19" s="354">
        <f>D19*E19</f>
        <v>60</v>
      </c>
      <c r="G19" s="347"/>
      <c r="H19" s="349">
        <v>25.71</v>
      </c>
      <c r="I19" s="349">
        <v>34.29</v>
      </c>
      <c r="J19" s="355">
        <f>20-20</f>
        <v>0</v>
      </c>
      <c r="K19" s="235"/>
      <c r="L19" s="235"/>
      <c r="M19" s="242"/>
      <c r="N19" s="236">
        <f>SUM(H19:M19)</f>
        <v>60</v>
      </c>
    </row>
    <row r="20" spans="1:14" ht="40.15" thickBot="1">
      <c r="A20" s="245" t="s">
        <v>173</v>
      </c>
      <c r="B20" s="246" t="s">
        <v>226</v>
      </c>
      <c r="C20" s="247" t="s">
        <v>214</v>
      </c>
      <c r="D20" s="204"/>
      <c r="E20" s="243"/>
      <c r="F20" s="240"/>
      <c r="G20" s="241"/>
      <c r="H20" s="248" t="s">
        <v>227</v>
      </c>
      <c r="I20" s="244"/>
      <c r="J20" s="238"/>
      <c r="K20" s="238"/>
      <c r="L20" s="238"/>
      <c r="M20" s="249"/>
      <c r="N20" s="239">
        <f t="shared" ref="N20:N36" si="8">SUM(H20:M20)</f>
        <v>0</v>
      </c>
    </row>
    <row r="21" spans="1:14" ht="14.45" thickBot="1">
      <c r="A21" s="217" t="s">
        <v>228</v>
      </c>
      <c r="B21" s="250" t="s">
        <v>229</v>
      </c>
      <c r="C21" s="196" t="s">
        <v>68</v>
      </c>
      <c r="D21" s="204">
        <v>31</v>
      </c>
      <c r="E21" s="212">
        <v>0.45</v>
      </c>
      <c r="F21" s="240">
        <f>D21*E21</f>
        <v>13.950000000000001</v>
      </c>
      <c r="G21" s="241"/>
      <c r="H21" s="248">
        <f>F21</f>
        <v>13.950000000000001</v>
      </c>
      <c r="I21" s="244"/>
      <c r="J21" s="238"/>
      <c r="K21" s="238"/>
      <c r="L21" s="238"/>
      <c r="M21" s="249"/>
      <c r="N21" s="239">
        <f t="shared" si="8"/>
        <v>13.950000000000001</v>
      </c>
    </row>
    <row r="22" spans="1:14" ht="27" thickBot="1">
      <c r="A22" s="217" t="s">
        <v>230</v>
      </c>
      <c r="B22" s="251" t="s">
        <v>231</v>
      </c>
      <c r="C22" s="196" t="s">
        <v>68</v>
      </c>
      <c r="D22" s="204">
        <v>31</v>
      </c>
      <c r="E22" s="212">
        <v>0.45</v>
      </c>
      <c r="F22" s="240">
        <f t="shared" ref="F22:F34" si="9">D22*E22</f>
        <v>13.950000000000001</v>
      </c>
      <c r="G22" s="241"/>
      <c r="H22" s="248">
        <f t="shared" ref="H22:H34" si="10">F22</f>
        <v>13.950000000000001</v>
      </c>
      <c r="I22" s="244"/>
      <c r="J22" s="238"/>
      <c r="K22" s="238"/>
      <c r="L22" s="238"/>
      <c r="M22" s="249"/>
      <c r="N22" s="239">
        <f t="shared" si="8"/>
        <v>13.950000000000001</v>
      </c>
    </row>
    <row r="23" spans="1:14" ht="14.45" thickBot="1">
      <c r="A23" s="217" t="s">
        <v>232</v>
      </c>
      <c r="B23" s="251" t="s">
        <v>233</v>
      </c>
      <c r="C23" s="196" t="s">
        <v>68</v>
      </c>
      <c r="D23" s="204">
        <v>31</v>
      </c>
      <c r="E23" s="212">
        <v>1.06</v>
      </c>
      <c r="F23" s="240">
        <f t="shared" si="9"/>
        <v>32.86</v>
      </c>
      <c r="G23" s="241"/>
      <c r="H23" s="248">
        <f t="shared" si="10"/>
        <v>32.86</v>
      </c>
      <c r="I23" s="244"/>
      <c r="J23" s="238"/>
      <c r="K23" s="238"/>
      <c r="L23" s="238"/>
      <c r="M23" s="249"/>
      <c r="N23" s="239">
        <f t="shared" si="8"/>
        <v>32.86</v>
      </c>
    </row>
    <row r="24" spans="1:14" ht="27" thickBot="1">
      <c r="A24" s="217" t="s">
        <v>234</v>
      </c>
      <c r="B24" s="251" t="s">
        <v>235</v>
      </c>
      <c r="C24" s="196" t="s">
        <v>68</v>
      </c>
      <c r="D24" s="204">
        <f>4*31</f>
        <v>124</v>
      </c>
      <c r="E24" s="212">
        <v>0.19</v>
      </c>
      <c r="F24" s="240">
        <f>D24*E24</f>
        <v>23.56</v>
      </c>
      <c r="G24" s="241"/>
      <c r="H24" s="248">
        <f t="shared" si="10"/>
        <v>23.56</v>
      </c>
      <c r="I24" s="244"/>
      <c r="J24" s="238"/>
      <c r="K24" s="238"/>
      <c r="L24" s="238"/>
      <c r="M24" s="249"/>
      <c r="N24" s="239">
        <f t="shared" si="8"/>
        <v>23.56</v>
      </c>
    </row>
    <row r="25" spans="1:14" ht="14.45" thickBot="1">
      <c r="A25" s="217" t="s">
        <v>236</v>
      </c>
      <c r="B25" s="251" t="s">
        <v>237</v>
      </c>
      <c r="C25" s="196" t="s">
        <v>68</v>
      </c>
      <c r="D25" s="204">
        <v>31</v>
      </c>
      <c r="E25" s="212">
        <v>1.3</v>
      </c>
      <c r="F25" s="240">
        <f t="shared" si="9"/>
        <v>40.300000000000004</v>
      </c>
      <c r="G25" s="241"/>
      <c r="H25" s="248">
        <f t="shared" si="10"/>
        <v>40.300000000000004</v>
      </c>
      <c r="I25" s="244"/>
      <c r="J25" s="238"/>
      <c r="K25" s="238"/>
      <c r="L25" s="238"/>
      <c r="M25" s="249"/>
      <c r="N25" s="239">
        <f t="shared" si="8"/>
        <v>40.300000000000004</v>
      </c>
    </row>
    <row r="26" spans="1:14" ht="14.45" thickBot="1">
      <c r="A26" s="217" t="s">
        <v>238</v>
      </c>
      <c r="B26" s="251" t="s">
        <v>239</v>
      </c>
      <c r="C26" s="196" t="s">
        <v>68</v>
      </c>
      <c r="D26" s="204">
        <v>31</v>
      </c>
      <c r="E26" s="212">
        <v>0.22</v>
      </c>
      <c r="F26" s="240">
        <f t="shared" si="9"/>
        <v>6.82</v>
      </c>
      <c r="G26" s="241"/>
      <c r="H26" s="248">
        <f t="shared" si="10"/>
        <v>6.82</v>
      </c>
      <c r="I26" s="244"/>
      <c r="J26" s="238"/>
      <c r="K26" s="238"/>
      <c r="L26" s="238"/>
      <c r="M26" s="249"/>
      <c r="N26" s="239">
        <f t="shared" si="8"/>
        <v>6.82</v>
      </c>
    </row>
    <row r="27" spans="1:14" ht="14.45" thickBot="1">
      <c r="A27" s="217" t="s">
        <v>240</v>
      </c>
      <c r="B27" s="251" t="s">
        <v>241</v>
      </c>
      <c r="C27" s="196" t="s">
        <v>68</v>
      </c>
      <c r="D27" s="204">
        <v>31</v>
      </c>
      <c r="E27" s="212">
        <v>6.4</v>
      </c>
      <c r="F27" s="240">
        <f t="shared" si="9"/>
        <v>198.4</v>
      </c>
      <c r="G27" s="241"/>
      <c r="H27" s="248">
        <f t="shared" si="10"/>
        <v>198.4</v>
      </c>
      <c r="I27" s="244"/>
      <c r="J27" s="238"/>
      <c r="K27" s="238"/>
      <c r="L27" s="238"/>
      <c r="M27" s="249"/>
      <c r="N27" s="239">
        <f t="shared" si="8"/>
        <v>198.4</v>
      </c>
    </row>
    <row r="28" spans="1:14" ht="25.9" customHeight="1" thickBot="1">
      <c r="A28" s="217" t="s">
        <v>242</v>
      </c>
      <c r="B28" s="251" t="s">
        <v>243</v>
      </c>
      <c r="C28" s="196" t="s">
        <v>68</v>
      </c>
      <c r="D28" s="204">
        <v>31</v>
      </c>
      <c r="E28" s="212">
        <v>2.2999999999999998</v>
      </c>
      <c r="F28" s="240">
        <f t="shared" si="9"/>
        <v>71.3</v>
      </c>
      <c r="G28" s="241"/>
      <c r="H28" s="248">
        <f t="shared" si="10"/>
        <v>71.3</v>
      </c>
      <c r="I28" s="244"/>
      <c r="J28" s="238"/>
      <c r="K28" s="238"/>
      <c r="L28" s="238"/>
      <c r="M28" s="249"/>
      <c r="N28" s="239">
        <f t="shared" si="8"/>
        <v>71.3</v>
      </c>
    </row>
    <row r="29" spans="1:14" ht="14.45" thickBot="1">
      <c r="A29" s="217" t="s">
        <v>244</v>
      </c>
      <c r="B29" s="251" t="s">
        <v>245</v>
      </c>
      <c r="C29" s="196" t="s">
        <v>68</v>
      </c>
      <c r="D29" s="204">
        <v>31</v>
      </c>
      <c r="E29" s="212">
        <v>4</v>
      </c>
      <c r="F29" s="240">
        <f t="shared" si="9"/>
        <v>124</v>
      </c>
      <c r="G29" s="241"/>
      <c r="H29" s="248">
        <f t="shared" si="10"/>
        <v>124</v>
      </c>
      <c r="I29" s="244"/>
      <c r="J29" s="238"/>
      <c r="K29" s="238"/>
      <c r="L29" s="238"/>
      <c r="M29" s="249"/>
      <c r="N29" s="239">
        <f t="shared" si="8"/>
        <v>124</v>
      </c>
    </row>
    <row r="30" spans="1:14" ht="14.45" thickBot="1">
      <c r="A30" s="217" t="s">
        <v>246</v>
      </c>
      <c r="B30" s="251" t="s">
        <v>247</v>
      </c>
      <c r="C30" s="196" t="s">
        <v>68</v>
      </c>
      <c r="D30" s="204">
        <v>31</v>
      </c>
      <c r="E30" s="212">
        <v>2.75</v>
      </c>
      <c r="F30" s="240">
        <f t="shared" si="9"/>
        <v>85.25</v>
      </c>
      <c r="G30" s="241"/>
      <c r="H30" s="248">
        <f t="shared" si="10"/>
        <v>85.25</v>
      </c>
      <c r="I30" s="244"/>
      <c r="J30" s="238"/>
      <c r="K30" s="238"/>
      <c r="L30" s="238"/>
      <c r="M30" s="249"/>
      <c r="N30" s="239">
        <f t="shared" si="8"/>
        <v>85.25</v>
      </c>
    </row>
    <row r="31" spans="1:14" ht="14.45" thickBot="1">
      <c r="A31" s="217" t="s">
        <v>248</v>
      </c>
      <c r="B31" s="251" t="s">
        <v>247</v>
      </c>
      <c r="C31" s="196" t="s">
        <v>68</v>
      </c>
      <c r="D31" s="204">
        <v>31</v>
      </c>
      <c r="E31" s="212">
        <v>2.75</v>
      </c>
      <c r="F31" s="240">
        <f t="shared" si="9"/>
        <v>85.25</v>
      </c>
      <c r="G31" s="241"/>
      <c r="H31" s="248">
        <f t="shared" si="10"/>
        <v>85.25</v>
      </c>
      <c r="I31" s="244"/>
      <c r="J31" s="238"/>
      <c r="K31" s="238"/>
      <c r="L31" s="238"/>
      <c r="M31" s="249"/>
      <c r="N31" s="239">
        <f t="shared" si="8"/>
        <v>85.25</v>
      </c>
    </row>
    <row r="32" spans="1:14" ht="14.45" thickBot="1">
      <c r="A32" s="217" t="s">
        <v>249</v>
      </c>
      <c r="B32" s="251" t="s">
        <v>250</v>
      </c>
      <c r="C32" s="196" t="s">
        <v>68</v>
      </c>
      <c r="D32" s="204">
        <v>31</v>
      </c>
      <c r="E32" s="212">
        <v>0.55000000000000004</v>
      </c>
      <c r="F32" s="240">
        <f t="shared" si="9"/>
        <v>17.05</v>
      </c>
      <c r="G32" s="241"/>
      <c r="H32" s="248">
        <f t="shared" si="10"/>
        <v>17.05</v>
      </c>
      <c r="I32" s="244"/>
      <c r="J32" s="238"/>
      <c r="K32" s="238"/>
      <c r="L32" s="238"/>
      <c r="M32" s="249"/>
      <c r="N32" s="239">
        <f t="shared" si="8"/>
        <v>17.05</v>
      </c>
    </row>
    <row r="33" spans="1:14" ht="14.45" thickBot="1">
      <c r="A33" s="217" t="s">
        <v>251</v>
      </c>
      <c r="B33" s="251" t="s">
        <v>252</v>
      </c>
      <c r="C33" s="196" t="s">
        <v>68</v>
      </c>
      <c r="D33" s="204">
        <v>31</v>
      </c>
      <c r="E33" s="212">
        <v>2.5</v>
      </c>
      <c r="F33" s="240">
        <f t="shared" si="9"/>
        <v>77.5</v>
      </c>
      <c r="G33" s="241"/>
      <c r="H33" s="248">
        <f t="shared" si="10"/>
        <v>77.5</v>
      </c>
      <c r="I33" s="244"/>
      <c r="J33" s="238"/>
      <c r="K33" s="238"/>
      <c r="L33" s="238"/>
      <c r="M33" s="249"/>
      <c r="N33" s="239">
        <f t="shared" si="8"/>
        <v>77.5</v>
      </c>
    </row>
    <row r="34" spans="1:14" ht="14.45" thickBot="1">
      <c r="A34" s="217" t="s">
        <v>253</v>
      </c>
      <c r="B34" s="251" t="s">
        <v>254</v>
      </c>
      <c r="C34" s="196" t="s">
        <v>68</v>
      </c>
      <c r="D34" s="204">
        <f>31*2</f>
        <v>62</v>
      </c>
      <c r="E34" s="212">
        <v>0.56000000000000005</v>
      </c>
      <c r="F34" s="240">
        <f t="shared" si="9"/>
        <v>34.720000000000006</v>
      </c>
      <c r="G34" s="241"/>
      <c r="H34" s="248">
        <f t="shared" si="10"/>
        <v>34.720000000000006</v>
      </c>
      <c r="I34" s="244"/>
      <c r="J34" s="238"/>
      <c r="K34" s="238"/>
      <c r="L34" s="238"/>
      <c r="M34" s="249"/>
      <c r="N34" s="239">
        <f t="shared" si="8"/>
        <v>34.720000000000006</v>
      </c>
    </row>
    <row r="35" spans="1:14" ht="14.45" thickBot="1">
      <c r="A35" s="217" t="s">
        <v>175</v>
      </c>
      <c r="B35" s="251" t="s">
        <v>255</v>
      </c>
      <c r="C35" s="196" t="s">
        <v>26</v>
      </c>
      <c r="D35" s="196">
        <v>31</v>
      </c>
      <c r="E35" s="240">
        <v>1</v>
      </c>
      <c r="F35" s="240">
        <f t="shared" ref="F35:F37" si="11">D35*E35</f>
        <v>31</v>
      </c>
      <c r="G35" s="241"/>
      <c r="H35" s="248"/>
      <c r="I35" s="244">
        <f>F35</f>
        <v>31</v>
      </c>
      <c r="J35" s="238"/>
      <c r="K35" s="238"/>
      <c r="L35" s="238"/>
      <c r="M35" s="249"/>
      <c r="N35" s="239">
        <f t="shared" si="8"/>
        <v>31</v>
      </c>
    </row>
    <row r="36" spans="1:14" ht="40.15" thickBot="1">
      <c r="A36" s="217" t="s">
        <v>256</v>
      </c>
      <c r="B36" s="251" t="s">
        <v>257</v>
      </c>
      <c r="C36" s="196" t="s">
        <v>258</v>
      </c>
      <c r="D36" s="196">
        <f>31*2</f>
        <v>62</v>
      </c>
      <c r="E36" s="240">
        <v>12</v>
      </c>
      <c r="F36" s="240">
        <f t="shared" si="11"/>
        <v>744</v>
      </c>
      <c r="G36" s="241"/>
      <c r="H36" s="248"/>
      <c r="I36" s="244">
        <f t="shared" ref="I36:I37" si="12">F36</f>
        <v>744</v>
      </c>
      <c r="J36" s="238"/>
      <c r="K36" s="238"/>
      <c r="L36" s="238"/>
      <c r="M36" s="249"/>
      <c r="N36" s="239">
        <f t="shared" si="8"/>
        <v>744</v>
      </c>
    </row>
    <row r="37" spans="1:14" ht="128.25" customHeight="1" thickBot="1">
      <c r="A37" s="217" t="s">
        <v>259</v>
      </c>
      <c r="B37" s="252" t="s">
        <v>260</v>
      </c>
      <c r="C37" s="196" t="s">
        <v>135</v>
      </c>
      <c r="D37" s="198">
        <v>5</v>
      </c>
      <c r="E37" s="218">
        <f>200</f>
        <v>200</v>
      </c>
      <c r="F37" s="240">
        <f t="shared" si="11"/>
        <v>1000</v>
      </c>
      <c r="G37" s="241"/>
      <c r="H37" s="248"/>
      <c r="I37" s="244">
        <f t="shared" si="12"/>
        <v>1000</v>
      </c>
      <c r="J37" s="238"/>
      <c r="K37" s="238"/>
      <c r="L37" s="238"/>
      <c r="M37" s="249"/>
      <c r="N37" s="239">
        <f>SUM(H37:M37)</f>
        <v>1000</v>
      </c>
    </row>
    <row r="38" spans="1:14" ht="14.45" thickBot="1">
      <c r="A38" s="231"/>
      <c r="B38" s="389" t="s">
        <v>177</v>
      </c>
      <c r="C38" s="390"/>
      <c r="D38" s="390"/>
      <c r="E38" s="391"/>
      <c r="F38" s="232">
        <f>SUM(F14:F37)</f>
        <v>41962.360000000008</v>
      </c>
      <c r="G38" s="232">
        <f t="shared" ref="G38:M38" si="13">SUM(G14:G37)</f>
        <v>0</v>
      </c>
      <c r="H38" s="232">
        <f t="shared" si="13"/>
        <v>11836.598571428569</v>
      </c>
      <c r="I38" s="232">
        <f>SUM(I14:I37)</f>
        <v>22606.361428571428</v>
      </c>
      <c r="J38" s="232">
        <f t="shared" si="13"/>
        <v>8014.4</v>
      </c>
      <c r="K38" s="232">
        <f t="shared" si="13"/>
        <v>0</v>
      </c>
      <c r="L38" s="232">
        <f t="shared" si="13"/>
        <v>0</v>
      </c>
      <c r="M38" s="232">
        <f t="shared" si="13"/>
        <v>0</v>
      </c>
      <c r="N38" s="232">
        <f>SUM(H38:M38)</f>
        <v>42457.36</v>
      </c>
    </row>
    <row r="39" spans="1:14" ht="19.5" customHeight="1" thickBot="1">
      <c r="A39" s="399" t="s">
        <v>196</v>
      </c>
      <c r="B39" s="400"/>
      <c r="C39" s="400"/>
      <c r="D39" s="400"/>
      <c r="E39" s="401"/>
      <c r="F39" s="233">
        <f>F38</f>
        <v>41962.360000000008</v>
      </c>
      <c r="G39" s="233">
        <f t="shared" ref="G39:N39" si="14">G38</f>
        <v>0</v>
      </c>
      <c r="H39" s="233">
        <f t="shared" si="14"/>
        <v>11836.598571428569</v>
      </c>
      <c r="I39" s="233">
        <f t="shared" si="14"/>
        <v>22606.361428571428</v>
      </c>
      <c r="J39" s="233">
        <f t="shared" si="14"/>
        <v>8014.4</v>
      </c>
      <c r="K39" s="233">
        <f t="shared" si="14"/>
        <v>0</v>
      </c>
      <c r="L39" s="233">
        <f t="shared" si="14"/>
        <v>0</v>
      </c>
      <c r="M39" s="233">
        <f t="shared" si="14"/>
        <v>0</v>
      </c>
      <c r="N39" s="233">
        <f t="shared" si="14"/>
        <v>42457.36</v>
      </c>
    </row>
    <row r="40" spans="1:14" ht="15.75" customHeight="1" thickBot="1">
      <c r="A40" s="253" t="s">
        <v>261</v>
      </c>
      <c r="B40" s="392" t="s">
        <v>262</v>
      </c>
      <c r="C40" s="393"/>
      <c r="D40" s="393"/>
      <c r="E40" s="393"/>
      <c r="F40" s="393"/>
      <c r="G40" s="393"/>
      <c r="H40" s="393"/>
      <c r="I40" s="393"/>
      <c r="J40" s="393"/>
      <c r="K40" s="393"/>
      <c r="L40" s="393"/>
      <c r="M40" s="393"/>
      <c r="N40" s="394"/>
    </row>
    <row r="41" spans="1:14" ht="15.75" customHeight="1" thickBot="1">
      <c r="A41" s="230" t="s">
        <v>263</v>
      </c>
      <c r="B41" s="395" t="s">
        <v>264</v>
      </c>
      <c r="C41" s="396"/>
      <c r="D41" s="396"/>
      <c r="E41" s="396"/>
      <c r="F41" s="396"/>
      <c r="G41" s="396"/>
      <c r="H41" s="396"/>
      <c r="I41" s="396"/>
      <c r="J41" s="396"/>
      <c r="K41" s="396"/>
      <c r="L41" s="396"/>
      <c r="M41" s="396"/>
      <c r="N41" s="397"/>
    </row>
    <row r="42" spans="1:14" s="131" customFormat="1" ht="71.25" customHeight="1" thickBot="1">
      <c r="A42" s="254" t="s">
        <v>265</v>
      </c>
      <c r="B42" s="208" t="s">
        <v>266</v>
      </c>
      <c r="C42" s="196" t="s">
        <v>48</v>
      </c>
      <c r="D42" s="207">
        <v>1</v>
      </c>
      <c r="E42" s="255">
        <v>10000</v>
      </c>
      <c r="F42" s="256">
        <f t="shared" ref="F42" si="15">E42*D42</f>
        <v>10000</v>
      </c>
      <c r="G42" s="207"/>
      <c r="H42" s="257">
        <f>F42*30%</f>
        <v>3000</v>
      </c>
      <c r="I42" s="244">
        <f>F42*70%</f>
        <v>7000</v>
      </c>
      <c r="J42" s="257"/>
      <c r="K42" s="257"/>
      <c r="L42" s="257"/>
      <c r="M42" s="235"/>
      <c r="N42" s="236">
        <f t="shared" ref="N42" si="16">SUM(H42:M42)</f>
        <v>10000</v>
      </c>
    </row>
    <row r="43" spans="1:14" ht="13.5" customHeight="1" thickBot="1">
      <c r="A43" s="231"/>
      <c r="B43" s="389" t="s">
        <v>267</v>
      </c>
      <c r="C43" s="390"/>
      <c r="D43" s="390"/>
      <c r="E43" s="391"/>
      <c r="F43" s="232">
        <f>SUM(F42)</f>
        <v>10000</v>
      </c>
      <c r="G43" s="232">
        <f>SUM(G39)</f>
        <v>0</v>
      </c>
      <c r="H43" s="258">
        <f>SUM(H42)</f>
        <v>3000</v>
      </c>
      <c r="I43" s="258">
        <f t="shared" ref="I43:J43" si="17">SUM(I42)</f>
        <v>7000</v>
      </c>
      <c r="J43" s="258">
        <f t="shared" si="17"/>
        <v>0</v>
      </c>
      <c r="K43" s="258">
        <f t="shared" ref="K43:M43" si="18">SUM(K39)</f>
        <v>0</v>
      </c>
      <c r="L43" s="258">
        <f t="shared" si="18"/>
        <v>0</v>
      </c>
      <c r="M43" s="258">
        <f t="shared" si="18"/>
        <v>0</v>
      </c>
      <c r="N43" s="232">
        <f>SUM(H43:M43)</f>
        <v>10000</v>
      </c>
    </row>
    <row r="44" spans="1:14" ht="19.5" customHeight="1" thickBot="1">
      <c r="A44" s="399" t="s">
        <v>268</v>
      </c>
      <c r="B44" s="400"/>
      <c r="C44" s="400"/>
      <c r="D44" s="400"/>
      <c r="E44" s="401"/>
      <c r="F44" s="233">
        <f>F43</f>
        <v>10000</v>
      </c>
      <c r="G44" s="233">
        <f t="shared" ref="G44:M44" si="19">G43</f>
        <v>0</v>
      </c>
      <c r="H44" s="233">
        <f t="shared" si="19"/>
        <v>3000</v>
      </c>
      <c r="I44" s="233">
        <f t="shared" si="19"/>
        <v>7000</v>
      </c>
      <c r="J44" s="233">
        <f t="shared" si="19"/>
        <v>0</v>
      </c>
      <c r="K44" s="233">
        <f t="shared" si="19"/>
        <v>0</v>
      </c>
      <c r="L44" s="233">
        <f t="shared" si="19"/>
        <v>0</v>
      </c>
      <c r="M44" s="233">
        <f t="shared" si="19"/>
        <v>0</v>
      </c>
      <c r="N44" s="233">
        <f>N43</f>
        <v>10000</v>
      </c>
    </row>
    <row r="45" spans="1:14" ht="15.75" customHeight="1" thickBot="1">
      <c r="A45" s="253" t="s">
        <v>269</v>
      </c>
      <c r="B45" s="392" t="s">
        <v>270</v>
      </c>
      <c r="C45" s="393"/>
      <c r="D45" s="393"/>
      <c r="E45" s="393"/>
      <c r="F45" s="393"/>
      <c r="G45" s="393"/>
      <c r="H45" s="393"/>
      <c r="I45" s="393"/>
      <c r="J45" s="393"/>
      <c r="K45" s="393"/>
      <c r="L45" s="393"/>
      <c r="M45" s="393"/>
      <c r="N45" s="394"/>
    </row>
    <row r="46" spans="1:14" ht="15.75" customHeight="1" thickBot="1">
      <c r="A46" s="230" t="s">
        <v>271</v>
      </c>
      <c r="B46" s="395" t="s">
        <v>164</v>
      </c>
      <c r="C46" s="396"/>
      <c r="D46" s="396"/>
      <c r="E46" s="396"/>
      <c r="F46" s="396"/>
      <c r="G46" s="396"/>
      <c r="H46" s="396"/>
      <c r="I46" s="396"/>
      <c r="J46" s="396"/>
      <c r="K46" s="396"/>
      <c r="L46" s="396"/>
      <c r="M46" s="396"/>
      <c r="N46" s="397"/>
    </row>
    <row r="47" spans="1:14" ht="72" customHeight="1" thickBot="1">
      <c r="A47" s="259" t="s">
        <v>272</v>
      </c>
      <c r="B47" s="260" t="s">
        <v>273</v>
      </c>
      <c r="C47" s="198" t="s">
        <v>48</v>
      </c>
      <c r="D47" s="198">
        <v>2</v>
      </c>
      <c r="E47" s="261">
        <v>200</v>
      </c>
      <c r="F47" s="261">
        <f t="shared" ref="F47:F53" si="20">E47*D47/2</f>
        <v>200</v>
      </c>
      <c r="G47" s="261">
        <f t="shared" ref="G47:G53" si="21">E47*D47/2</f>
        <v>200</v>
      </c>
      <c r="H47" s="262">
        <v>100</v>
      </c>
      <c r="I47" s="249"/>
      <c r="J47" s="341">
        <v>100</v>
      </c>
      <c r="K47" s="249"/>
      <c r="L47" s="249"/>
      <c r="M47" s="249"/>
      <c r="N47" s="261">
        <f>SUM(H47:M47)</f>
        <v>200</v>
      </c>
    </row>
    <row r="48" spans="1:14" ht="193.5" customHeight="1" thickBot="1">
      <c r="A48" s="259" t="s">
        <v>274</v>
      </c>
      <c r="B48" s="263" t="s">
        <v>275</v>
      </c>
      <c r="C48" s="198" t="s">
        <v>48</v>
      </c>
      <c r="D48" s="264">
        <v>9</v>
      </c>
      <c r="E48" s="265">
        <v>350</v>
      </c>
      <c r="F48" s="265">
        <f>(D48*E48)/2</f>
        <v>1575</v>
      </c>
      <c r="G48" s="265">
        <f>(D48*E48)-F48</f>
        <v>1575</v>
      </c>
      <c r="H48" s="266">
        <v>525</v>
      </c>
      <c r="I48" s="265">
        <v>700</v>
      </c>
      <c r="J48" s="341">
        <v>350</v>
      </c>
      <c r="K48" s="249"/>
      <c r="L48" s="249"/>
      <c r="M48" s="249"/>
      <c r="N48" s="265">
        <f>SUM(H48:M48)</f>
        <v>1575</v>
      </c>
    </row>
    <row r="49" spans="1:14" ht="143.25" customHeight="1" thickBot="1">
      <c r="A49" s="259" t="s">
        <v>276</v>
      </c>
      <c r="B49" s="263" t="s">
        <v>277</v>
      </c>
      <c r="C49" s="198" t="s">
        <v>48</v>
      </c>
      <c r="D49" s="264">
        <v>9</v>
      </c>
      <c r="E49" s="265">
        <v>300</v>
      </c>
      <c r="F49" s="265">
        <f>E49*D49/2</f>
        <v>1350</v>
      </c>
      <c r="G49" s="265">
        <f t="shared" si="21"/>
        <v>1350</v>
      </c>
      <c r="H49" s="266">
        <v>450</v>
      </c>
      <c r="I49" s="265">
        <v>600</v>
      </c>
      <c r="J49" s="330">
        <v>300</v>
      </c>
      <c r="K49" s="249"/>
      <c r="L49" s="249"/>
      <c r="M49" s="249"/>
      <c r="N49" s="265">
        <f>SUM(H49:M49)</f>
        <v>1350</v>
      </c>
    </row>
    <row r="50" spans="1:14" ht="53.25" customHeight="1" thickBot="1">
      <c r="A50" s="259" t="s">
        <v>278</v>
      </c>
      <c r="B50" s="263" t="s">
        <v>279</v>
      </c>
      <c r="C50" s="198" t="s">
        <v>48</v>
      </c>
      <c r="D50" s="264">
        <v>9</v>
      </c>
      <c r="E50" s="265">
        <v>300</v>
      </c>
      <c r="F50" s="265">
        <f t="shared" si="20"/>
        <v>1350</v>
      </c>
      <c r="G50" s="265">
        <f t="shared" si="21"/>
        <v>1350</v>
      </c>
      <c r="H50" s="266">
        <v>450</v>
      </c>
      <c r="I50" s="265">
        <v>600</v>
      </c>
      <c r="J50" s="330">
        <v>300</v>
      </c>
      <c r="K50" s="249"/>
      <c r="L50" s="249"/>
      <c r="M50" s="249"/>
      <c r="N50" s="265">
        <f t="shared" ref="N50:N53" si="22">SUM(H50:M50)</f>
        <v>1350</v>
      </c>
    </row>
    <row r="51" spans="1:14" ht="63" customHeight="1" thickBot="1">
      <c r="A51" s="325" t="s">
        <v>280</v>
      </c>
      <c r="B51" s="338" t="s">
        <v>281</v>
      </c>
      <c r="C51" s="333" t="s">
        <v>48</v>
      </c>
      <c r="D51" s="327">
        <v>6</v>
      </c>
      <c r="E51" s="339">
        <v>350</v>
      </c>
      <c r="F51" s="339">
        <v>441</v>
      </c>
      <c r="G51" s="339">
        <f>(D51*E51)-F51</f>
        <v>1659</v>
      </c>
      <c r="H51" s="340">
        <f t="shared" ref="H51" si="23">F51/7*3</f>
        <v>189</v>
      </c>
      <c r="I51" s="329">
        <f>F51/7*4</f>
        <v>252</v>
      </c>
      <c r="J51" s="337">
        <v>220.5</v>
      </c>
      <c r="K51" s="249"/>
      <c r="L51" s="249"/>
      <c r="M51" s="249"/>
      <c r="N51" s="261">
        <f>SUM(H51:M51)</f>
        <v>661.5</v>
      </c>
    </row>
    <row r="52" spans="1:14" ht="51.6" customHeight="1" thickBot="1">
      <c r="A52" s="267" t="s">
        <v>282</v>
      </c>
      <c r="B52" s="268" t="s">
        <v>283</v>
      </c>
      <c r="C52" s="204" t="s">
        <v>48</v>
      </c>
      <c r="D52" s="269">
        <v>9</v>
      </c>
      <c r="E52" s="270">
        <v>200</v>
      </c>
      <c r="F52" s="270">
        <f t="shared" si="20"/>
        <v>900</v>
      </c>
      <c r="G52" s="270">
        <f t="shared" si="21"/>
        <v>900</v>
      </c>
      <c r="H52" s="271">
        <v>300</v>
      </c>
      <c r="I52" s="265">
        <v>400</v>
      </c>
      <c r="J52" s="331">
        <v>200</v>
      </c>
      <c r="K52" s="272"/>
      <c r="L52" s="272"/>
      <c r="M52" s="272"/>
      <c r="N52" s="270">
        <f t="shared" si="22"/>
        <v>900</v>
      </c>
    </row>
    <row r="53" spans="1:14" ht="51.6" customHeight="1" thickBot="1">
      <c r="A53" s="332" t="s">
        <v>284</v>
      </c>
      <c r="B53" s="325" t="s">
        <v>285</v>
      </c>
      <c r="C53" s="333" t="s">
        <v>48</v>
      </c>
      <c r="D53" s="334">
        <v>4</v>
      </c>
      <c r="E53" s="328">
        <v>200</v>
      </c>
      <c r="F53" s="335">
        <f t="shared" si="20"/>
        <v>400</v>
      </c>
      <c r="G53" s="328">
        <f t="shared" si="21"/>
        <v>400</v>
      </c>
      <c r="H53" s="336">
        <v>85.71</v>
      </c>
      <c r="I53" s="329">
        <v>114.29</v>
      </c>
      <c r="J53" s="337">
        <v>200</v>
      </c>
      <c r="K53" s="249"/>
      <c r="L53" s="249"/>
      <c r="M53" s="249"/>
      <c r="N53" s="209">
        <f t="shared" si="22"/>
        <v>400</v>
      </c>
    </row>
    <row r="54" spans="1:14" ht="51.6" customHeight="1" thickBot="1">
      <c r="A54" s="267" t="s">
        <v>286</v>
      </c>
      <c r="B54" s="259" t="s">
        <v>287</v>
      </c>
      <c r="C54" s="196" t="s">
        <v>48</v>
      </c>
      <c r="D54" s="273">
        <v>9</v>
      </c>
      <c r="E54" s="209">
        <v>350</v>
      </c>
      <c r="F54" s="274"/>
      <c r="G54" s="209">
        <f t="shared" ref="G54" si="24">E54*D54/2</f>
        <v>1575</v>
      </c>
      <c r="H54" s="275"/>
      <c r="I54" s="209"/>
      <c r="J54" s="209"/>
      <c r="K54" s="249"/>
      <c r="L54" s="249"/>
      <c r="M54" s="249"/>
      <c r="N54" s="209">
        <f t="shared" ref="N54" si="25">SUM(H54:M54)</f>
        <v>0</v>
      </c>
    </row>
    <row r="55" spans="1:14" ht="15.75" customHeight="1" thickBot="1">
      <c r="A55" s="276"/>
      <c r="B55" s="403" t="s">
        <v>288</v>
      </c>
      <c r="C55" s="404"/>
      <c r="D55" s="404"/>
      <c r="E55" s="405"/>
      <c r="F55" s="277">
        <f>SUM(F47:F54)</f>
        <v>6216</v>
      </c>
      <c r="G55" s="277">
        <f>SUM(G47:G54)</f>
        <v>9009</v>
      </c>
      <c r="H55" s="277">
        <f>SUM(H47:H53)</f>
        <v>2099.71</v>
      </c>
      <c r="I55" s="277">
        <f>SUM(I47:I53)</f>
        <v>2666.29</v>
      </c>
      <c r="J55" s="277">
        <f>SUM(J47:J53)</f>
        <v>1670.5</v>
      </c>
      <c r="K55" s="277">
        <f>SUM(K47:K52)</f>
        <v>0</v>
      </c>
      <c r="L55" s="277">
        <f>SUM(L47:L52)</f>
        <v>0</v>
      </c>
      <c r="M55" s="277">
        <f>SUM(M47:M52)</f>
        <v>0</v>
      </c>
      <c r="N55" s="278">
        <f>SUM(H55:M55)</f>
        <v>6436.5</v>
      </c>
    </row>
    <row r="56" spans="1:14" ht="15.75" customHeight="1" thickBot="1">
      <c r="A56" s="230" t="s">
        <v>289</v>
      </c>
      <c r="B56" s="395" t="s">
        <v>179</v>
      </c>
      <c r="C56" s="396"/>
      <c r="D56" s="396"/>
      <c r="E56" s="396"/>
      <c r="F56" s="396"/>
      <c r="G56" s="396"/>
      <c r="H56" s="396"/>
      <c r="I56" s="396"/>
      <c r="J56" s="396"/>
      <c r="K56" s="396"/>
      <c r="L56" s="396"/>
      <c r="M56" s="396"/>
      <c r="N56" s="397"/>
    </row>
    <row r="57" spans="1:14" s="132" customFormat="1" ht="58.5" customHeight="1" thickBot="1">
      <c r="A57" s="279" t="s">
        <v>290</v>
      </c>
      <c r="B57" s="280" t="s">
        <v>291</v>
      </c>
      <c r="C57" s="199" t="s">
        <v>130</v>
      </c>
      <c r="D57" s="199">
        <v>9</v>
      </c>
      <c r="E57" s="255">
        <v>450</v>
      </c>
      <c r="F57" s="265">
        <f>D57*E57/2</f>
        <v>2025</v>
      </c>
      <c r="G57" s="265">
        <v>2025</v>
      </c>
      <c r="H57" s="275">
        <v>675</v>
      </c>
      <c r="I57" s="209">
        <v>300</v>
      </c>
      <c r="J57" s="323">
        <v>450</v>
      </c>
      <c r="K57" s="209"/>
      <c r="L57" s="281"/>
      <c r="M57" s="281">
        <v>0</v>
      </c>
      <c r="N57" s="209">
        <f t="shared" ref="N57:N59" si="26">SUM(H57:M57)</f>
        <v>1425</v>
      </c>
    </row>
    <row r="58" spans="1:14" ht="57.75" customHeight="1" thickBot="1">
      <c r="A58" s="325" t="s">
        <v>292</v>
      </c>
      <c r="B58" s="326" t="s">
        <v>293</v>
      </c>
      <c r="C58" s="327" t="s">
        <v>184</v>
      </c>
      <c r="D58" s="327">
        <f>31*7*8</f>
        <v>1736</v>
      </c>
      <c r="E58" s="328">
        <v>1</v>
      </c>
      <c r="F58" s="329"/>
      <c r="G58" s="329">
        <f>E58*D58</f>
        <v>1736</v>
      </c>
      <c r="H58" s="275"/>
      <c r="I58" s="209"/>
      <c r="J58" s="323"/>
      <c r="K58" s="275"/>
      <c r="L58" s="275"/>
      <c r="M58" s="275"/>
      <c r="N58" s="209">
        <f t="shared" si="26"/>
        <v>0</v>
      </c>
    </row>
    <row r="59" spans="1:14" ht="48" customHeight="1" thickBot="1">
      <c r="A59" s="279" t="s">
        <v>294</v>
      </c>
      <c r="B59" s="260" t="s">
        <v>295</v>
      </c>
      <c r="C59" s="199" t="s">
        <v>187</v>
      </c>
      <c r="D59" s="199">
        <v>9</v>
      </c>
      <c r="E59" s="255">
        <v>300</v>
      </c>
      <c r="F59" s="265">
        <v>900</v>
      </c>
      <c r="G59" s="265">
        <f>(D59*E59)-F59</f>
        <v>1800</v>
      </c>
      <c r="H59" s="275">
        <v>300</v>
      </c>
      <c r="I59" s="275">
        <v>400</v>
      </c>
      <c r="J59" s="324">
        <v>200</v>
      </c>
      <c r="K59" s="275"/>
      <c r="L59" s="275"/>
      <c r="M59" s="281">
        <v>0</v>
      </c>
      <c r="N59" s="209">
        <f t="shared" si="26"/>
        <v>900</v>
      </c>
    </row>
    <row r="60" spans="1:14" ht="15.75" customHeight="1" thickBot="1">
      <c r="A60" s="282"/>
      <c r="B60" s="406" t="s">
        <v>296</v>
      </c>
      <c r="C60" s="407"/>
      <c r="D60" s="407"/>
      <c r="E60" s="408"/>
      <c r="F60" s="232">
        <f>SUM(F57:F59)</f>
        <v>2925</v>
      </c>
      <c r="G60" s="283">
        <f>SUM(G57:G59)</f>
        <v>5561</v>
      </c>
      <c r="H60" s="284">
        <f>SUM(H57:H59)</f>
        <v>975</v>
      </c>
      <c r="I60" s="285">
        <f t="shared" ref="I60:M60" si="27">SUM(I57:I59)</f>
        <v>700</v>
      </c>
      <c r="J60" s="285">
        <f t="shared" si="27"/>
        <v>650</v>
      </c>
      <c r="K60" s="285">
        <f t="shared" si="27"/>
        <v>0</v>
      </c>
      <c r="L60" s="285">
        <f t="shared" si="27"/>
        <v>0</v>
      </c>
      <c r="M60" s="285">
        <f t="shared" si="27"/>
        <v>0</v>
      </c>
      <c r="N60" s="286">
        <f>SUM(N57:N59)</f>
        <v>2325</v>
      </c>
    </row>
    <row r="61" spans="1:14" ht="15.75" customHeight="1" thickBot="1">
      <c r="A61" s="287" t="s">
        <v>297</v>
      </c>
      <c r="B61" s="395" t="s">
        <v>190</v>
      </c>
      <c r="C61" s="396"/>
      <c r="D61" s="396"/>
      <c r="E61" s="396"/>
      <c r="F61" s="396"/>
      <c r="G61" s="396"/>
      <c r="H61" s="396"/>
      <c r="I61" s="396"/>
      <c r="J61" s="396"/>
      <c r="K61" s="396"/>
      <c r="L61" s="396"/>
      <c r="M61" s="396"/>
      <c r="N61" s="397"/>
    </row>
    <row r="62" spans="1:14" ht="40.5" customHeight="1" thickBot="1">
      <c r="A62" s="288" t="s">
        <v>298</v>
      </c>
      <c r="B62" s="289" t="s">
        <v>299</v>
      </c>
      <c r="C62" s="200" t="s">
        <v>48</v>
      </c>
      <c r="D62" s="200">
        <v>9</v>
      </c>
      <c r="E62" s="255">
        <v>450</v>
      </c>
      <c r="F62" s="261"/>
      <c r="G62" s="261">
        <f>D62*E62</f>
        <v>4050</v>
      </c>
      <c r="H62" s="275"/>
      <c r="I62" s="209"/>
      <c r="J62" s="209"/>
      <c r="K62" s="209"/>
      <c r="L62" s="209"/>
      <c r="M62" s="209"/>
      <c r="N62" s="209">
        <f>SUM(H62:M62)</f>
        <v>0</v>
      </c>
    </row>
    <row r="63" spans="1:14" ht="15.75" customHeight="1" thickBot="1">
      <c r="A63" s="282"/>
      <c r="B63" s="406" t="s">
        <v>300</v>
      </c>
      <c r="C63" s="407"/>
      <c r="D63" s="407"/>
      <c r="E63" s="409"/>
      <c r="F63" s="285">
        <f>SUM(F62:F62)</f>
        <v>0</v>
      </c>
      <c r="G63" s="290">
        <f>SUM(G62:G62)</f>
        <v>4050</v>
      </c>
      <c r="H63" s="258">
        <f t="shared" ref="H63:N63" si="28">SUM(H62:H62)</f>
        <v>0</v>
      </c>
      <c r="I63" s="258">
        <f t="shared" si="28"/>
        <v>0</v>
      </c>
      <c r="J63" s="258">
        <f t="shared" si="28"/>
        <v>0</v>
      </c>
      <c r="K63" s="258">
        <f t="shared" si="28"/>
        <v>0</v>
      </c>
      <c r="L63" s="258">
        <f t="shared" si="28"/>
        <v>0</v>
      </c>
      <c r="M63" s="258">
        <f t="shared" si="28"/>
        <v>0</v>
      </c>
      <c r="N63" s="291">
        <f t="shared" si="28"/>
        <v>0</v>
      </c>
    </row>
    <row r="64" spans="1:14" ht="15.75" customHeight="1" thickBot="1">
      <c r="A64" s="399" t="s">
        <v>301</v>
      </c>
      <c r="B64" s="400"/>
      <c r="C64" s="400"/>
      <c r="D64" s="400"/>
      <c r="E64" s="401"/>
      <c r="F64" s="292">
        <f>F63+F60+F55</f>
        <v>9141</v>
      </c>
      <c r="G64" s="292">
        <f>G63+G60+G55</f>
        <v>18620</v>
      </c>
      <c r="H64" s="292">
        <f t="shared" ref="H64:N64" si="29">H63+H60+H55</f>
        <v>3074.71</v>
      </c>
      <c r="I64" s="292">
        <f t="shared" si="29"/>
        <v>3366.29</v>
      </c>
      <c r="J64" s="292">
        <f t="shared" si="29"/>
        <v>2320.5</v>
      </c>
      <c r="K64" s="292">
        <f t="shared" si="29"/>
        <v>0</v>
      </c>
      <c r="L64" s="292">
        <f t="shared" si="29"/>
        <v>0</v>
      </c>
      <c r="M64" s="292">
        <f t="shared" si="29"/>
        <v>0</v>
      </c>
      <c r="N64" s="293">
        <f t="shared" si="29"/>
        <v>8761.5</v>
      </c>
    </row>
    <row r="65" spans="1:14" ht="32.25" customHeight="1">
      <c r="A65" s="410" t="s">
        <v>197</v>
      </c>
      <c r="B65" s="411"/>
      <c r="C65" s="411"/>
      <c r="D65" s="411"/>
      <c r="E65" s="412"/>
      <c r="F65" s="294">
        <f>F39+F64+F44+F11</f>
        <v>91103.360000000015</v>
      </c>
      <c r="G65" s="294">
        <f>G39+G64+G44+G11</f>
        <v>18620</v>
      </c>
      <c r="H65" s="294">
        <f t="shared" ref="H65:N65" si="30">H39+H64+H44+H11</f>
        <v>47911.30857142857</v>
      </c>
      <c r="I65" s="294">
        <f>I39+I64+I44+I11</f>
        <v>32972.651428571429</v>
      </c>
      <c r="J65" s="294">
        <f t="shared" si="30"/>
        <v>10334.9</v>
      </c>
      <c r="K65" s="294">
        <f t="shared" si="30"/>
        <v>0</v>
      </c>
      <c r="L65" s="294">
        <f t="shared" si="30"/>
        <v>0</v>
      </c>
      <c r="M65" s="294">
        <f t="shared" si="30"/>
        <v>0</v>
      </c>
      <c r="N65" s="294">
        <f t="shared" si="30"/>
        <v>91218.86</v>
      </c>
    </row>
    <row r="66" spans="1:14" s="6" customFormat="1" ht="27" customHeight="1">
      <c r="A66" s="413"/>
      <c r="B66" s="413"/>
      <c r="C66" s="413"/>
      <c r="D66" s="413"/>
      <c r="E66" s="413"/>
      <c r="F66" s="295"/>
      <c r="G66" s="223"/>
      <c r="H66" s="296"/>
      <c r="I66" s="223"/>
      <c r="J66" s="223"/>
      <c r="K66" s="222"/>
      <c r="L66" s="222"/>
      <c r="M66" s="222"/>
      <c r="N66" s="221"/>
    </row>
    <row r="67" spans="1:14" s="6" customFormat="1">
      <c r="A67" s="224"/>
      <c r="B67" s="220"/>
      <c r="C67" s="194"/>
      <c r="D67" s="194"/>
      <c r="E67" s="221"/>
      <c r="F67" s="223"/>
      <c r="G67" s="222"/>
      <c r="H67" s="224"/>
      <c r="I67" s="222"/>
      <c r="J67" s="222"/>
      <c r="K67" s="222"/>
      <c r="L67" s="222"/>
      <c r="M67" s="222"/>
      <c r="N67" s="221"/>
    </row>
    <row r="68" spans="1:14">
      <c r="A68" s="224"/>
      <c r="B68" s="220"/>
      <c r="D68" s="194"/>
      <c r="E68" s="221"/>
      <c r="F68" s="223"/>
      <c r="G68" s="223"/>
      <c r="H68" s="224"/>
      <c r="I68" s="222"/>
      <c r="J68" s="222"/>
      <c r="K68" s="222"/>
      <c r="L68" s="222"/>
      <c r="M68" s="222"/>
      <c r="N68" s="221"/>
    </row>
    <row r="69" spans="1:14" s="6" customFormat="1" ht="38.25" customHeight="1">
      <c r="A69" s="414" t="s">
        <v>198</v>
      </c>
      <c r="B69" s="415"/>
      <c r="C69" s="415"/>
      <c r="D69" s="415"/>
      <c r="E69" s="415"/>
      <c r="F69" s="416"/>
      <c r="G69" s="222"/>
      <c r="H69" s="297"/>
      <c r="I69" s="222"/>
      <c r="J69" s="222"/>
      <c r="K69" s="222"/>
      <c r="L69" s="222"/>
      <c r="M69" s="222"/>
      <c r="N69" s="221"/>
    </row>
    <row r="70" spans="1:14" s="6" customFormat="1">
      <c r="A70" s="298"/>
      <c r="B70" s="299" t="s">
        <v>199</v>
      </c>
      <c r="C70" s="201" t="s">
        <v>7</v>
      </c>
      <c r="D70" s="201" t="s">
        <v>200</v>
      </c>
      <c r="E70" s="300" t="s">
        <v>201</v>
      </c>
      <c r="F70" s="301" t="s">
        <v>202</v>
      </c>
      <c r="G70" s="222"/>
      <c r="H70" s="297"/>
      <c r="I70" s="222"/>
      <c r="J70" s="222"/>
      <c r="K70" s="222"/>
      <c r="L70" s="222"/>
      <c r="M70" s="222"/>
      <c r="N70" s="221"/>
    </row>
    <row r="71" spans="1:14" s="6" customFormat="1">
      <c r="A71" s="302"/>
      <c r="B71" s="303" t="s">
        <v>161</v>
      </c>
      <c r="C71" s="38"/>
      <c r="D71" s="38"/>
      <c r="E71" s="205"/>
      <c r="F71" s="304"/>
      <c r="G71" s="222"/>
      <c r="H71" s="297"/>
      <c r="I71" s="222"/>
      <c r="J71" s="222"/>
      <c r="K71" s="222"/>
      <c r="L71" s="222"/>
      <c r="M71" s="222"/>
      <c r="N71" s="221"/>
    </row>
    <row r="72" spans="1:14" s="124" customFormat="1" ht="47.25" customHeight="1">
      <c r="A72" s="302"/>
      <c r="B72" s="305" t="str">
        <f t="shared" ref="B72:E78" si="31">B47</f>
        <v xml:space="preserve">Coordinación de recursos humanos  Hilda Hernández (dedicación del 50% de su tiempo al proyecto = $200 por 1 mese). 25% FUSALMO, 25% UNICEF. </v>
      </c>
      <c r="C72" s="206" t="str">
        <f t="shared" si="31"/>
        <v>Asistencia Técnica</v>
      </c>
      <c r="D72" s="206">
        <f t="shared" si="31"/>
        <v>2</v>
      </c>
      <c r="E72" s="306">
        <f t="shared" si="31"/>
        <v>200</v>
      </c>
      <c r="F72" s="304">
        <f t="shared" ref="F72:F78" si="32">G47</f>
        <v>200</v>
      </c>
      <c r="G72" s="307"/>
      <c r="H72" s="308"/>
      <c r="I72" s="307"/>
      <c r="J72" s="307"/>
      <c r="K72" s="307"/>
      <c r="L72" s="307"/>
      <c r="M72" s="307"/>
      <c r="N72" s="309"/>
    </row>
    <row r="73" spans="1:14" s="124" customFormat="1" ht="165.6">
      <c r="A73" s="302"/>
      <c r="B73" s="305" t="str">
        <f t="shared" si="31"/>
        <v>Auxiliar contable del proyecto   Oscar Vega  (dedicación del 40% de su tiempo al proyecto=$350.00 por mes). FUSALMO asume el 20% y UNICEF asume el 20% NO ENTIENDO AL PRINCIPIO DICE "OSCAR Vega 40% y luego en el paéntesis dice 30% y luego 20% unicef. Favor dejar solo el % que contribuye unicef, el del socio va en la contrapartida. ESTO NO ESTÁ BIEN. DIVIDEN  LO QUE EL SOCIO REFLEJA $1,400 ENTRE LOS 3 TRIMESTRES ES $466.66 Y LO DE UNICEF SON $450.00 ESO QUIERE DECIR QUE ES CASI EL 50% DE CONTRIBUCION DE UNICEF Y NO LOS % QUE ESTAN COLOCANDO</v>
      </c>
      <c r="C73" s="206" t="str">
        <f t="shared" si="31"/>
        <v>Asistencia Técnica</v>
      </c>
      <c r="D73" s="206">
        <f t="shared" si="31"/>
        <v>9</v>
      </c>
      <c r="E73" s="306">
        <f t="shared" si="31"/>
        <v>350</v>
      </c>
      <c r="F73" s="304">
        <f t="shared" si="32"/>
        <v>1575</v>
      </c>
      <c r="G73" s="307"/>
      <c r="H73" s="308"/>
      <c r="I73" s="307"/>
      <c r="J73" s="307"/>
      <c r="K73" s="307"/>
      <c r="L73" s="307"/>
      <c r="M73" s="307"/>
      <c r="N73" s="309"/>
    </row>
    <row r="74" spans="1:14" s="124" customFormat="1" ht="110.45">
      <c r="A74" s="302"/>
      <c r="B74" s="305" t="str">
        <f t="shared" si="31"/>
        <v>Técnico área  de Educación  Erick Amilcar Aragón Dedicación del 30% de su tiempo al proyecto =$300 por mes. (FUSALMO asume el 15% y UNICEF asume el 15%). NO CUADRA, PARECE SER EL 50% ESTO ESTÁ MAL CALCULADO. SI EL SALARIO DE LA PERSONA ES $1,500 AL MES (POR EJEMPLO), DE ESS $1,500 PODEMOS FINANCIAR MÁXIMO UN 50% MENSUAL, FAVOR SER MAS CLAROS EN EL RPORRATEO</v>
      </c>
      <c r="C74" s="206" t="str">
        <f t="shared" si="31"/>
        <v>Asistencia Técnica</v>
      </c>
      <c r="D74" s="206">
        <f t="shared" si="31"/>
        <v>9</v>
      </c>
      <c r="E74" s="306">
        <f t="shared" si="31"/>
        <v>300</v>
      </c>
      <c r="F74" s="304">
        <f t="shared" si="32"/>
        <v>1350</v>
      </c>
      <c r="G74" s="307"/>
      <c r="H74" s="308"/>
      <c r="I74" s="307"/>
      <c r="J74" s="307"/>
      <c r="K74" s="307"/>
      <c r="L74" s="307"/>
      <c r="M74" s="307"/>
      <c r="N74" s="309"/>
    </row>
    <row r="75" spans="1:14" s="124" customFormat="1" ht="55.15">
      <c r="A75" s="302"/>
      <c r="B75" s="305" t="str">
        <f t="shared" si="31"/>
        <v>Coordinación de Gestión y Desarrollo Cecilia Zepeda  (dedicación del 20% de su tiempo al proyecto =$300 por mes) FUSALMO asume el 10% y UNICEF asume el 10% Ídem</v>
      </c>
      <c r="C75" s="206" t="str">
        <f t="shared" si="31"/>
        <v>Asistencia Técnica</v>
      </c>
      <c r="D75" s="206">
        <f t="shared" si="31"/>
        <v>9</v>
      </c>
      <c r="E75" s="306">
        <f t="shared" si="31"/>
        <v>300</v>
      </c>
      <c r="F75" s="304">
        <f t="shared" si="32"/>
        <v>1350</v>
      </c>
      <c r="G75" s="307"/>
      <c r="H75" s="308"/>
      <c r="I75" s="307"/>
      <c r="J75" s="307"/>
      <c r="K75" s="307"/>
      <c r="L75" s="307"/>
      <c r="M75" s="307"/>
      <c r="N75" s="309"/>
    </row>
    <row r="76" spans="1:14" s="124" customFormat="1" ht="55.15">
      <c r="A76" s="302"/>
      <c r="B76" s="305" t="str">
        <f t="shared" si="31"/>
        <v>Técnico en compras María de los Angeles Pérez Moya. Dedicación del 50% de su tiempo al proyecto $350.00 por 4 meses. FUSALMO asume el 29% y UNICEF asume el 21% Ídem</v>
      </c>
      <c r="C76" s="206" t="str">
        <f t="shared" si="31"/>
        <v>Asistencia Técnica</v>
      </c>
      <c r="D76" s="206">
        <f t="shared" si="31"/>
        <v>6</v>
      </c>
      <c r="E76" s="306">
        <f t="shared" si="31"/>
        <v>350</v>
      </c>
      <c r="F76" s="304">
        <f t="shared" si="32"/>
        <v>1659</v>
      </c>
      <c r="G76" s="307"/>
      <c r="H76" s="308"/>
      <c r="I76" s="307"/>
      <c r="J76" s="307"/>
      <c r="K76" s="307"/>
      <c r="L76" s="307"/>
      <c r="M76" s="307"/>
      <c r="N76" s="309"/>
    </row>
    <row r="77" spans="1:14" s="124" customFormat="1" ht="55.15">
      <c r="A77" s="302"/>
      <c r="B77" s="305" t="str">
        <f t="shared" si="31"/>
        <v>Técnico en monitoreo Karla Mercado Hernández (Dedicación del 30% de su tiempo al proyecto $200 al mes) FUSALMO asume el 15% y UNICEF asume el 15% Ídem</v>
      </c>
      <c r="C77" s="206" t="str">
        <f t="shared" si="31"/>
        <v>Asistencia Técnica</v>
      </c>
      <c r="D77" s="206">
        <f t="shared" si="31"/>
        <v>9</v>
      </c>
      <c r="E77" s="306">
        <f t="shared" si="31"/>
        <v>200</v>
      </c>
      <c r="F77" s="304">
        <f t="shared" si="32"/>
        <v>900</v>
      </c>
      <c r="G77" s="307"/>
      <c r="H77" s="308"/>
      <c r="I77" s="307"/>
      <c r="J77" s="307"/>
      <c r="K77" s="307"/>
      <c r="L77" s="307"/>
      <c r="M77" s="307"/>
      <c r="N77" s="309"/>
    </row>
    <row r="78" spans="1:14" s="124" customFormat="1" ht="41.45">
      <c r="A78" s="302"/>
      <c r="B78" s="305" t="str">
        <f t="shared" si="31"/>
        <v>Tecnico en comunicaciones (dedicación del 10%  de Alba  Rosario Castro tiempo al proyecto $200 al mes) FUSALMO asume el 5% y UNICEF asume el 5%. Ídem</v>
      </c>
      <c r="C78" s="206" t="str">
        <f t="shared" si="31"/>
        <v>Asistencia Técnica</v>
      </c>
      <c r="D78" s="206">
        <f t="shared" si="31"/>
        <v>4</v>
      </c>
      <c r="E78" s="306">
        <f t="shared" si="31"/>
        <v>200</v>
      </c>
      <c r="F78" s="304">
        <f t="shared" si="32"/>
        <v>400</v>
      </c>
      <c r="G78" s="307"/>
      <c r="H78" s="308"/>
      <c r="I78" s="307"/>
      <c r="J78" s="307"/>
      <c r="K78" s="307"/>
      <c r="L78" s="307"/>
      <c r="M78" s="307"/>
      <c r="N78" s="309"/>
    </row>
    <row r="79" spans="1:14" s="124" customFormat="1" ht="55.15">
      <c r="A79" s="302"/>
      <c r="B79" s="305" t="str">
        <f t="shared" ref="B79:E81" si="33">B57</f>
        <v>Uso de equipo, oficina e instalaciones para la coordinación, equipo que virtualizará e instalaciones para capacitaciones, eventos, equivale al 10% (5% FUSALMO Y 5% UNICEF )</v>
      </c>
      <c r="C79" s="206" t="str">
        <f t="shared" si="33"/>
        <v xml:space="preserve">Equipamiento </v>
      </c>
      <c r="D79" s="206">
        <f t="shared" si="33"/>
        <v>9</v>
      </c>
      <c r="E79" s="306">
        <f t="shared" si="33"/>
        <v>450</v>
      </c>
      <c r="F79" s="304">
        <f>G57</f>
        <v>2025</v>
      </c>
      <c r="G79" s="307"/>
      <c r="H79" s="308"/>
      <c r="I79" s="307"/>
      <c r="J79" s="307"/>
      <c r="K79" s="307"/>
      <c r="L79" s="307"/>
      <c r="M79" s="307"/>
      <c r="N79" s="309"/>
    </row>
    <row r="80" spans="1:14" s="124" customFormat="1" ht="55.15">
      <c r="A80" s="302"/>
      <c r="B80" s="305" t="str">
        <f t="shared" si="33"/>
        <v xml:space="preserve">Uso de Plataforma TRANSFORMA ( 31 estudiantes, al menos 1 ingresos al mes durante la ejecución del proyecto, a un costo de $1.00 cada ingreso) asumido por FUSALMO </v>
      </c>
      <c r="C80" s="206" t="str">
        <f t="shared" si="33"/>
        <v xml:space="preserve">Plataforma  </v>
      </c>
      <c r="D80" s="206">
        <f t="shared" si="33"/>
        <v>1736</v>
      </c>
      <c r="E80" s="306">
        <f t="shared" si="33"/>
        <v>1</v>
      </c>
      <c r="F80" s="304">
        <f>G58</f>
        <v>1736</v>
      </c>
      <c r="G80" s="307"/>
      <c r="H80" s="308"/>
      <c r="I80" s="307"/>
      <c r="J80" s="307"/>
      <c r="K80" s="307"/>
      <c r="L80" s="307"/>
      <c r="M80" s="307"/>
      <c r="N80" s="309"/>
    </row>
    <row r="81" spans="1:14" s="124" customFormat="1" ht="27.6" customHeight="1">
      <c r="A81" s="302"/>
      <c r="B81" s="305" t="str">
        <f t="shared" si="33"/>
        <v xml:space="preserve">Gastos básicos (Energia electrica, agua, Internet, telefonia de un promedio de $2,100.00)  </v>
      </c>
      <c r="C81" s="206" t="str">
        <f t="shared" si="33"/>
        <v xml:space="preserve">Gastos básicos </v>
      </c>
      <c r="D81" s="206">
        <f t="shared" si="33"/>
        <v>9</v>
      </c>
      <c r="E81" s="306">
        <f t="shared" si="33"/>
        <v>300</v>
      </c>
      <c r="F81" s="304">
        <f>G59</f>
        <v>1800</v>
      </c>
      <c r="G81" s="307"/>
      <c r="H81" s="308"/>
      <c r="I81" s="307"/>
      <c r="J81" s="307"/>
      <c r="K81" s="307"/>
      <c r="L81" s="307"/>
      <c r="M81" s="307"/>
      <c r="N81" s="309"/>
    </row>
    <row r="82" spans="1:14" s="124" customFormat="1" ht="55.15">
      <c r="A82" s="302"/>
      <c r="B82" s="305" t="str">
        <f>B62</f>
        <v xml:space="preserve">Asistencia a la coordinación Kenia Argumedo  (Dedicación del 30% de su tiempo al proyecto $450 por mes, asumida por FUSALMO)
</v>
      </c>
      <c r="C82" s="206" t="str">
        <f>C62</f>
        <v>Asistencia Técnica</v>
      </c>
      <c r="D82" s="206">
        <f>D62</f>
        <v>9</v>
      </c>
      <c r="E82" s="306">
        <f>E62</f>
        <v>450</v>
      </c>
      <c r="F82" s="304">
        <f>G62</f>
        <v>4050</v>
      </c>
      <c r="G82" s="307"/>
      <c r="H82" s="308"/>
      <c r="I82" s="307"/>
      <c r="J82" s="307"/>
      <c r="K82" s="307"/>
      <c r="L82" s="307"/>
      <c r="M82" s="307"/>
      <c r="N82" s="309"/>
    </row>
    <row r="83" spans="1:14" s="124" customFormat="1" ht="41.45">
      <c r="A83" s="302"/>
      <c r="B83" s="305" t="str">
        <f>B54</f>
        <v>Gerencia de innovación Oscar Ernesto Delgado Lazo (dedicación 20 %  de  tiempo al proyecto $350 al mes).FUSALMO asume el 100%</v>
      </c>
      <c r="C83" s="206" t="s">
        <v>48</v>
      </c>
      <c r="D83" s="206">
        <f>D54</f>
        <v>9</v>
      </c>
      <c r="E83" s="306">
        <f>E54</f>
        <v>350</v>
      </c>
      <c r="F83" s="304">
        <f>G54</f>
        <v>1575</v>
      </c>
      <c r="G83" s="307"/>
      <c r="H83" s="308"/>
      <c r="I83" s="307"/>
      <c r="J83" s="307"/>
      <c r="K83" s="307"/>
      <c r="L83" s="307"/>
      <c r="M83" s="307"/>
      <c r="N83" s="309"/>
    </row>
    <row r="84" spans="1:14" s="6" customFormat="1" ht="13.9" customHeight="1">
      <c r="A84" s="417" t="s">
        <v>203</v>
      </c>
      <c r="B84" s="418"/>
      <c r="C84" s="418"/>
      <c r="D84" s="418"/>
      <c r="E84" s="419"/>
      <c r="F84" s="310">
        <f>SUM(F71:F83)</f>
        <v>18620</v>
      </c>
      <c r="G84" s="222"/>
      <c r="H84" s="297"/>
      <c r="I84" s="222"/>
      <c r="J84" s="222"/>
      <c r="K84" s="222"/>
      <c r="L84" s="222"/>
      <c r="M84" s="222"/>
      <c r="N84" s="221"/>
    </row>
    <row r="85" spans="1:14" s="6" customFormat="1" ht="14.45" thickBot="1">
      <c r="A85" s="224"/>
      <c r="B85" s="220"/>
      <c r="C85" s="194"/>
      <c r="D85" s="194"/>
      <c r="E85" s="221"/>
      <c r="F85" s="311"/>
      <c r="G85" s="222"/>
      <c r="H85" s="224"/>
      <c r="I85" s="222"/>
      <c r="J85" s="222"/>
      <c r="K85" s="222"/>
      <c r="L85" s="222"/>
      <c r="M85" s="222"/>
      <c r="N85" s="221"/>
    </row>
    <row r="86" spans="1:14" s="6" customFormat="1" ht="14.45" thickBot="1">
      <c r="A86" s="224"/>
      <c r="B86" s="420" t="s">
        <v>204</v>
      </c>
      <c r="C86" s="421"/>
      <c r="D86" s="422"/>
      <c r="E86" s="221"/>
      <c r="F86" s="222"/>
      <c r="G86" s="222"/>
      <c r="H86" s="224"/>
      <c r="I86" s="222"/>
      <c r="J86" s="222"/>
      <c r="K86" s="222"/>
      <c r="L86" s="222"/>
      <c r="M86" s="222"/>
      <c r="N86" s="221"/>
    </row>
    <row r="87" spans="1:14" s="6" customFormat="1" ht="14.45" thickBot="1">
      <c r="A87" s="224"/>
      <c r="B87" s="312" t="s">
        <v>205</v>
      </c>
      <c r="C87" s="202">
        <f>F65</f>
        <v>91103.360000000015</v>
      </c>
      <c r="D87" s="313">
        <f>C87*100/C89</f>
        <v>83.030049389665066</v>
      </c>
      <c r="E87" s="221"/>
      <c r="F87" s="222"/>
      <c r="G87" s="222"/>
      <c r="H87" s="224"/>
      <c r="I87" s="222"/>
      <c r="J87" s="222"/>
      <c r="K87" s="222"/>
      <c r="L87" s="222"/>
      <c r="M87" s="222"/>
      <c r="N87" s="221"/>
    </row>
    <row r="88" spans="1:14" s="6" customFormat="1" ht="14.45" thickBot="1">
      <c r="A88" s="224"/>
      <c r="B88" s="312" t="s">
        <v>206</v>
      </c>
      <c r="C88" s="202">
        <f>G65</f>
        <v>18620</v>
      </c>
      <c r="D88" s="313">
        <f>C88*100/C89</f>
        <v>16.969950610334934</v>
      </c>
      <c r="E88" s="221"/>
      <c r="F88" s="223"/>
      <c r="G88" s="222"/>
      <c r="H88" s="224"/>
      <c r="I88" s="222"/>
      <c r="J88" s="222"/>
      <c r="K88" s="222"/>
      <c r="L88" s="222"/>
      <c r="M88" s="222"/>
      <c r="N88" s="221"/>
    </row>
    <row r="89" spans="1:14" s="6" customFormat="1" ht="16.5" customHeight="1" thickBot="1">
      <c r="A89" s="224"/>
      <c r="B89" s="314" t="s">
        <v>18</v>
      </c>
      <c r="C89" s="203">
        <f>C87+C88</f>
        <v>109723.36000000002</v>
      </c>
      <c r="D89" s="315">
        <f>D87+D88</f>
        <v>100</v>
      </c>
      <c r="E89" s="221"/>
      <c r="F89" s="223"/>
      <c r="G89" s="222"/>
      <c r="H89" s="224"/>
      <c r="I89" s="222"/>
      <c r="J89" s="222"/>
      <c r="K89" s="222"/>
      <c r="L89" s="222"/>
      <c r="M89" s="222"/>
      <c r="N89" s="221"/>
    </row>
    <row r="91" spans="1:14">
      <c r="B91" s="316" t="s">
        <v>302</v>
      </c>
      <c r="C91" s="318">
        <f>F64</f>
        <v>9141</v>
      </c>
      <c r="D91" s="317">
        <f>C91*100/C87</f>
        <v>10.033658473189131</v>
      </c>
    </row>
  </sheetData>
  <mergeCells count="27">
    <mergeCell ref="A65:E65"/>
    <mergeCell ref="A66:E66"/>
    <mergeCell ref="A69:F69"/>
    <mergeCell ref="A84:E84"/>
    <mergeCell ref="B86:D86"/>
    <mergeCell ref="A1:N1"/>
    <mergeCell ref="H2:N2"/>
    <mergeCell ref="A64:E64"/>
    <mergeCell ref="A39:E39"/>
    <mergeCell ref="B45:N45"/>
    <mergeCell ref="B46:N46"/>
    <mergeCell ref="B55:E55"/>
    <mergeCell ref="B56:N56"/>
    <mergeCell ref="B60:E60"/>
    <mergeCell ref="B61:N61"/>
    <mergeCell ref="B63:E63"/>
    <mergeCell ref="B40:N40"/>
    <mergeCell ref="B41:N41"/>
    <mergeCell ref="A44:E44"/>
    <mergeCell ref="B12:N12"/>
    <mergeCell ref="B13:N13"/>
    <mergeCell ref="B38:E38"/>
    <mergeCell ref="B43:E43"/>
    <mergeCell ref="B7:N7"/>
    <mergeCell ref="B8:N8"/>
    <mergeCell ref="B10:E10"/>
    <mergeCell ref="A11:E11"/>
  </mergeCells>
  <phoneticPr fontId="1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FD002-79B1-49F8-8E84-52521484462E}">
  <dimension ref="C9:E12"/>
  <sheetViews>
    <sheetView workbookViewId="0">
      <selection activeCell="E19" sqref="E19"/>
    </sheetView>
  </sheetViews>
  <sheetFormatPr defaultColWidth="11.42578125" defaultRowHeight="14.45"/>
  <sheetData>
    <row r="9" spans="3:5">
      <c r="C9">
        <v>1</v>
      </c>
      <c r="D9" s="191">
        <v>949.2</v>
      </c>
      <c r="E9">
        <v>100</v>
      </c>
    </row>
    <row r="10" spans="3:5">
      <c r="C10">
        <v>2</v>
      </c>
      <c r="D10" s="191">
        <v>1768.45</v>
      </c>
      <c r="E10">
        <v>100</v>
      </c>
    </row>
    <row r="11" spans="3:5">
      <c r="C11">
        <v>3</v>
      </c>
      <c r="D11" s="191">
        <v>1017</v>
      </c>
      <c r="E11">
        <v>100</v>
      </c>
    </row>
    <row r="12" spans="3:5">
      <c r="D12" s="192">
        <f>SUM(D9:D11)</f>
        <v>3734.65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0"/>
  <sheetViews>
    <sheetView topLeftCell="B1" zoomScale="80" zoomScaleNormal="80" workbookViewId="0">
      <pane ySplit="6" topLeftCell="A97" activePane="bottomLeft" state="frozen"/>
      <selection pane="bottomLeft" activeCell="A85" sqref="A85:XFD112"/>
    </sheetView>
  </sheetViews>
  <sheetFormatPr defaultColWidth="9.140625" defaultRowHeight="13.9"/>
  <cols>
    <col min="1" max="1" width="17.5703125" style="2" customWidth="1"/>
    <col min="2" max="2" width="80.42578125" style="4" customWidth="1"/>
    <col min="3" max="3" width="15.7109375" style="5" customWidth="1"/>
    <col min="4" max="4" width="11.85546875" style="5" customWidth="1"/>
    <col min="5" max="5" width="16.7109375" style="6" customWidth="1"/>
    <col min="6" max="6" width="21.7109375" style="6" customWidth="1"/>
    <col min="7" max="7" width="18.42578125" style="6" customWidth="1"/>
    <col min="8" max="8" width="13" style="2" customWidth="1"/>
    <col min="9" max="13" width="13" style="6" customWidth="1"/>
    <col min="14" max="14" width="17.140625" style="7" customWidth="1"/>
    <col min="15" max="15" width="12.140625" style="6" bestFit="1" customWidth="1"/>
    <col min="16" max="16384" width="9.140625" style="2"/>
  </cols>
  <sheetData>
    <row r="1" spans="1:15">
      <c r="A1" s="387" t="s">
        <v>0</v>
      </c>
      <c r="B1" s="387"/>
      <c r="C1" s="387"/>
      <c r="D1" s="387"/>
      <c r="E1" s="387"/>
      <c r="F1" s="387"/>
      <c r="G1" s="387"/>
      <c r="H1" s="387"/>
      <c r="I1" s="387"/>
      <c r="J1" s="387"/>
      <c r="K1" s="387"/>
      <c r="L1" s="387"/>
      <c r="M1" s="387"/>
      <c r="N1" s="387"/>
      <c r="O1" s="1"/>
    </row>
    <row r="2" spans="1:15">
      <c r="A2" s="3" t="s">
        <v>303</v>
      </c>
      <c r="G2" s="37"/>
      <c r="H2" s="388" t="s">
        <v>2</v>
      </c>
      <c r="I2" s="388"/>
      <c r="J2" s="388"/>
      <c r="K2" s="388"/>
      <c r="L2" s="388"/>
      <c r="M2" s="388"/>
      <c r="N2" s="388"/>
    </row>
    <row r="3" spans="1:15">
      <c r="A3" s="3" t="s">
        <v>304</v>
      </c>
    </row>
    <row r="4" spans="1:15">
      <c r="A4" s="3" t="s">
        <v>305</v>
      </c>
      <c r="F4" s="37"/>
    </row>
    <row r="5" spans="1:15" ht="14.45" thickBot="1"/>
    <row r="6" spans="1:15" ht="42" thickBot="1">
      <c r="A6" s="48" t="s">
        <v>5</v>
      </c>
      <c r="B6" s="49" t="s">
        <v>6</v>
      </c>
      <c r="C6" s="50" t="s">
        <v>306</v>
      </c>
      <c r="D6" s="50" t="s">
        <v>200</v>
      </c>
      <c r="E6" s="51" t="s">
        <v>9</v>
      </c>
      <c r="F6" s="51" t="s">
        <v>10</v>
      </c>
      <c r="G6" s="8" t="s">
        <v>11</v>
      </c>
      <c r="H6" s="105" t="s">
        <v>12</v>
      </c>
      <c r="I6" s="52" t="s">
        <v>13</v>
      </c>
      <c r="J6" s="52" t="s">
        <v>14</v>
      </c>
      <c r="K6" s="51" t="s">
        <v>15</v>
      </c>
      <c r="L6" s="51" t="s">
        <v>16</v>
      </c>
      <c r="M6" s="51" t="s">
        <v>17</v>
      </c>
      <c r="N6" s="9" t="s">
        <v>18</v>
      </c>
    </row>
    <row r="7" spans="1:15" ht="39.75" customHeight="1" thickBot="1">
      <c r="A7" s="53" t="s">
        <v>20</v>
      </c>
      <c r="B7" s="368" t="s">
        <v>307</v>
      </c>
      <c r="C7" s="369"/>
      <c r="D7" s="369"/>
      <c r="E7" s="369"/>
      <c r="F7" s="369"/>
      <c r="G7" s="369"/>
      <c r="H7" s="369"/>
      <c r="I7" s="369"/>
      <c r="J7" s="369"/>
      <c r="K7" s="369"/>
      <c r="L7" s="369"/>
      <c r="M7" s="369"/>
      <c r="N7" s="425"/>
    </row>
    <row r="8" spans="1:15" ht="14.45" thickBot="1">
      <c r="A8" s="30" t="s">
        <v>22</v>
      </c>
      <c r="B8" s="356" t="s">
        <v>308</v>
      </c>
      <c r="C8" s="357"/>
      <c r="D8" s="357"/>
      <c r="E8" s="357"/>
      <c r="F8" s="357"/>
      <c r="G8" s="357"/>
      <c r="H8" s="357"/>
      <c r="I8" s="357"/>
      <c r="J8" s="357"/>
      <c r="K8" s="357"/>
      <c r="L8" s="357"/>
      <c r="M8" s="357"/>
      <c r="N8" s="424"/>
    </row>
    <row r="9" spans="1:15" ht="28.15" thickBot="1">
      <c r="A9" s="54">
        <v>1.1000000000000001</v>
      </c>
      <c r="B9" s="55" t="s">
        <v>309</v>
      </c>
      <c r="C9" s="56">
        <v>3</v>
      </c>
      <c r="D9" s="56">
        <v>2</v>
      </c>
      <c r="E9" s="57">
        <v>175</v>
      </c>
      <c r="F9" s="58">
        <f>C9*D9*E9</f>
        <v>1050</v>
      </c>
      <c r="G9" s="59"/>
      <c r="H9" s="106">
        <v>0</v>
      </c>
      <c r="I9" s="57">
        <f>F9</f>
        <v>1050</v>
      </c>
      <c r="J9" s="10">
        <v>0</v>
      </c>
      <c r="K9" s="10">
        <v>0</v>
      </c>
      <c r="L9" s="10">
        <v>0</v>
      </c>
      <c r="M9" s="11">
        <v>0</v>
      </c>
      <c r="N9" s="12">
        <f>SUM(H9:M9)</f>
        <v>1050</v>
      </c>
    </row>
    <row r="10" spans="1:15" ht="28.15" thickBot="1">
      <c r="A10" s="54">
        <v>1.2</v>
      </c>
      <c r="B10" s="55" t="s">
        <v>310</v>
      </c>
      <c r="C10" s="56">
        <v>100</v>
      </c>
      <c r="D10" s="56">
        <v>2</v>
      </c>
      <c r="E10" s="57">
        <v>9</v>
      </c>
      <c r="F10" s="58">
        <f t="shared" ref="F10:F12" si="0">C10*D10*E10</f>
        <v>1800</v>
      </c>
      <c r="G10" s="59"/>
      <c r="H10" s="106">
        <v>0</v>
      </c>
      <c r="I10" s="57">
        <f>F10</f>
        <v>1800</v>
      </c>
      <c r="J10" s="10">
        <v>0</v>
      </c>
      <c r="K10" s="10">
        <v>0</v>
      </c>
      <c r="L10" s="10">
        <v>0</v>
      </c>
      <c r="M10" s="13">
        <v>0</v>
      </c>
      <c r="N10" s="12">
        <f t="shared" ref="N10:N13" si="1">SUM(H10:M10)</f>
        <v>1800</v>
      </c>
    </row>
    <row r="11" spans="1:15" ht="14.45" thickBot="1">
      <c r="A11" s="60">
        <v>1.3</v>
      </c>
      <c r="B11" s="61" t="s">
        <v>311</v>
      </c>
      <c r="C11" s="56"/>
      <c r="D11" s="56"/>
      <c r="E11" s="57"/>
      <c r="F11" s="58"/>
      <c r="G11" s="59"/>
      <c r="H11" s="107"/>
      <c r="I11" s="57">
        <f t="shared" ref="I11:I15" si="2">F11</f>
        <v>0</v>
      </c>
      <c r="J11" s="59"/>
      <c r="K11" s="59"/>
      <c r="L11" s="59"/>
      <c r="M11" s="59"/>
      <c r="N11" s="12"/>
    </row>
    <row r="12" spans="1:15" ht="14.45" thickBot="1">
      <c r="A12" s="60" t="s">
        <v>312</v>
      </c>
      <c r="B12" s="62" t="s">
        <v>313</v>
      </c>
      <c r="C12" s="56">
        <v>1</v>
      </c>
      <c r="D12" s="56">
        <v>1</v>
      </c>
      <c r="E12" s="57">
        <v>500</v>
      </c>
      <c r="F12" s="57">
        <f t="shared" si="0"/>
        <v>500</v>
      </c>
      <c r="G12" s="63"/>
      <c r="H12" s="106">
        <v>0</v>
      </c>
      <c r="I12" s="57">
        <f>F12</f>
        <v>500</v>
      </c>
      <c r="J12" s="10">
        <v>0</v>
      </c>
      <c r="K12" s="10">
        <v>0</v>
      </c>
      <c r="L12" s="10">
        <v>0</v>
      </c>
      <c r="M12" s="14">
        <v>0</v>
      </c>
      <c r="N12" s="12">
        <f t="shared" si="1"/>
        <v>500</v>
      </c>
    </row>
    <row r="13" spans="1:15" ht="28.15" thickBot="1">
      <c r="A13" s="54" t="s">
        <v>312</v>
      </c>
      <c r="B13" s="64" t="s">
        <v>314</v>
      </c>
      <c r="C13" s="56">
        <v>1</v>
      </c>
      <c r="D13" s="56">
        <v>100</v>
      </c>
      <c r="E13" s="57">
        <v>7</v>
      </c>
      <c r="F13" s="57">
        <f>C13*D13*E13</f>
        <v>700</v>
      </c>
      <c r="G13" s="63"/>
      <c r="H13" s="106">
        <v>0</v>
      </c>
      <c r="I13" s="57">
        <f t="shared" si="2"/>
        <v>700</v>
      </c>
      <c r="J13" s="10">
        <v>0</v>
      </c>
      <c r="K13" s="10">
        <v>0</v>
      </c>
      <c r="L13" s="10">
        <v>0</v>
      </c>
      <c r="M13" s="14">
        <v>0</v>
      </c>
      <c r="N13" s="15">
        <f t="shared" si="1"/>
        <v>700</v>
      </c>
    </row>
    <row r="14" spans="1:15" ht="14.45" thickBot="1">
      <c r="A14" s="54" t="s">
        <v>60</v>
      </c>
      <c r="B14" s="65" t="s">
        <v>315</v>
      </c>
      <c r="C14" s="56">
        <v>1</v>
      </c>
      <c r="D14" s="56">
        <v>100</v>
      </c>
      <c r="E14" s="57">
        <v>13</v>
      </c>
      <c r="F14" s="57">
        <f>C14*D14*E14</f>
        <v>1300</v>
      </c>
      <c r="G14" s="63"/>
      <c r="H14" s="106">
        <v>0</v>
      </c>
      <c r="I14" s="57">
        <f t="shared" si="2"/>
        <v>1300</v>
      </c>
      <c r="J14" s="10">
        <v>0</v>
      </c>
      <c r="K14" s="10">
        <v>0</v>
      </c>
      <c r="L14" s="10">
        <v>0</v>
      </c>
      <c r="M14" s="14">
        <v>0</v>
      </c>
      <c r="N14" s="15">
        <f>SUM(H14:M14)</f>
        <v>1300</v>
      </c>
    </row>
    <row r="15" spans="1:15" s="20" customFormat="1" ht="14.45" thickBot="1">
      <c r="A15" s="64">
        <v>1.4</v>
      </c>
      <c r="B15" s="55" t="s">
        <v>316</v>
      </c>
      <c r="C15" s="66">
        <v>1</v>
      </c>
      <c r="D15" s="66">
        <f>20*6</f>
        <v>120</v>
      </c>
      <c r="E15" s="57">
        <v>20</v>
      </c>
      <c r="F15" s="67">
        <f t="shared" ref="F15" si="3">C15*D15*E15</f>
        <v>2400</v>
      </c>
      <c r="G15" s="59"/>
      <c r="H15" s="108">
        <v>0</v>
      </c>
      <c r="I15" s="57">
        <f t="shared" si="2"/>
        <v>2400</v>
      </c>
      <c r="J15" s="16">
        <v>0</v>
      </c>
      <c r="K15" s="16">
        <v>0</v>
      </c>
      <c r="L15" s="16">
        <v>0</v>
      </c>
      <c r="M15" s="17">
        <v>0</v>
      </c>
      <c r="N15" s="18">
        <f t="shared" ref="N15" si="4">SUM(H15:M15)</f>
        <v>2400</v>
      </c>
      <c r="O15" s="19"/>
    </row>
    <row r="16" spans="1:15" ht="14.45" thickBot="1">
      <c r="A16" s="68"/>
      <c r="B16" s="386" t="s">
        <v>42</v>
      </c>
      <c r="C16" s="363"/>
      <c r="D16" s="363"/>
      <c r="E16" s="364"/>
      <c r="F16" s="31">
        <f>SUM(F9:F15)</f>
        <v>7750</v>
      </c>
      <c r="G16" s="31">
        <f t="shared" ref="G16:N16" si="5">SUM(G9:G15)</f>
        <v>0</v>
      </c>
      <c r="H16" s="109">
        <f>SUM(H9:H15)</f>
        <v>0</v>
      </c>
      <c r="I16" s="31">
        <f>SUM(I9:I15)</f>
        <v>7750</v>
      </c>
      <c r="J16" s="31">
        <f t="shared" si="5"/>
        <v>0</v>
      </c>
      <c r="K16" s="31">
        <f t="shared" si="5"/>
        <v>0</v>
      </c>
      <c r="L16" s="31">
        <f t="shared" si="5"/>
        <v>0</v>
      </c>
      <c r="M16" s="31">
        <f t="shared" si="5"/>
        <v>0</v>
      </c>
      <c r="N16" s="31">
        <f t="shared" si="5"/>
        <v>7750</v>
      </c>
    </row>
    <row r="17" spans="1:14" ht="19.5" customHeight="1" thickBot="1">
      <c r="A17" s="359" t="s">
        <v>160</v>
      </c>
      <c r="B17" s="426"/>
      <c r="C17" s="426"/>
      <c r="D17" s="426"/>
      <c r="E17" s="427"/>
      <c r="F17" s="69">
        <f>F16</f>
        <v>7750</v>
      </c>
      <c r="G17" s="70">
        <f>G16</f>
        <v>0</v>
      </c>
      <c r="H17" s="110">
        <f>H16</f>
        <v>0</v>
      </c>
      <c r="I17" s="70">
        <f>I16</f>
        <v>7750</v>
      </c>
      <c r="J17" s="70">
        <f t="shared" ref="J17:M17" si="6">J16</f>
        <v>0</v>
      </c>
      <c r="K17" s="70">
        <f t="shared" si="6"/>
        <v>0</v>
      </c>
      <c r="L17" s="70">
        <f t="shared" si="6"/>
        <v>0</v>
      </c>
      <c r="M17" s="70">
        <f t="shared" si="6"/>
        <v>0</v>
      </c>
      <c r="N17" s="70">
        <f>SUM(N16)</f>
        <v>7750</v>
      </c>
    </row>
    <row r="18" spans="1:14" ht="14.45" thickBot="1">
      <c r="A18" s="53" t="s">
        <v>161</v>
      </c>
      <c r="B18" s="368" t="s">
        <v>317</v>
      </c>
      <c r="C18" s="369"/>
      <c r="D18" s="369"/>
      <c r="E18" s="369"/>
      <c r="F18" s="369"/>
      <c r="G18" s="369"/>
      <c r="H18" s="369"/>
      <c r="I18" s="369"/>
      <c r="J18" s="369"/>
      <c r="K18" s="369"/>
      <c r="L18" s="369"/>
      <c r="M18" s="369"/>
      <c r="N18" s="425"/>
    </row>
    <row r="19" spans="1:14" ht="14.45" thickBot="1">
      <c r="A19" s="30" t="s">
        <v>163</v>
      </c>
      <c r="B19" s="356" t="s">
        <v>318</v>
      </c>
      <c r="C19" s="357"/>
      <c r="D19" s="357"/>
      <c r="E19" s="357"/>
      <c r="F19" s="357"/>
      <c r="G19" s="357"/>
      <c r="H19" s="357"/>
      <c r="I19" s="357"/>
      <c r="J19" s="357"/>
      <c r="K19" s="357"/>
      <c r="L19" s="357"/>
      <c r="M19" s="357"/>
      <c r="N19" s="424"/>
    </row>
    <row r="20" spans="1:14" ht="26.25" customHeight="1" thickBot="1">
      <c r="A20" s="71">
        <v>2.1</v>
      </c>
      <c r="B20" s="55" t="s">
        <v>319</v>
      </c>
      <c r="C20" s="35">
        <v>1</v>
      </c>
      <c r="D20" s="72">
        <v>18</v>
      </c>
      <c r="E20" s="57">
        <f>1000</f>
        <v>1000</v>
      </c>
      <c r="F20" s="58">
        <f>E20*D20*C20</f>
        <v>18000</v>
      </c>
      <c r="G20" s="59"/>
      <c r="H20" s="111">
        <f>F20/6</f>
        <v>3000</v>
      </c>
      <c r="I20" s="57">
        <f>F20/6</f>
        <v>3000</v>
      </c>
      <c r="J20" s="57">
        <f>F20/6</f>
        <v>3000</v>
      </c>
      <c r="K20" s="57">
        <f>F20/6</f>
        <v>3000</v>
      </c>
      <c r="L20" s="57">
        <f>F20/6</f>
        <v>3000</v>
      </c>
      <c r="M20" s="57">
        <f>F20/6</f>
        <v>3000</v>
      </c>
      <c r="N20" s="57">
        <f>SUM(H20:M20)</f>
        <v>18000</v>
      </c>
    </row>
    <row r="21" spans="1:14" ht="55.5" customHeight="1" thickBot="1">
      <c r="A21" s="73">
        <v>2.2000000000000002</v>
      </c>
      <c r="B21" s="55" t="s">
        <v>320</v>
      </c>
      <c r="C21" s="74">
        <v>2</v>
      </c>
      <c r="D21" s="74">
        <v>15</v>
      </c>
      <c r="E21" s="57">
        <f>650</f>
        <v>650</v>
      </c>
      <c r="F21" s="58">
        <f>C21*D21*E21</f>
        <v>19500</v>
      </c>
      <c r="G21" s="59"/>
      <c r="H21" s="111">
        <f>F21/5</f>
        <v>3900</v>
      </c>
      <c r="I21" s="57">
        <f>F21/5</f>
        <v>3900</v>
      </c>
      <c r="J21" s="57">
        <f>F21/5</f>
        <v>3900</v>
      </c>
      <c r="K21" s="57">
        <f>F21/5</f>
        <v>3900</v>
      </c>
      <c r="L21" s="57">
        <f>F21/5</f>
        <v>3900</v>
      </c>
      <c r="M21" s="57"/>
      <c r="N21" s="57">
        <f t="shared" ref="N21:N25" si="7">SUM(H21:M21)</f>
        <v>19500</v>
      </c>
    </row>
    <row r="22" spans="1:14" ht="53.25" customHeight="1" thickBot="1">
      <c r="A22" s="73">
        <v>2.2999999999999998</v>
      </c>
      <c r="B22" s="55" t="s">
        <v>321</v>
      </c>
      <c r="C22" s="74">
        <v>2</v>
      </c>
      <c r="D22" s="74">
        <v>5</v>
      </c>
      <c r="E22" s="75">
        <f>1000</f>
        <v>1000</v>
      </c>
      <c r="F22" s="58">
        <f>C22*D22*E22</f>
        <v>10000</v>
      </c>
      <c r="G22" s="59"/>
      <c r="H22" s="111">
        <f t="shared" ref="H22:H24" si="8">F22/6</f>
        <v>1666.6666666666667</v>
      </c>
      <c r="I22" s="57">
        <f t="shared" ref="I22:I23" si="9">F22/6</f>
        <v>1666.6666666666667</v>
      </c>
      <c r="J22" s="57">
        <f t="shared" ref="J22:J23" si="10">F22/6</f>
        <v>1666.6666666666667</v>
      </c>
      <c r="K22" s="57">
        <f t="shared" ref="K22:K24" si="11">F22/6</f>
        <v>1666.6666666666667</v>
      </c>
      <c r="L22" s="57">
        <f t="shared" ref="L22:L23" si="12">F22/6</f>
        <v>1666.6666666666667</v>
      </c>
      <c r="M22" s="57">
        <f t="shared" ref="M22:M24" si="13">F22/6</f>
        <v>1666.6666666666667</v>
      </c>
      <c r="N22" s="57">
        <f t="shared" si="7"/>
        <v>10000</v>
      </c>
    </row>
    <row r="23" spans="1:14" ht="54.75" customHeight="1" thickBot="1">
      <c r="A23" s="54">
        <v>2.2999999999999998</v>
      </c>
      <c r="B23" s="55" t="s">
        <v>322</v>
      </c>
      <c r="C23" s="56">
        <v>2</v>
      </c>
      <c r="D23" s="56">
        <v>5</v>
      </c>
      <c r="E23" s="75">
        <f>1000</f>
        <v>1000</v>
      </c>
      <c r="F23" s="58">
        <f>E23*D23*C23</f>
        <v>10000</v>
      </c>
      <c r="G23" s="59"/>
      <c r="H23" s="111">
        <f t="shared" si="8"/>
        <v>1666.6666666666667</v>
      </c>
      <c r="I23" s="57">
        <f t="shared" si="9"/>
        <v>1666.6666666666667</v>
      </c>
      <c r="J23" s="57">
        <f t="shared" si="10"/>
        <v>1666.6666666666667</v>
      </c>
      <c r="K23" s="57">
        <f t="shared" si="11"/>
        <v>1666.6666666666667</v>
      </c>
      <c r="L23" s="57">
        <f t="shared" si="12"/>
        <v>1666.6666666666667</v>
      </c>
      <c r="M23" s="57">
        <f t="shared" si="13"/>
        <v>1666.6666666666667</v>
      </c>
      <c r="N23" s="57">
        <f t="shared" si="7"/>
        <v>10000</v>
      </c>
    </row>
    <row r="24" spans="1:14" ht="41.25" customHeight="1" thickBot="1">
      <c r="A24" s="73">
        <v>2.4</v>
      </c>
      <c r="B24" s="55" t="s">
        <v>323</v>
      </c>
      <c r="C24" s="74">
        <v>6</v>
      </c>
      <c r="D24" s="74">
        <f>20</f>
        <v>20</v>
      </c>
      <c r="E24" s="75">
        <v>30</v>
      </c>
      <c r="F24" s="58">
        <f>C24*D24*E24</f>
        <v>3600</v>
      </c>
      <c r="G24" s="59"/>
      <c r="H24" s="111">
        <f t="shared" si="8"/>
        <v>600</v>
      </c>
      <c r="I24" s="57">
        <f>F24/6</f>
        <v>600</v>
      </c>
      <c r="J24" s="57">
        <f>F24/6</f>
        <v>600</v>
      </c>
      <c r="K24" s="57">
        <f t="shared" si="11"/>
        <v>600</v>
      </c>
      <c r="L24" s="57">
        <f>F24/6</f>
        <v>600</v>
      </c>
      <c r="M24" s="57">
        <f t="shared" si="13"/>
        <v>600</v>
      </c>
      <c r="N24" s="57">
        <f t="shared" si="7"/>
        <v>3600</v>
      </c>
    </row>
    <row r="25" spans="1:14" ht="14.45" thickBot="1">
      <c r="A25" s="73">
        <v>2.5</v>
      </c>
      <c r="B25" s="55" t="s">
        <v>324</v>
      </c>
      <c r="C25" s="74">
        <v>1</v>
      </c>
      <c r="D25" s="74">
        <v>6</v>
      </c>
      <c r="E25" s="75">
        <v>2000</v>
      </c>
      <c r="F25" s="58">
        <f t="shared" ref="F25:F45" si="14">C25*D25*E25</f>
        <v>12000</v>
      </c>
      <c r="G25" s="59"/>
      <c r="H25" s="112">
        <f>F25</f>
        <v>12000</v>
      </c>
      <c r="I25" s="10">
        <v>0</v>
      </c>
      <c r="J25" s="10">
        <v>0</v>
      </c>
      <c r="K25" s="10">
        <v>0</v>
      </c>
      <c r="L25" s="57">
        <v>0</v>
      </c>
      <c r="M25" s="57">
        <v>0</v>
      </c>
      <c r="N25" s="57">
        <f t="shared" si="7"/>
        <v>12000</v>
      </c>
    </row>
    <row r="26" spans="1:14" ht="14.45" thickBot="1">
      <c r="A26" s="76">
        <v>2.6</v>
      </c>
      <c r="B26" s="77" t="s">
        <v>325</v>
      </c>
      <c r="C26" s="74"/>
      <c r="D26" s="74"/>
      <c r="E26" s="75"/>
      <c r="F26" s="78"/>
      <c r="G26" s="59"/>
      <c r="H26" s="112"/>
      <c r="I26" s="10"/>
      <c r="J26" s="10"/>
      <c r="K26" s="10"/>
      <c r="L26" s="10"/>
      <c r="M26" s="13"/>
      <c r="N26" s="21"/>
    </row>
    <row r="27" spans="1:14" ht="14.45" thickBot="1">
      <c r="A27" s="79" t="s">
        <v>326</v>
      </c>
      <c r="B27" s="55" t="s">
        <v>327</v>
      </c>
      <c r="C27" s="35">
        <v>6</v>
      </c>
      <c r="D27" s="35">
        <v>4</v>
      </c>
      <c r="E27" s="75">
        <v>1000</v>
      </c>
      <c r="F27" s="78">
        <f t="shared" si="14"/>
        <v>24000</v>
      </c>
      <c r="G27" s="63"/>
      <c r="H27" s="112">
        <f>F27</f>
        <v>24000</v>
      </c>
      <c r="I27" s="10">
        <v>0</v>
      </c>
      <c r="J27" s="10">
        <v>0</v>
      </c>
      <c r="K27" s="10">
        <v>0</v>
      </c>
      <c r="L27" s="10">
        <v>0</v>
      </c>
      <c r="M27" s="14">
        <v>0</v>
      </c>
      <c r="N27" s="22">
        <f t="shared" ref="N27:N29" si="15">SUM(H27:M27)</f>
        <v>24000</v>
      </c>
    </row>
    <row r="28" spans="1:14" ht="14.45" thickBot="1">
      <c r="A28" s="79" t="s">
        <v>328</v>
      </c>
      <c r="B28" s="55" t="s">
        <v>329</v>
      </c>
      <c r="C28" s="35">
        <v>6</v>
      </c>
      <c r="D28" s="35">
        <v>3</v>
      </c>
      <c r="E28" s="75">
        <v>850</v>
      </c>
      <c r="F28" s="78">
        <f t="shared" si="14"/>
        <v>15300</v>
      </c>
      <c r="G28" s="63"/>
      <c r="H28" s="112">
        <f t="shared" ref="H28:H34" si="16">F28</f>
        <v>15300</v>
      </c>
      <c r="I28" s="10">
        <v>0</v>
      </c>
      <c r="J28" s="10">
        <v>0</v>
      </c>
      <c r="K28" s="10">
        <v>0</v>
      </c>
      <c r="L28" s="10">
        <v>0</v>
      </c>
      <c r="M28" s="14">
        <v>0</v>
      </c>
      <c r="N28" s="22">
        <f t="shared" si="15"/>
        <v>15300</v>
      </c>
    </row>
    <row r="29" spans="1:14" ht="14.45" thickBot="1">
      <c r="A29" s="79" t="s">
        <v>330</v>
      </c>
      <c r="B29" s="55" t="s">
        <v>331</v>
      </c>
      <c r="C29" s="35">
        <v>6</v>
      </c>
      <c r="D29" s="35">
        <v>2</v>
      </c>
      <c r="E29" s="75">
        <v>525</v>
      </c>
      <c r="F29" s="78">
        <f t="shared" si="14"/>
        <v>6300</v>
      </c>
      <c r="G29" s="63"/>
      <c r="H29" s="112">
        <f t="shared" si="16"/>
        <v>6300</v>
      </c>
      <c r="I29" s="10">
        <v>0</v>
      </c>
      <c r="J29" s="10">
        <v>0</v>
      </c>
      <c r="K29" s="10">
        <v>0</v>
      </c>
      <c r="L29" s="10">
        <v>0</v>
      </c>
      <c r="M29" s="14">
        <v>0</v>
      </c>
      <c r="N29" s="22">
        <f t="shared" si="15"/>
        <v>6300</v>
      </c>
    </row>
    <row r="30" spans="1:14" ht="14.45" thickBot="1">
      <c r="A30" s="79" t="s">
        <v>332</v>
      </c>
      <c r="B30" s="55" t="s">
        <v>333</v>
      </c>
      <c r="C30" s="35">
        <v>6</v>
      </c>
      <c r="D30" s="35">
        <v>3</v>
      </c>
      <c r="E30" s="75">
        <v>800</v>
      </c>
      <c r="F30" s="78">
        <f>C30*D30*E30</f>
        <v>14400</v>
      </c>
      <c r="G30" s="63"/>
      <c r="H30" s="112">
        <f t="shared" si="16"/>
        <v>14400</v>
      </c>
      <c r="I30" s="14">
        <v>0</v>
      </c>
      <c r="J30" s="103">
        <v>0</v>
      </c>
      <c r="K30" s="14">
        <v>0</v>
      </c>
      <c r="L30" s="103">
        <v>0</v>
      </c>
      <c r="M30" s="14">
        <v>0</v>
      </c>
      <c r="N30" s="22">
        <f>SUM(H30:M30)</f>
        <v>14400</v>
      </c>
    </row>
    <row r="31" spans="1:14" ht="14.45" thickBot="1">
      <c r="A31" s="97">
        <v>2.7</v>
      </c>
      <c r="B31" s="61" t="s">
        <v>334</v>
      </c>
      <c r="C31" s="35">
        <v>1</v>
      </c>
      <c r="D31" s="35">
        <v>1</v>
      </c>
      <c r="E31" s="75">
        <v>5000</v>
      </c>
      <c r="F31" s="78">
        <f t="shared" si="14"/>
        <v>5000</v>
      </c>
      <c r="G31" s="63"/>
      <c r="H31" s="112">
        <f t="shared" si="16"/>
        <v>5000</v>
      </c>
      <c r="I31" s="14">
        <v>0</v>
      </c>
      <c r="J31" s="14">
        <v>0</v>
      </c>
      <c r="K31" s="14">
        <v>0</v>
      </c>
      <c r="L31" s="103">
        <v>0</v>
      </c>
      <c r="M31" s="14">
        <v>0</v>
      </c>
      <c r="N31" s="15">
        <f t="shared" ref="N31:N46" si="17">SUM(H31:M31)</f>
        <v>5000</v>
      </c>
    </row>
    <row r="32" spans="1:14" ht="14.45" thickBot="1">
      <c r="A32" s="79" t="s">
        <v>335</v>
      </c>
      <c r="B32" s="55" t="s">
        <v>336</v>
      </c>
      <c r="C32" s="74">
        <v>100</v>
      </c>
      <c r="D32" s="74">
        <v>1</v>
      </c>
      <c r="E32" s="75">
        <v>12</v>
      </c>
      <c r="F32" s="78">
        <f t="shared" si="14"/>
        <v>1200</v>
      </c>
      <c r="G32" s="63"/>
      <c r="H32" s="112">
        <f t="shared" si="16"/>
        <v>1200</v>
      </c>
      <c r="I32" s="14">
        <v>0</v>
      </c>
      <c r="J32" s="14">
        <v>0</v>
      </c>
      <c r="K32" s="14">
        <v>0</v>
      </c>
      <c r="L32" s="103">
        <v>0</v>
      </c>
      <c r="M32" s="14">
        <v>0</v>
      </c>
      <c r="N32" s="15">
        <f t="shared" si="17"/>
        <v>1200</v>
      </c>
    </row>
    <row r="33" spans="1:14" ht="14.45" thickBot="1">
      <c r="A33" s="79" t="s">
        <v>337</v>
      </c>
      <c r="B33" s="55" t="s">
        <v>338</v>
      </c>
      <c r="C33" s="74">
        <v>8</v>
      </c>
      <c r="D33" s="74">
        <v>2</v>
      </c>
      <c r="E33" s="75">
        <v>12</v>
      </c>
      <c r="F33" s="78">
        <f t="shared" si="14"/>
        <v>192</v>
      </c>
      <c r="G33" s="63"/>
      <c r="H33" s="112">
        <f t="shared" si="16"/>
        <v>192</v>
      </c>
      <c r="I33" s="14">
        <v>0</v>
      </c>
      <c r="J33" s="14">
        <v>0</v>
      </c>
      <c r="K33" s="14">
        <v>0</v>
      </c>
      <c r="L33" s="103">
        <v>0</v>
      </c>
      <c r="M33" s="14">
        <v>0</v>
      </c>
      <c r="N33" s="15">
        <f t="shared" si="17"/>
        <v>192</v>
      </c>
    </row>
    <row r="34" spans="1:14" ht="14.45" thickBot="1">
      <c r="A34" s="79" t="s">
        <v>339</v>
      </c>
      <c r="B34" s="55" t="s">
        <v>340</v>
      </c>
      <c r="C34" s="74">
        <v>8</v>
      </c>
      <c r="D34" s="74">
        <v>1</v>
      </c>
      <c r="E34" s="75">
        <v>3</v>
      </c>
      <c r="F34" s="78">
        <f t="shared" si="14"/>
        <v>24</v>
      </c>
      <c r="G34" s="63"/>
      <c r="H34" s="112">
        <f t="shared" si="16"/>
        <v>24</v>
      </c>
      <c r="I34" s="14">
        <v>0</v>
      </c>
      <c r="J34" s="14">
        <v>0</v>
      </c>
      <c r="K34" s="14">
        <v>0</v>
      </c>
      <c r="L34" s="103">
        <v>0</v>
      </c>
      <c r="M34" s="14">
        <v>0</v>
      </c>
      <c r="N34" s="15">
        <f t="shared" si="17"/>
        <v>24</v>
      </c>
    </row>
    <row r="35" spans="1:14" ht="28.15" thickBot="1">
      <c r="A35" s="76">
        <v>2.8</v>
      </c>
      <c r="B35" s="77" t="s">
        <v>341</v>
      </c>
      <c r="C35" s="74"/>
      <c r="D35" s="74"/>
      <c r="E35" s="57"/>
      <c r="F35" s="78"/>
      <c r="G35" s="63"/>
      <c r="H35" s="113"/>
      <c r="I35" s="13"/>
      <c r="J35" s="13"/>
      <c r="K35" s="13"/>
      <c r="L35" s="13"/>
      <c r="M35" s="13"/>
      <c r="N35" s="15"/>
    </row>
    <row r="36" spans="1:14" ht="14.45" thickBot="1">
      <c r="A36" s="97" t="s">
        <v>342</v>
      </c>
      <c r="B36" s="77" t="s">
        <v>76</v>
      </c>
      <c r="C36" s="74"/>
      <c r="D36" s="74"/>
      <c r="E36" s="57"/>
      <c r="F36" s="78"/>
      <c r="G36" s="63"/>
      <c r="H36" s="113"/>
      <c r="I36" s="103"/>
      <c r="J36" s="10"/>
      <c r="K36" s="10"/>
      <c r="L36" s="10"/>
      <c r="M36" s="10"/>
      <c r="N36" s="15"/>
    </row>
    <row r="37" spans="1:14" ht="15" thickBot="1">
      <c r="A37" s="79" t="s">
        <v>343</v>
      </c>
      <c r="B37" s="98" t="s">
        <v>344</v>
      </c>
      <c r="C37" s="74">
        <v>2</v>
      </c>
      <c r="D37" s="74">
        <v>100</v>
      </c>
      <c r="E37" s="57">
        <v>0.75</v>
      </c>
      <c r="F37" s="78">
        <f>C37*D37*E37</f>
        <v>150</v>
      </c>
      <c r="G37" s="63"/>
      <c r="H37" s="114">
        <v>0</v>
      </c>
      <c r="I37" s="10">
        <f>F37</f>
        <v>150</v>
      </c>
      <c r="J37" s="14">
        <v>0</v>
      </c>
      <c r="K37" s="14">
        <v>0</v>
      </c>
      <c r="L37" s="14">
        <v>0</v>
      </c>
      <c r="M37" s="14">
        <v>0</v>
      </c>
      <c r="N37" s="15">
        <f t="shared" si="17"/>
        <v>150</v>
      </c>
    </row>
    <row r="38" spans="1:14" ht="14.45" thickBot="1">
      <c r="A38" s="79" t="s">
        <v>345</v>
      </c>
      <c r="B38" s="55" t="s">
        <v>346</v>
      </c>
      <c r="C38" s="74">
        <v>2</v>
      </c>
      <c r="D38" s="74">
        <v>100</v>
      </c>
      <c r="E38" s="57">
        <v>1.2</v>
      </c>
      <c r="F38" s="78">
        <f t="shared" ref="F38:F44" si="18">C38*D38*E38</f>
        <v>240</v>
      </c>
      <c r="G38" s="63"/>
      <c r="H38" s="114">
        <v>0</v>
      </c>
      <c r="I38" s="10">
        <f t="shared" ref="I38:I44" si="19">F38</f>
        <v>240</v>
      </c>
      <c r="J38" s="14">
        <v>0</v>
      </c>
      <c r="K38" s="14">
        <v>0</v>
      </c>
      <c r="L38" s="14">
        <v>0</v>
      </c>
      <c r="M38" s="14">
        <v>0</v>
      </c>
      <c r="N38" s="15">
        <f t="shared" si="17"/>
        <v>240</v>
      </c>
    </row>
    <row r="39" spans="1:14" ht="14.45" thickBot="1">
      <c r="A39" s="79" t="s">
        <v>347</v>
      </c>
      <c r="B39" s="55" t="s">
        <v>348</v>
      </c>
      <c r="C39" s="74">
        <v>2</v>
      </c>
      <c r="D39" s="74">
        <v>100</v>
      </c>
      <c r="E39" s="57">
        <v>1.2</v>
      </c>
      <c r="F39" s="78">
        <f t="shared" si="18"/>
        <v>240</v>
      </c>
      <c r="G39" s="63"/>
      <c r="H39" s="114">
        <v>0</v>
      </c>
      <c r="I39" s="10">
        <f t="shared" si="19"/>
        <v>240</v>
      </c>
      <c r="J39" s="14">
        <v>0</v>
      </c>
      <c r="K39" s="14">
        <v>0</v>
      </c>
      <c r="L39" s="14">
        <v>0</v>
      </c>
      <c r="M39" s="14">
        <v>0</v>
      </c>
      <c r="N39" s="15">
        <f t="shared" si="17"/>
        <v>240</v>
      </c>
    </row>
    <row r="40" spans="1:14" ht="14.45" thickBot="1">
      <c r="A40" s="79" t="s">
        <v>349</v>
      </c>
      <c r="B40" s="55" t="s">
        <v>350</v>
      </c>
      <c r="C40" s="74">
        <v>20</v>
      </c>
      <c r="D40" s="74">
        <v>100</v>
      </c>
      <c r="E40" s="57">
        <v>0.15</v>
      </c>
      <c r="F40" s="78">
        <f t="shared" si="18"/>
        <v>300</v>
      </c>
      <c r="G40" s="63"/>
      <c r="H40" s="114">
        <v>0</v>
      </c>
      <c r="I40" s="10">
        <f t="shared" si="19"/>
        <v>300</v>
      </c>
      <c r="J40" s="14">
        <v>0</v>
      </c>
      <c r="K40" s="14">
        <v>0</v>
      </c>
      <c r="L40" s="14">
        <v>0</v>
      </c>
      <c r="M40" s="14">
        <v>0</v>
      </c>
      <c r="N40" s="15">
        <f t="shared" si="17"/>
        <v>300</v>
      </c>
    </row>
    <row r="41" spans="1:14" ht="14.45" thickBot="1">
      <c r="A41" s="79" t="s">
        <v>351</v>
      </c>
      <c r="B41" s="55" t="s">
        <v>352</v>
      </c>
      <c r="C41" s="74">
        <v>1</v>
      </c>
      <c r="D41" s="74">
        <v>100</v>
      </c>
      <c r="E41" s="57">
        <v>1.3</v>
      </c>
      <c r="F41" s="78">
        <f t="shared" si="18"/>
        <v>130</v>
      </c>
      <c r="G41" s="63"/>
      <c r="H41" s="114">
        <v>0</v>
      </c>
      <c r="I41" s="10">
        <f t="shared" si="19"/>
        <v>130</v>
      </c>
      <c r="J41" s="14">
        <v>0</v>
      </c>
      <c r="K41" s="14">
        <v>0</v>
      </c>
      <c r="L41" s="14">
        <v>0</v>
      </c>
      <c r="M41" s="14">
        <v>0</v>
      </c>
      <c r="N41" s="15">
        <f t="shared" si="17"/>
        <v>130</v>
      </c>
    </row>
    <row r="42" spans="1:14" ht="14.45" thickBot="1">
      <c r="A42" s="79" t="s">
        <v>353</v>
      </c>
      <c r="B42" s="55" t="s">
        <v>354</v>
      </c>
      <c r="C42" s="74">
        <v>1</v>
      </c>
      <c r="D42" s="74">
        <v>100</v>
      </c>
      <c r="E42" s="57">
        <v>4.5</v>
      </c>
      <c r="F42" s="78">
        <f t="shared" si="18"/>
        <v>450</v>
      </c>
      <c r="G42" s="63"/>
      <c r="H42" s="114">
        <v>0</v>
      </c>
      <c r="I42" s="10">
        <f t="shared" si="19"/>
        <v>450</v>
      </c>
      <c r="J42" s="14">
        <v>0</v>
      </c>
      <c r="K42" s="14">
        <v>0</v>
      </c>
      <c r="L42" s="14">
        <v>0</v>
      </c>
      <c r="M42" s="14">
        <v>0</v>
      </c>
      <c r="N42" s="15">
        <f t="shared" si="17"/>
        <v>450</v>
      </c>
    </row>
    <row r="43" spans="1:14" ht="14.45" thickBot="1">
      <c r="A43" s="79" t="s">
        <v>355</v>
      </c>
      <c r="B43" s="55" t="s">
        <v>356</v>
      </c>
      <c r="C43" s="74">
        <v>1</v>
      </c>
      <c r="D43" s="74">
        <v>100</v>
      </c>
      <c r="E43" s="57">
        <v>1</v>
      </c>
      <c r="F43" s="78">
        <f t="shared" si="18"/>
        <v>100</v>
      </c>
      <c r="G43" s="63"/>
      <c r="H43" s="114">
        <v>0</v>
      </c>
      <c r="I43" s="10">
        <f t="shared" si="19"/>
        <v>100</v>
      </c>
      <c r="J43" s="14">
        <v>0</v>
      </c>
      <c r="K43" s="14">
        <v>0</v>
      </c>
      <c r="L43" s="14">
        <v>0</v>
      </c>
      <c r="M43" s="14">
        <v>0</v>
      </c>
      <c r="N43" s="15">
        <f t="shared" si="17"/>
        <v>100</v>
      </c>
    </row>
    <row r="44" spans="1:14" ht="14.45" thickBot="1">
      <c r="A44" s="79" t="s">
        <v>357</v>
      </c>
      <c r="B44" s="55" t="s">
        <v>358</v>
      </c>
      <c r="C44" s="74">
        <v>25</v>
      </c>
      <c r="D44" s="74">
        <v>100</v>
      </c>
      <c r="E44" s="57">
        <v>0.1</v>
      </c>
      <c r="F44" s="78">
        <f t="shared" si="18"/>
        <v>250</v>
      </c>
      <c r="G44" s="63"/>
      <c r="H44" s="114">
        <v>0</v>
      </c>
      <c r="I44" s="10">
        <f t="shared" si="19"/>
        <v>250</v>
      </c>
      <c r="J44" s="14">
        <v>0</v>
      </c>
      <c r="K44" s="14">
        <v>0</v>
      </c>
      <c r="L44" s="14">
        <v>0</v>
      </c>
      <c r="M44" s="14">
        <v>0</v>
      </c>
      <c r="N44" s="15">
        <f t="shared" si="17"/>
        <v>250</v>
      </c>
    </row>
    <row r="45" spans="1:14" ht="28.15" thickBot="1">
      <c r="A45" s="79" t="s">
        <v>359</v>
      </c>
      <c r="B45" s="64" t="s">
        <v>360</v>
      </c>
      <c r="C45" s="74">
        <v>50</v>
      </c>
      <c r="D45" s="74">
        <v>6</v>
      </c>
      <c r="E45" s="57">
        <v>4</v>
      </c>
      <c r="F45" s="78">
        <f t="shared" si="14"/>
        <v>1200</v>
      </c>
      <c r="G45" s="63"/>
      <c r="H45" s="106">
        <v>0</v>
      </c>
      <c r="I45" s="10">
        <v>0</v>
      </c>
      <c r="J45" s="10">
        <v>0</v>
      </c>
      <c r="K45" s="10">
        <v>0</v>
      </c>
      <c r="L45" s="10">
        <v>0</v>
      </c>
      <c r="M45" s="10">
        <f>F45</f>
        <v>1200</v>
      </c>
      <c r="N45" s="15">
        <f t="shared" si="17"/>
        <v>1200</v>
      </c>
    </row>
    <row r="46" spans="1:14" ht="28.15" thickBot="1">
      <c r="A46" s="79" t="s">
        <v>361</v>
      </c>
      <c r="B46" s="62" t="s">
        <v>362</v>
      </c>
      <c r="C46" s="35">
        <v>1</v>
      </c>
      <c r="D46" s="35">
        <v>12</v>
      </c>
      <c r="E46" s="58">
        <v>50</v>
      </c>
      <c r="F46" s="57">
        <f>C46*D46*E46</f>
        <v>600</v>
      </c>
      <c r="G46" s="63"/>
      <c r="H46" s="106">
        <f>F46/6</f>
        <v>100</v>
      </c>
      <c r="I46" s="106">
        <f>F46/6</f>
        <v>100</v>
      </c>
      <c r="J46" s="106">
        <f>F46/6</f>
        <v>100</v>
      </c>
      <c r="K46" s="106">
        <f>F46/6</f>
        <v>100</v>
      </c>
      <c r="L46" s="106">
        <f>F46/6</f>
        <v>100</v>
      </c>
      <c r="M46" s="106">
        <f>F46/6</f>
        <v>100</v>
      </c>
      <c r="N46" s="15">
        <f t="shared" si="17"/>
        <v>600</v>
      </c>
    </row>
    <row r="47" spans="1:14" ht="14.45" thickBot="1">
      <c r="A47" s="68"/>
      <c r="B47" s="386" t="s">
        <v>177</v>
      </c>
      <c r="C47" s="428"/>
      <c r="D47" s="428"/>
      <c r="E47" s="429"/>
      <c r="F47" s="31">
        <f>SUM(F20:F46)</f>
        <v>143176</v>
      </c>
      <c r="G47" s="31">
        <f t="shared" ref="G47:M47" si="20">SUM(G20:G46)</f>
        <v>0</v>
      </c>
      <c r="H47" s="109">
        <f>SUM(H20:H46)</f>
        <v>89349.333333333328</v>
      </c>
      <c r="I47" s="31">
        <f t="shared" si="20"/>
        <v>12793.333333333332</v>
      </c>
      <c r="J47" s="31">
        <f t="shared" si="20"/>
        <v>10933.333333333332</v>
      </c>
      <c r="K47" s="31">
        <f t="shared" si="20"/>
        <v>10933.333333333332</v>
      </c>
      <c r="L47" s="31">
        <f t="shared" si="20"/>
        <v>10933.333333333332</v>
      </c>
      <c r="M47" s="31">
        <f t="shared" si="20"/>
        <v>8233.3333333333339</v>
      </c>
      <c r="N47" s="80">
        <f>SUM(N20:N46)</f>
        <v>143176</v>
      </c>
    </row>
    <row r="48" spans="1:14" ht="14.45" thickBot="1">
      <c r="A48" s="359" t="s">
        <v>196</v>
      </c>
      <c r="B48" s="426"/>
      <c r="C48" s="426"/>
      <c r="D48" s="426"/>
      <c r="E48" s="427"/>
      <c r="F48" s="81">
        <f>F47</f>
        <v>143176</v>
      </c>
      <c r="G48" s="81">
        <f>G47</f>
        <v>0</v>
      </c>
      <c r="H48" s="115">
        <f>H47</f>
        <v>89349.333333333328</v>
      </c>
      <c r="I48" s="82">
        <f t="shared" ref="I48:L48" si="21">I47</f>
        <v>12793.333333333332</v>
      </c>
      <c r="J48" s="82">
        <f t="shared" si="21"/>
        <v>10933.333333333332</v>
      </c>
      <c r="K48" s="82">
        <f t="shared" si="21"/>
        <v>10933.333333333332</v>
      </c>
      <c r="L48" s="82">
        <f t="shared" si="21"/>
        <v>10933.333333333332</v>
      </c>
      <c r="M48" s="82">
        <f>M47</f>
        <v>8233.3333333333339</v>
      </c>
      <c r="N48" s="82">
        <f>N47</f>
        <v>143176</v>
      </c>
    </row>
    <row r="49" spans="1:14" ht="14.45" thickBot="1">
      <c r="A49" s="24" t="s">
        <v>261</v>
      </c>
      <c r="B49" s="368" t="s">
        <v>363</v>
      </c>
      <c r="C49" s="369"/>
      <c r="D49" s="369"/>
      <c r="E49" s="369"/>
      <c r="F49" s="369"/>
      <c r="G49" s="369"/>
      <c r="H49" s="369"/>
      <c r="I49" s="369"/>
      <c r="J49" s="369"/>
      <c r="K49" s="369"/>
      <c r="L49" s="369"/>
      <c r="M49" s="369"/>
      <c r="N49" s="425"/>
    </row>
    <row r="50" spans="1:14" ht="14.45" thickBot="1">
      <c r="A50" s="30" t="s">
        <v>263</v>
      </c>
      <c r="B50" s="356" t="s">
        <v>364</v>
      </c>
      <c r="C50" s="357"/>
      <c r="D50" s="357"/>
      <c r="E50" s="357"/>
      <c r="F50" s="357"/>
      <c r="G50" s="357"/>
      <c r="H50" s="357"/>
      <c r="I50" s="357"/>
      <c r="J50" s="357"/>
      <c r="K50" s="357"/>
      <c r="L50" s="357"/>
      <c r="M50" s="357"/>
      <c r="N50" s="424"/>
    </row>
    <row r="51" spans="1:14" ht="28.15" thickBot="1">
      <c r="A51" s="54">
        <v>3.1</v>
      </c>
      <c r="B51" s="83" t="s">
        <v>365</v>
      </c>
      <c r="C51" s="84">
        <v>1</v>
      </c>
      <c r="D51" s="84">
        <v>12</v>
      </c>
      <c r="E51" s="85">
        <f>800</f>
        <v>800</v>
      </c>
      <c r="F51" s="86">
        <f>D51*E51*C51</f>
        <v>9600</v>
      </c>
      <c r="G51" s="87"/>
      <c r="H51" s="14">
        <v>0</v>
      </c>
      <c r="I51" s="14">
        <v>0</v>
      </c>
      <c r="J51" s="14">
        <f>F51/4</f>
        <v>2400</v>
      </c>
      <c r="K51" s="14">
        <f>F51/4</f>
        <v>2400</v>
      </c>
      <c r="L51" s="10">
        <f>F51/4</f>
        <v>2400</v>
      </c>
      <c r="M51" s="13">
        <f>F51/4</f>
        <v>2400</v>
      </c>
      <c r="N51" s="23">
        <f>SUM(H51:M51)</f>
        <v>9600</v>
      </c>
    </row>
    <row r="52" spans="1:14" ht="28.15" thickBot="1">
      <c r="A52" s="54">
        <v>3.2</v>
      </c>
      <c r="B52" s="83" t="s">
        <v>366</v>
      </c>
      <c r="C52" s="84">
        <v>2</v>
      </c>
      <c r="D52" s="84">
        <v>12</v>
      </c>
      <c r="E52" s="85">
        <v>30</v>
      </c>
      <c r="F52" s="86">
        <f>D52*E52*C52</f>
        <v>720</v>
      </c>
      <c r="G52" s="87"/>
      <c r="H52" s="123">
        <v>0</v>
      </c>
      <c r="I52" s="123">
        <v>0</v>
      </c>
      <c r="J52" s="14">
        <f>F52/4</f>
        <v>180</v>
      </c>
      <c r="K52" s="14">
        <f>F52/4</f>
        <v>180</v>
      </c>
      <c r="L52" s="10">
        <f>F52/4</f>
        <v>180</v>
      </c>
      <c r="M52" s="13">
        <f>F52/4</f>
        <v>180</v>
      </c>
      <c r="N52" s="21">
        <f>SUM(H52:M52)</f>
        <v>720</v>
      </c>
    </row>
    <row r="53" spans="1:14" ht="14.45" thickBot="1">
      <c r="A53" s="68"/>
      <c r="B53" s="365" t="s">
        <v>267</v>
      </c>
      <c r="C53" s="366"/>
      <c r="D53" s="366"/>
      <c r="E53" s="367"/>
      <c r="F53" s="88">
        <f>SUM(F51:F52)</f>
        <v>10320</v>
      </c>
      <c r="G53" s="31">
        <f t="shared" ref="G53:N53" si="22">SUM(G51:G52)</f>
        <v>0</v>
      </c>
      <c r="H53" s="109">
        <f t="shared" si="22"/>
        <v>0</v>
      </c>
      <c r="I53" s="31">
        <f t="shared" si="22"/>
        <v>0</v>
      </c>
      <c r="J53" s="31">
        <f>SUM(J51:J52)</f>
        <v>2580</v>
      </c>
      <c r="K53" s="31">
        <f t="shared" si="22"/>
        <v>2580</v>
      </c>
      <c r="L53" s="31">
        <f t="shared" si="22"/>
        <v>2580</v>
      </c>
      <c r="M53" s="31">
        <f t="shared" si="22"/>
        <v>2580</v>
      </c>
      <c r="N53" s="31">
        <f t="shared" si="22"/>
        <v>10320</v>
      </c>
    </row>
    <row r="54" spans="1:14" ht="15.75" customHeight="1" thickBot="1">
      <c r="A54" s="359" t="s">
        <v>268</v>
      </c>
      <c r="B54" s="360"/>
      <c r="C54" s="360"/>
      <c r="D54" s="360"/>
      <c r="E54" s="361"/>
      <c r="F54" s="70">
        <f>F53</f>
        <v>10320</v>
      </c>
      <c r="G54" s="70">
        <f>G53</f>
        <v>0</v>
      </c>
      <c r="H54" s="110">
        <f>H53</f>
        <v>0</v>
      </c>
      <c r="I54" s="70">
        <f t="shared" ref="I54:N54" si="23">I53</f>
        <v>0</v>
      </c>
      <c r="J54" s="70">
        <f>J53</f>
        <v>2580</v>
      </c>
      <c r="K54" s="70">
        <f t="shared" si="23"/>
        <v>2580</v>
      </c>
      <c r="L54" s="70">
        <f>L53</f>
        <v>2580</v>
      </c>
      <c r="M54" s="70">
        <f t="shared" si="23"/>
        <v>2580</v>
      </c>
      <c r="N54" s="70">
        <f t="shared" si="23"/>
        <v>10320</v>
      </c>
    </row>
    <row r="55" spans="1:14" ht="14.45" thickBot="1">
      <c r="A55" s="24" t="s">
        <v>269</v>
      </c>
      <c r="B55" s="368" t="s">
        <v>367</v>
      </c>
      <c r="C55" s="369"/>
      <c r="D55" s="369"/>
      <c r="E55" s="369"/>
      <c r="F55" s="369"/>
      <c r="G55" s="369"/>
      <c r="H55" s="369"/>
      <c r="I55" s="369"/>
      <c r="J55" s="369"/>
      <c r="K55" s="369"/>
      <c r="L55" s="369"/>
      <c r="M55" s="369"/>
      <c r="N55" s="425"/>
    </row>
    <row r="56" spans="1:14" ht="14.45" thickBot="1">
      <c r="A56" s="30" t="s">
        <v>271</v>
      </c>
      <c r="B56" s="356" t="s">
        <v>368</v>
      </c>
      <c r="C56" s="357"/>
      <c r="D56" s="357"/>
      <c r="E56" s="357"/>
      <c r="F56" s="357"/>
      <c r="G56" s="357"/>
      <c r="H56" s="357"/>
      <c r="I56" s="357"/>
      <c r="J56" s="357"/>
      <c r="K56" s="357"/>
      <c r="L56" s="357"/>
      <c r="M56" s="357"/>
      <c r="N56" s="424"/>
    </row>
    <row r="57" spans="1:14" ht="28.15" thickBot="1">
      <c r="A57" s="54">
        <v>4.0999999999999996</v>
      </c>
      <c r="B57" s="83" t="s">
        <v>369</v>
      </c>
      <c r="C57" s="84">
        <v>1</v>
      </c>
      <c r="D57" s="84">
        <v>3</v>
      </c>
      <c r="E57" s="85">
        <v>1000</v>
      </c>
      <c r="F57" s="57">
        <f>C57*D57*E57</f>
        <v>3000</v>
      </c>
      <c r="G57" s="87"/>
      <c r="H57" s="123">
        <v>0</v>
      </c>
      <c r="I57" s="123">
        <v>0</v>
      </c>
      <c r="J57" s="123">
        <v>0</v>
      </c>
      <c r="K57" s="123">
        <v>0</v>
      </c>
      <c r="L57" s="123">
        <v>0</v>
      </c>
      <c r="M57" s="122">
        <f>F57</f>
        <v>3000</v>
      </c>
      <c r="N57" s="12">
        <f>SUM(H57:M57)</f>
        <v>3000</v>
      </c>
    </row>
    <row r="58" spans="1:14" ht="14.45" thickBot="1">
      <c r="A58" s="68"/>
      <c r="B58" s="365" t="s">
        <v>288</v>
      </c>
      <c r="C58" s="366"/>
      <c r="D58" s="366"/>
      <c r="E58" s="367"/>
      <c r="F58" s="88">
        <f t="shared" ref="F58:N58" si="24">SUM(F57)</f>
        <v>3000</v>
      </c>
      <c r="G58" s="31">
        <f t="shared" si="24"/>
        <v>0</v>
      </c>
      <c r="H58" s="109">
        <f t="shared" si="24"/>
        <v>0</v>
      </c>
      <c r="I58" s="109">
        <f t="shared" si="24"/>
        <v>0</v>
      </c>
      <c r="J58" s="109">
        <f t="shared" si="24"/>
        <v>0</v>
      </c>
      <c r="K58" s="109">
        <f t="shared" si="24"/>
        <v>0</v>
      </c>
      <c r="L58" s="109">
        <f t="shared" si="24"/>
        <v>0</v>
      </c>
      <c r="M58" s="109">
        <f t="shared" si="24"/>
        <v>3000</v>
      </c>
      <c r="N58" s="109">
        <f t="shared" si="24"/>
        <v>3000</v>
      </c>
    </row>
    <row r="59" spans="1:14" ht="14.45" thickBot="1">
      <c r="A59" s="359" t="s">
        <v>301</v>
      </c>
      <c r="B59" s="426"/>
      <c r="C59" s="426"/>
      <c r="D59" s="426"/>
      <c r="E59" s="427"/>
      <c r="F59" s="82">
        <f>F58</f>
        <v>3000</v>
      </c>
      <c r="G59" s="81">
        <f>G57</f>
        <v>0</v>
      </c>
      <c r="H59" s="115">
        <f t="shared" ref="H59:N59" si="25">H58</f>
        <v>0</v>
      </c>
      <c r="I59" s="115">
        <f t="shared" si="25"/>
        <v>0</v>
      </c>
      <c r="J59" s="115">
        <f t="shared" si="25"/>
        <v>0</v>
      </c>
      <c r="K59" s="115">
        <f t="shared" si="25"/>
        <v>0</v>
      </c>
      <c r="L59" s="115">
        <f t="shared" si="25"/>
        <v>0</v>
      </c>
      <c r="M59" s="115">
        <f t="shared" si="25"/>
        <v>3000</v>
      </c>
      <c r="N59" s="82">
        <f t="shared" si="25"/>
        <v>3000</v>
      </c>
    </row>
    <row r="60" spans="1:14" ht="15.75" customHeight="1" thickBot="1">
      <c r="A60" s="24" t="s">
        <v>370</v>
      </c>
      <c r="B60" s="368" t="s">
        <v>371</v>
      </c>
      <c r="C60" s="369"/>
      <c r="D60" s="369"/>
      <c r="E60" s="369"/>
      <c r="F60" s="369"/>
      <c r="G60" s="369"/>
      <c r="H60" s="369"/>
      <c r="I60" s="369"/>
      <c r="J60" s="369"/>
      <c r="K60" s="369"/>
      <c r="L60" s="369"/>
      <c r="M60" s="369"/>
      <c r="N60" s="425"/>
    </row>
    <row r="61" spans="1:14" ht="15.75" customHeight="1" thickBot="1">
      <c r="A61" s="25" t="s">
        <v>372</v>
      </c>
      <c r="B61" s="433" t="s">
        <v>164</v>
      </c>
      <c r="C61" s="434"/>
      <c r="D61" s="434"/>
      <c r="E61" s="434"/>
      <c r="F61" s="434"/>
      <c r="G61" s="434"/>
      <c r="H61" s="434"/>
      <c r="I61" s="434"/>
      <c r="J61" s="434"/>
      <c r="K61" s="434"/>
      <c r="L61" s="434"/>
      <c r="M61" s="434"/>
      <c r="N61" s="435"/>
    </row>
    <row r="62" spans="1:14" s="99" customFormat="1" ht="28.15" thickBot="1">
      <c r="A62" s="64" t="s">
        <v>373</v>
      </c>
      <c r="B62" s="127" t="s">
        <v>374</v>
      </c>
      <c r="C62" s="128">
        <v>1</v>
      </c>
      <c r="D62" s="128">
        <v>6</v>
      </c>
      <c r="E62" s="89">
        <v>200</v>
      </c>
      <c r="F62" s="89">
        <f>E62*D62*C62/2</f>
        <v>600</v>
      </c>
      <c r="G62" s="89">
        <f>C62*E62*D62/2</f>
        <v>600</v>
      </c>
      <c r="H62" s="129">
        <f>F62/2</f>
        <v>300</v>
      </c>
      <c r="I62" s="13">
        <v>0</v>
      </c>
      <c r="J62" s="13">
        <v>0</v>
      </c>
      <c r="K62" s="13">
        <f>F62/2</f>
        <v>300</v>
      </c>
      <c r="L62" s="13">
        <v>0</v>
      </c>
      <c r="M62" s="13">
        <v>0</v>
      </c>
      <c r="N62" s="89">
        <f>SUM(H62:M62)</f>
        <v>600</v>
      </c>
    </row>
    <row r="63" spans="1:14" ht="34.5" customHeight="1" thickBot="1">
      <c r="A63" s="83" t="s">
        <v>375</v>
      </c>
      <c r="B63" s="83" t="s">
        <v>168</v>
      </c>
      <c r="C63" s="84">
        <v>1</v>
      </c>
      <c r="D63" s="84">
        <v>18</v>
      </c>
      <c r="E63" s="86">
        <v>300</v>
      </c>
      <c r="F63" s="86">
        <f>E63*D63*C63/2</f>
        <v>2700</v>
      </c>
      <c r="G63" s="86">
        <f t="shared" ref="G63:G68" si="26">C63*E63*D63/2</f>
        <v>2700</v>
      </c>
      <c r="H63" s="116">
        <f>F63/6</f>
        <v>450</v>
      </c>
      <c r="I63" s="86">
        <f t="shared" ref="I63:I68" si="27">F63/6</f>
        <v>450</v>
      </c>
      <c r="J63" s="86">
        <f t="shared" ref="J63:J68" si="28">F63/6</f>
        <v>450</v>
      </c>
      <c r="K63" s="86">
        <f t="shared" ref="K63:K68" si="29">F63/6</f>
        <v>450</v>
      </c>
      <c r="L63" s="86">
        <f t="shared" ref="L63:L68" si="30">F63/6</f>
        <v>450</v>
      </c>
      <c r="M63" s="86">
        <f t="shared" ref="M63:M68" si="31">F63/6</f>
        <v>450</v>
      </c>
      <c r="N63" s="86">
        <f>SUM(H63:M63)</f>
        <v>2700</v>
      </c>
    </row>
    <row r="64" spans="1:14" s="99" customFormat="1" ht="28.15" thickBot="1">
      <c r="A64" s="83" t="s">
        <v>376</v>
      </c>
      <c r="B64" s="83" t="s">
        <v>170</v>
      </c>
      <c r="C64" s="84">
        <v>1</v>
      </c>
      <c r="D64" s="84">
        <v>18</v>
      </c>
      <c r="E64" s="86">
        <v>300</v>
      </c>
      <c r="F64" s="86">
        <f>E64*D64*C64/2</f>
        <v>2700</v>
      </c>
      <c r="G64" s="86">
        <f t="shared" si="26"/>
        <v>2700</v>
      </c>
      <c r="H64" s="116">
        <f t="shared" ref="H64:H68" si="32">F64/6</f>
        <v>450</v>
      </c>
      <c r="I64" s="86">
        <f t="shared" si="27"/>
        <v>450</v>
      </c>
      <c r="J64" s="86">
        <f t="shared" si="28"/>
        <v>450</v>
      </c>
      <c r="K64" s="86">
        <f t="shared" si="29"/>
        <v>450</v>
      </c>
      <c r="L64" s="86">
        <f t="shared" si="30"/>
        <v>450</v>
      </c>
      <c r="M64" s="86">
        <f t="shared" si="31"/>
        <v>450</v>
      </c>
      <c r="N64" s="86">
        <f>SUM(H64:M64)</f>
        <v>2700</v>
      </c>
    </row>
    <row r="65" spans="1:15" ht="35.25" customHeight="1" thickBot="1">
      <c r="A65" s="83" t="s">
        <v>377</v>
      </c>
      <c r="B65" s="83" t="s">
        <v>378</v>
      </c>
      <c r="C65" s="84">
        <v>1</v>
      </c>
      <c r="D65" s="84">
        <v>18</v>
      </c>
      <c r="E65" s="86">
        <v>300</v>
      </c>
      <c r="F65" s="86">
        <f t="shared" ref="F65:F68" si="33">E65*D65*C65/2</f>
        <v>2700</v>
      </c>
      <c r="G65" s="86">
        <f t="shared" si="26"/>
        <v>2700</v>
      </c>
      <c r="H65" s="116">
        <f t="shared" si="32"/>
        <v>450</v>
      </c>
      <c r="I65" s="86">
        <f t="shared" si="27"/>
        <v>450</v>
      </c>
      <c r="J65" s="86">
        <f t="shared" si="28"/>
        <v>450</v>
      </c>
      <c r="K65" s="86">
        <f t="shared" si="29"/>
        <v>450</v>
      </c>
      <c r="L65" s="86">
        <f t="shared" si="30"/>
        <v>450</v>
      </c>
      <c r="M65" s="86">
        <f t="shared" si="31"/>
        <v>450</v>
      </c>
      <c r="N65" s="86">
        <f t="shared" ref="N65:N68" si="34">SUM(H65:M65)</f>
        <v>2700</v>
      </c>
    </row>
    <row r="66" spans="1:15" ht="35.25" customHeight="1" thickBot="1">
      <c r="A66" s="83" t="s">
        <v>379</v>
      </c>
      <c r="B66" s="83" t="s">
        <v>172</v>
      </c>
      <c r="C66" s="84">
        <v>1</v>
      </c>
      <c r="D66" s="84">
        <v>18</v>
      </c>
      <c r="E66" s="86">
        <v>300</v>
      </c>
      <c r="F66" s="86">
        <f t="shared" si="33"/>
        <v>2700</v>
      </c>
      <c r="G66" s="86">
        <f t="shared" si="26"/>
        <v>2700</v>
      </c>
      <c r="H66" s="116">
        <f t="shared" si="32"/>
        <v>450</v>
      </c>
      <c r="I66" s="86">
        <f t="shared" si="27"/>
        <v>450</v>
      </c>
      <c r="J66" s="86">
        <f t="shared" si="28"/>
        <v>450</v>
      </c>
      <c r="K66" s="86">
        <f t="shared" si="29"/>
        <v>450</v>
      </c>
      <c r="L66" s="86">
        <f t="shared" si="30"/>
        <v>450</v>
      </c>
      <c r="M66" s="86">
        <f t="shared" si="31"/>
        <v>450</v>
      </c>
      <c r="N66" s="86">
        <f t="shared" si="34"/>
        <v>2700</v>
      </c>
    </row>
    <row r="67" spans="1:15" ht="33" customHeight="1" thickBot="1">
      <c r="A67" s="83" t="s">
        <v>380</v>
      </c>
      <c r="B67" s="83" t="s">
        <v>381</v>
      </c>
      <c r="C67" s="84">
        <v>1</v>
      </c>
      <c r="D67" s="84">
        <v>12</v>
      </c>
      <c r="E67" s="86">
        <v>200</v>
      </c>
      <c r="F67" s="86">
        <f t="shared" si="33"/>
        <v>1200</v>
      </c>
      <c r="G67" s="86">
        <f t="shared" si="26"/>
        <v>1200</v>
      </c>
      <c r="H67" s="106">
        <f>F67/4</f>
        <v>300</v>
      </c>
      <c r="I67" s="106">
        <f>F67/4</f>
        <v>300</v>
      </c>
      <c r="J67" s="106">
        <f>F67/4</f>
        <v>300</v>
      </c>
      <c r="K67" s="106">
        <f>F67/4</f>
        <v>300</v>
      </c>
      <c r="L67" s="106">
        <v>0</v>
      </c>
      <c r="M67" s="106">
        <v>0</v>
      </c>
      <c r="N67" s="86">
        <f>SUM(H67:M67)</f>
        <v>1200</v>
      </c>
    </row>
    <row r="68" spans="1:15" ht="35.25" customHeight="1" thickBot="1">
      <c r="A68" s="83" t="s">
        <v>382</v>
      </c>
      <c r="B68" s="83" t="s">
        <v>176</v>
      </c>
      <c r="C68" s="84">
        <v>1</v>
      </c>
      <c r="D68" s="84">
        <v>18</v>
      </c>
      <c r="E68" s="86">
        <v>200</v>
      </c>
      <c r="F68" s="86">
        <f t="shared" si="33"/>
        <v>1800</v>
      </c>
      <c r="G68" s="86">
        <f t="shared" si="26"/>
        <v>1800</v>
      </c>
      <c r="H68" s="116">
        <f t="shared" si="32"/>
        <v>300</v>
      </c>
      <c r="I68" s="86">
        <f t="shared" si="27"/>
        <v>300</v>
      </c>
      <c r="J68" s="86">
        <f t="shared" si="28"/>
        <v>300</v>
      </c>
      <c r="K68" s="86">
        <f t="shared" si="29"/>
        <v>300</v>
      </c>
      <c r="L68" s="86">
        <f t="shared" si="30"/>
        <v>300</v>
      </c>
      <c r="M68" s="86">
        <f t="shared" si="31"/>
        <v>300</v>
      </c>
      <c r="N68" s="86">
        <f t="shared" si="34"/>
        <v>1800</v>
      </c>
    </row>
    <row r="69" spans="1:15" ht="15.75" customHeight="1" thickBot="1">
      <c r="A69" s="100"/>
      <c r="B69" s="436" t="s">
        <v>383</v>
      </c>
      <c r="C69" s="436"/>
      <c r="D69" s="436"/>
      <c r="E69" s="436"/>
      <c r="F69" s="101">
        <f>SUM(F62:F68)</f>
        <v>14400</v>
      </c>
      <c r="G69" s="101">
        <f t="shared" ref="G69:M69" si="35">SUM(G62:G68)</f>
        <v>14400</v>
      </c>
      <c r="H69" s="101">
        <f t="shared" si="35"/>
        <v>2700</v>
      </c>
      <c r="I69" s="101">
        <f t="shared" si="35"/>
        <v>2400</v>
      </c>
      <c r="J69" s="101">
        <f t="shared" si="35"/>
        <v>2400</v>
      </c>
      <c r="K69" s="101">
        <f t="shared" si="35"/>
        <v>2700</v>
      </c>
      <c r="L69" s="101">
        <f t="shared" si="35"/>
        <v>2100</v>
      </c>
      <c r="M69" s="101">
        <f t="shared" si="35"/>
        <v>2100</v>
      </c>
      <c r="N69" s="102">
        <f>SUM(N62:N68)</f>
        <v>14400</v>
      </c>
      <c r="O69" s="37"/>
    </row>
    <row r="70" spans="1:15" ht="15.75" customHeight="1" thickBot="1">
      <c r="A70" s="30" t="s">
        <v>384</v>
      </c>
      <c r="B70" s="356" t="s">
        <v>179</v>
      </c>
      <c r="C70" s="357"/>
      <c r="D70" s="357"/>
      <c r="E70" s="357"/>
      <c r="F70" s="357"/>
      <c r="G70" s="357"/>
      <c r="H70" s="357"/>
      <c r="I70" s="357"/>
      <c r="J70" s="357"/>
      <c r="K70" s="357"/>
      <c r="L70" s="357"/>
      <c r="M70" s="357"/>
      <c r="N70" s="424"/>
    </row>
    <row r="71" spans="1:15" s="132" customFormat="1" ht="36.75" customHeight="1" thickBot="1">
      <c r="A71" s="26" t="s">
        <v>385</v>
      </c>
      <c r="B71" s="26" t="s">
        <v>386</v>
      </c>
      <c r="C71" s="27">
        <v>1</v>
      </c>
      <c r="D71" s="27">
        <v>12</v>
      </c>
      <c r="E71" s="57">
        <v>600</v>
      </c>
      <c r="F71" s="86">
        <f>D71*E71*C71/2</f>
        <v>3600</v>
      </c>
      <c r="G71" s="86">
        <f>E71*D71*C71/2</f>
        <v>3600</v>
      </c>
      <c r="H71" s="117">
        <f>F71/4</f>
        <v>900</v>
      </c>
      <c r="I71" s="87">
        <f>F71/4</f>
        <v>900</v>
      </c>
      <c r="J71" s="87">
        <f>F71/4</f>
        <v>900</v>
      </c>
      <c r="K71" s="87">
        <f>F71/4</f>
        <v>900</v>
      </c>
      <c r="L71" s="130">
        <v>0</v>
      </c>
      <c r="M71" s="130">
        <v>0</v>
      </c>
      <c r="N71" s="87">
        <f t="shared" ref="N71:N74" si="36">SUM(H71:M71)</f>
        <v>3600</v>
      </c>
      <c r="O71" s="131"/>
    </row>
    <row r="72" spans="1:15" ht="24.75" customHeight="1" thickBot="1">
      <c r="A72" s="26" t="s">
        <v>387</v>
      </c>
      <c r="B72" s="26" t="s">
        <v>388</v>
      </c>
      <c r="C72" s="27">
        <v>3</v>
      </c>
      <c r="D72" s="27">
        <v>9</v>
      </c>
      <c r="E72" s="57">
        <v>1000</v>
      </c>
      <c r="F72" s="86">
        <v>3500</v>
      </c>
      <c r="G72" s="86">
        <f>E72*D72*C72-3500</f>
        <v>23500</v>
      </c>
      <c r="H72" s="117">
        <f t="shared" ref="H72" si="37">F72/6</f>
        <v>583.33333333333337</v>
      </c>
      <c r="I72" s="87">
        <f t="shared" ref="I72" si="38">F72/6</f>
        <v>583.33333333333337</v>
      </c>
      <c r="J72" s="87">
        <f t="shared" ref="J72" si="39">F72/6</f>
        <v>583.33333333333337</v>
      </c>
      <c r="K72" s="87">
        <f t="shared" ref="K72" si="40">F72/6</f>
        <v>583.33333333333337</v>
      </c>
      <c r="L72" s="87">
        <f t="shared" ref="L72" si="41">F72/6</f>
        <v>583.33333333333337</v>
      </c>
      <c r="M72" s="87">
        <f t="shared" ref="M72" si="42">F72/6</f>
        <v>583.33333333333337</v>
      </c>
      <c r="N72" s="87">
        <f t="shared" si="36"/>
        <v>3500.0000000000005</v>
      </c>
    </row>
    <row r="73" spans="1:15" ht="14.45" thickBot="1">
      <c r="A73" s="26" t="s">
        <v>389</v>
      </c>
      <c r="B73" s="26" t="s">
        <v>390</v>
      </c>
      <c r="C73" s="27">
        <v>1500</v>
      </c>
      <c r="D73" s="27">
        <f>18*4</f>
        <v>72</v>
      </c>
      <c r="E73" s="57">
        <v>1</v>
      </c>
      <c r="F73" s="86"/>
      <c r="G73" s="86">
        <f>E73*D73*C73</f>
        <v>108000</v>
      </c>
      <c r="H73" s="117"/>
      <c r="I73" s="117"/>
      <c r="J73" s="117"/>
      <c r="K73" s="117"/>
      <c r="L73" s="117"/>
      <c r="M73" s="117"/>
      <c r="N73" s="87">
        <f t="shared" si="36"/>
        <v>0</v>
      </c>
    </row>
    <row r="74" spans="1:15" ht="30.75" customHeight="1" thickBot="1">
      <c r="A74" s="26" t="s">
        <v>391</v>
      </c>
      <c r="B74" s="26" t="s">
        <v>392</v>
      </c>
      <c r="C74" s="27">
        <v>1</v>
      </c>
      <c r="D74" s="27">
        <v>14</v>
      </c>
      <c r="E74" s="57">
        <v>250</v>
      </c>
      <c r="F74" s="86">
        <f>D74*E74*C74/2</f>
        <v>1750</v>
      </c>
      <c r="G74" s="86">
        <f>E74*D74*C74/2</f>
        <v>1750</v>
      </c>
      <c r="H74" s="117">
        <f>(F74/14)*3</f>
        <v>375</v>
      </c>
      <c r="I74" s="117">
        <f>(F74/14)*3</f>
        <v>375</v>
      </c>
      <c r="J74" s="117">
        <f>(F74/14)*3</f>
        <v>375</v>
      </c>
      <c r="K74" s="117">
        <f>(F74/14)*3</f>
        <v>375</v>
      </c>
      <c r="L74" s="117">
        <f>(F74/14)*2</f>
        <v>250</v>
      </c>
      <c r="M74" s="130">
        <v>0</v>
      </c>
      <c r="N74" s="87">
        <f t="shared" si="36"/>
        <v>1750</v>
      </c>
      <c r="O74" s="37"/>
    </row>
    <row r="75" spans="1:15" ht="15.75" customHeight="1" thickBot="1">
      <c r="A75" s="28"/>
      <c r="B75" s="437" t="s">
        <v>393</v>
      </c>
      <c r="C75" s="437"/>
      <c r="D75" s="437"/>
      <c r="E75" s="371"/>
      <c r="F75" s="31">
        <f>SUM(F71:F74)</f>
        <v>8850</v>
      </c>
      <c r="G75" s="32">
        <f>SUM(G71:G74)</f>
        <v>136850</v>
      </c>
      <c r="H75" s="118">
        <f t="shared" ref="H75:M75" si="43">SUM(H71:H74)</f>
        <v>1858.3333333333335</v>
      </c>
      <c r="I75" s="29">
        <f t="shared" si="43"/>
        <v>1858.3333333333335</v>
      </c>
      <c r="J75" s="29">
        <f t="shared" si="43"/>
        <v>1858.3333333333335</v>
      </c>
      <c r="K75" s="29">
        <f t="shared" si="43"/>
        <v>1858.3333333333335</v>
      </c>
      <c r="L75" s="29">
        <f t="shared" si="43"/>
        <v>833.33333333333337</v>
      </c>
      <c r="M75" s="29">
        <f t="shared" si="43"/>
        <v>583.33333333333337</v>
      </c>
      <c r="N75" s="29">
        <f>SUM(N71:N74)</f>
        <v>8850</v>
      </c>
      <c r="O75" s="37"/>
    </row>
    <row r="76" spans="1:15" ht="15.75" customHeight="1" thickBot="1">
      <c r="A76" s="25" t="s">
        <v>394</v>
      </c>
      <c r="B76" s="430" t="s">
        <v>395</v>
      </c>
      <c r="C76" s="431"/>
      <c r="D76" s="431"/>
      <c r="E76" s="431"/>
      <c r="F76" s="431"/>
      <c r="G76" s="431"/>
      <c r="H76" s="431"/>
      <c r="I76" s="431"/>
      <c r="J76" s="431"/>
      <c r="K76" s="431"/>
      <c r="L76" s="431"/>
      <c r="M76" s="431"/>
      <c r="N76" s="432"/>
    </row>
    <row r="77" spans="1:15" ht="29.25" customHeight="1" thickBot="1">
      <c r="A77" s="33" t="s">
        <v>396</v>
      </c>
      <c r="B77" s="34" t="s">
        <v>192</v>
      </c>
      <c r="C77" s="35">
        <v>1</v>
      </c>
      <c r="D77" s="35">
        <v>18</v>
      </c>
      <c r="E77" s="57">
        <v>350</v>
      </c>
      <c r="F77" s="87"/>
      <c r="G77" s="89">
        <f>E77*D77*C77</f>
        <v>6300</v>
      </c>
      <c r="H77" s="117"/>
      <c r="I77" s="87"/>
      <c r="J77" s="87"/>
      <c r="K77" s="87"/>
      <c r="L77" s="87"/>
      <c r="M77" s="87"/>
      <c r="N77" s="87">
        <f>SUM(H77:M77)</f>
        <v>0</v>
      </c>
    </row>
    <row r="78" spans="1:15" s="99" customFormat="1" ht="28.15" thickBot="1">
      <c r="A78" s="33" t="s">
        <v>397</v>
      </c>
      <c r="B78" s="34" t="s">
        <v>398</v>
      </c>
      <c r="C78" s="104">
        <v>1</v>
      </c>
      <c r="D78" s="104">
        <v>6</v>
      </c>
      <c r="E78" s="57">
        <v>350</v>
      </c>
      <c r="F78" s="86">
        <f>D78*E78*C78/2</f>
        <v>1050</v>
      </c>
      <c r="G78" s="86">
        <f>E78*D78*C78/2</f>
        <v>1050</v>
      </c>
      <c r="H78" s="117">
        <f>F78/6</f>
        <v>175</v>
      </c>
      <c r="I78" s="117">
        <f>F78/6</f>
        <v>175</v>
      </c>
      <c r="J78" s="117">
        <f>F78/6</f>
        <v>175</v>
      </c>
      <c r="K78" s="117">
        <f>F78/6</f>
        <v>175</v>
      </c>
      <c r="L78" s="117">
        <f>F78/6</f>
        <v>175</v>
      </c>
      <c r="M78" s="117">
        <f>F78/6</f>
        <v>175</v>
      </c>
      <c r="N78" s="87">
        <f>SUM(H78:M78)</f>
        <v>1050</v>
      </c>
    </row>
    <row r="79" spans="1:15" ht="15.75" customHeight="1" thickBot="1">
      <c r="A79" s="28"/>
      <c r="B79" s="437" t="s">
        <v>399</v>
      </c>
      <c r="C79" s="437"/>
      <c r="D79" s="437"/>
      <c r="E79" s="437"/>
      <c r="F79" s="29">
        <f>SUM(F77:F78)</f>
        <v>1050</v>
      </c>
      <c r="G79" s="126">
        <f>SUM(G77:G78)</f>
        <v>7350</v>
      </c>
      <c r="H79" s="109">
        <f>SUM(H77:H78)</f>
        <v>175</v>
      </c>
      <c r="I79" s="109">
        <f t="shared" ref="I79:M79" si="44">SUM(I77:I78)</f>
        <v>175</v>
      </c>
      <c r="J79" s="109">
        <f t="shared" si="44"/>
        <v>175</v>
      </c>
      <c r="K79" s="109">
        <f t="shared" si="44"/>
        <v>175</v>
      </c>
      <c r="L79" s="109">
        <f t="shared" si="44"/>
        <v>175</v>
      </c>
      <c r="M79" s="109">
        <f t="shared" si="44"/>
        <v>175</v>
      </c>
      <c r="N79" s="80">
        <f>SUM(N77:N78)</f>
        <v>1050</v>
      </c>
      <c r="O79" s="37"/>
    </row>
    <row r="80" spans="1:15" ht="15.75" customHeight="1" thickBot="1">
      <c r="A80" s="438" t="s">
        <v>400</v>
      </c>
      <c r="B80" s="439"/>
      <c r="C80" s="439"/>
      <c r="D80" s="439"/>
      <c r="E80" s="440"/>
      <c r="F80" s="36">
        <f>F79+F75+F69</f>
        <v>24300</v>
      </c>
      <c r="G80" s="36">
        <f>G79+G75+G69</f>
        <v>158600</v>
      </c>
      <c r="H80" s="119">
        <f>H79+H75+H69</f>
        <v>4733.3333333333339</v>
      </c>
      <c r="I80" s="36">
        <f t="shared" ref="I80:M80" si="45">I79+I75+I69</f>
        <v>4433.3333333333339</v>
      </c>
      <c r="J80" s="36">
        <f t="shared" si="45"/>
        <v>4433.3333333333339</v>
      </c>
      <c r="K80" s="36">
        <f t="shared" si="45"/>
        <v>4733.3333333333339</v>
      </c>
      <c r="L80" s="36">
        <f t="shared" si="45"/>
        <v>3108.3333333333335</v>
      </c>
      <c r="M80" s="36">
        <f t="shared" si="45"/>
        <v>2858.3333333333335</v>
      </c>
      <c r="N80" s="36">
        <f>N79+N75+N69</f>
        <v>24300</v>
      </c>
    </row>
    <row r="81" spans="1:14" ht="32.25" customHeight="1" thickBot="1">
      <c r="A81" s="376" t="s">
        <v>197</v>
      </c>
      <c r="B81" s="377"/>
      <c r="C81" s="377"/>
      <c r="D81" s="377"/>
      <c r="E81" s="378"/>
      <c r="F81" s="90">
        <f>F17+F54+F48+F80+F59</f>
        <v>188546</v>
      </c>
      <c r="G81" s="90">
        <f>G17+G54+G48+G80+G59</f>
        <v>158600</v>
      </c>
      <c r="H81" s="120">
        <f t="shared" ref="H81:N81" si="46">H17+H48+H54+H59+H80</f>
        <v>94082.666666666657</v>
      </c>
      <c r="I81" s="120">
        <f t="shared" si="46"/>
        <v>24976.666666666664</v>
      </c>
      <c r="J81" s="120">
        <f t="shared" si="46"/>
        <v>17946.666666666664</v>
      </c>
      <c r="K81" s="120">
        <f t="shared" si="46"/>
        <v>18246.666666666664</v>
      </c>
      <c r="L81" s="120">
        <f t="shared" si="46"/>
        <v>16621.666666666664</v>
      </c>
      <c r="M81" s="120">
        <f t="shared" si="46"/>
        <v>16671.666666666668</v>
      </c>
      <c r="N81" s="120">
        <f t="shared" si="46"/>
        <v>188546</v>
      </c>
    </row>
    <row r="82" spans="1:14" ht="27" customHeight="1">
      <c r="A82" s="379"/>
      <c r="B82" s="379"/>
      <c r="C82" s="379"/>
      <c r="D82" s="379"/>
      <c r="E82" s="379"/>
      <c r="F82" s="124"/>
      <c r="G82" s="37"/>
      <c r="H82" s="125"/>
      <c r="I82" s="37"/>
    </row>
    <row r="85" spans="1:14" ht="38.25" customHeight="1">
      <c r="A85" s="441" t="s">
        <v>198</v>
      </c>
      <c r="B85" s="441"/>
      <c r="C85" s="441"/>
      <c r="D85" s="441"/>
      <c r="E85" s="441"/>
      <c r="F85" s="441"/>
      <c r="H85" s="121"/>
    </row>
    <row r="86" spans="1:14">
      <c r="A86" s="91"/>
      <c r="B86" s="92" t="s">
        <v>199</v>
      </c>
      <c r="C86" s="93" t="s">
        <v>306</v>
      </c>
      <c r="D86" s="93" t="s">
        <v>200</v>
      </c>
      <c r="E86" s="94" t="s">
        <v>201</v>
      </c>
      <c r="F86" s="94" t="s">
        <v>202</v>
      </c>
      <c r="H86" s="121"/>
    </row>
    <row r="87" spans="1:14">
      <c r="A87" s="95"/>
      <c r="B87" s="133" t="s">
        <v>20</v>
      </c>
      <c r="C87" s="38"/>
      <c r="D87" s="38"/>
      <c r="E87" s="39">
        <v>0</v>
      </c>
      <c r="F87" s="96">
        <v>0</v>
      </c>
      <c r="H87" s="121"/>
    </row>
    <row r="88" spans="1:14">
      <c r="A88" s="95"/>
      <c r="B88" s="134" t="s">
        <v>161</v>
      </c>
      <c r="C88" s="38"/>
      <c r="D88" s="38"/>
      <c r="E88" s="39">
        <v>0</v>
      </c>
      <c r="F88" s="96">
        <v>0</v>
      </c>
      <c r="H88" s="121"/>
    </row>
    <row r="89" spans="1:14" ht="12.75" customHeight="1">
      <c r="A89" s="95"/>
      <c r="B89" s="134" t="s">
        <v>261</v>
      </c>
      <c r="C89" s="38"/>
      <c r="D89" s="38"/>
      <c r="E89" s="39">
        <v>0</v>
      </c>
      <c r="F89" s="96">
        <v>0</v>
      </c>
      <c r="H89" s="121"/>
    </row>
    <row r="90" spans="1:14">
      <c r="A90" s="95"/>
      <c r="B90" s="134" t="s">
        <v>269</v>
      </c>
      <c r="C90" s="38"/>
      <c r="D90" s="38"/>
      <c r="E90" s="39">
        <v>0</v>
      </c>
      <c r="F90" s="96">
        <v>0</v>
      </c>
      <c r="H90" s="121"/>
    </row>
    <row r="91" spans="1:14">
      <c r="A91" s="95"/>
      <c r="B91" s="134" t="s">
        <v>370</v>
      </c>
      <c r="C91" s="38"/>
      <c r="D91" s="38"/>
      <c r="E91" s="39">
        <v>0</v>
      </c>
      <c r="F91" s="96">
        <v>0</v>
      </c>
      <c r="H91" s="121"/>
    </row>
    <row r="92" spans="1:14" ht="27.6">
      <c r="A92" s="95"/>
      <c r="B92" s="135" t="s">
        <v>374</v>
      </c>
      <c r="C92" s="38">
        <f>C62</f>
        <v>1</v>
      </c>
      <c r="D92" s="38">
        <f>D62</f>
        <v>6</v>
      </c>
      <c r="E92" s="39">
        <f>E62</f>
        <v>200</v>
      </c>
      <c r="F92" s="96">
        <f>G62</f>
        <v>600</v>
      </c>
      <c r="H92" s="121"/>
    </row>
    <row r="93" spans="1:14" ht="27.6">
      <c r="A93" s="95"/>
      <c r="B93" s="135" t="s">
        <v>168</v>
      </c>
      <c r="C93" s="38">
        <f t="shared" ref="C93:E98" si="47">C63</f>
        <v>1</v>
      </c>
      <c r="D93" s="38">
        <f t="shared" si="47"/>
        <v>18</v>
      </c>
      <c r="E93" s="39">
        <f t="shared" si="47"/>
        <v>300</v>
      </c>
      <c r="F93" s="96">
        <f t="shared" ref="F93:F98" si="48">G63</f>
        <v>2700</v>
      </c>
      <c r="H93" s="121"/>
    </row>
    <row r="94" spans="1:14" ht="27.6">
      <c r="A94" s="95"/>
      <c r="B94" s="135" t="s">
        <v>170</v>
      </c>
      <c r="C94" s="38">
        <f t="shared" si="47"/>
        <v>1</v>
      </c>
      <c r="D94" s="38">
        <f t="shared" si="47"/>
        <v>18</v>
      </c>
      <c r="E94" s="39">
        <f t="shared" si="47"/>
        <v>300</v>
      </c>
      <c r="F94" s="96">
        <f t="shared" si="48"/>
        <v>2700</v>
      </c>
      <c r="H94" s="121"/>
    </row>
    <row r="95" spans="1:14" ht="27.6">
      <c r="A95" s="95"/>
      <c r="B95" s="135" t="s">
        <v>378</v>
      </c>
      <c r="C95" s="38">
        <f t="shared" si="47"/>
        <v>1</v>
      </c>
      <c r="D95" s="38">
        <f t="shared" si="47"/>
        <v>18</v>
      </c>
      <c r="E95" s="39">
        <f t="shared" si="47"/>
        <v>300</v>
      </c>
      <c r="F95" s="96">
        <f t="shared" si="48"/>
        <v>2700</v>
      </c>
      <c r="H95" s="121"/>
    </row>
    <row r="96" spans="1:14" ht="27.6">
      <c r="A96" s="95"/>
      <c r="B96" s="135" t="s">
        <v>172</v>
      </c>
      <c r="C96" s="38">
        <f t="shared" si="47"/>
        <v>1</v>
      </c>
      <c r="D96" s="38">
        <f t="shared" si="47"/>
        <v>18</v>
      </c>
      <c r="E96" s="39">
        <f t="shared" si="47"/>
        <v>300</v>
      </c>
      <c r="F96" s="96">
        <f t="shared" si="48"/>
        <v>2700</v>
      </c>
      <c r="H96" s="121"/>
    </row>
    <row r="97" spans="1:8" ht="27.6">
      <c r="A97" s="95"/>
      <c r="B97" s="135" t="s">
        <v>381</v>
      </c>
      <c r="C97" s="38">
        <f t="shared" si="47"/>
        <v>1</v>
      </c>
      <c r="D97" s="38">
        <f t="shared" si="47"/>
        <v>12</v>
      </c>
      <c r="E97" s="39">
        <f t="shared" si="47"/>
        <v>200</v>
      </c>
      <c r="F97" s="96">
        <f t="shared" si="48"/>
        <v>1200</v>
      </c>
      <c r="H97" s="121"/>
    </row>
    <row r="98" spans="1:8" ht="27.6">
      <c r="A98" s="95"/>
      <c r="B98" s="135" t="s">
        <v>176</v>
      </c>
      <c r="C98" s="38">
        <f t="shared" si="47"/>
        <v>1</v>
      </c>
      <c r="D98" s="38">
        <f t="shared" si="47"/>
        <v>18</v>
      </c>
      <c r="E98" s="39">
        <f t="shared" si="47"/>
        <v>200</v>
      </c>
      <c r="F98" s="96">
        <f t="shared" si="48"/>
        <v>1800</v>
      </c>
      <c r="H98" s="121"/>
    </row>
    <row r="99" spans="1:8" ht="27.6">
      <c r="A99" s="95"/>
      <c r="B99" s="136" t="s">
        <v>386</v>
      </c>
      <c r="C99" s="38">
        <f>C71</f>
        <v>1</v>
      </c>
      <c r="D99" s="38">
        <f t="shared" ref="D99" si="49">D71</f>
        <v>12</v>
      </c>
      <c r="E99" s="39">
        <f>E71</f>
        <v>600</v>
      </c>
      <c r="F99" s="96">
        <f>G71</f>
        <v>3600</v>
      </c>
      <c r="H99" s="121"/>
    </row>
    <row r="100" spans="1:8">
      <c r="A100" s="95"/>
      <c r="B100" s="136" t="s">
        <v>388</v>
      </c>
      <c r="C100" s="38">
        <f t="shared" ref="C100:E102" si="50">C72</f>
        <v>3</v>
      </c>
      <c r="D100" s="38">
        <f t="shared" si="50"/>
        <v>9</v>
      </c>
      <c r="E100" s="39">
        <f t="shared" si="50"/>
        <v>1000</v>
      </c>
      <c r="F100" s="96">
        <f t="shared" ref="F100:F102" si="51">G72</f>
        <v>23500</v>
      </c>
      <c r="H100" s="121"/>
    </row>
    <row r="101" spans="1:8">
      <c r="A101" s="95"/>
      <c r="B101" s="136" t="s">
        <v>390</v>
      </c>
      <c r="C101" s="38">
        <f t="shared" si="50"/>
        <v>1500</v>
      </c>
      <c r="D101" s="38">
        <f t="shared" si="50"/>
        <v>72</v>
      </c>
      <c r="E101" s="39">
        <f t="shared" si="50"/>
        <v>1</v>
      </c>
      <c r="F101" s="96">
        <f t="shared" si="51"/>
        <v>108000</v>
      </c>
      <c r="H101" s="121"/>
    </row>
    <row r="102" spans="1:8" ht="27.6">
      <c r="A102" s="95"/>
      <c r="B102" s="136" t="s">
        <v>392</v>
      </c>
      <c r="C102" s="38">
        <f t="shared" si="50"/>
        <v>1</v>
      </c>
      <c r="D102" s="38">
        <f t="shared" si="50"/>
        <v>14</v>
      </c>
      <c r="E102" s="39">
        <f t="shared" si="50"/>
        <v>250</v>
      </c>
      <c r="F102" s="96">
        <f t="shared" si="51"/>
        <v>1750</v>
      </c>
      <c r="H102" s="121"/>
    </row>
    <row r="103" spans="1:8" ht="41.45">
      <c r="A103" s="95"/>
      <c r="B103" s="40" t="s">
        <v>192</v>
      </c>
      <c r="C103" s="38">
        <f t="shared" ref="C103:E104" si="52">C77</f>
        <v>1</v>
      </c>
      <c r="D103" s="38">
        <f t="shared" si="52"/>
        <v>18</v>
      </c>
      <c r="E103" s="39">
        <f t="shared" si="52"/>
        <v>350</v>
      </c>
      <c r="F103" s="96">
        <f>G77</f>
        <v>6300</v>
      </c>
      <c r="H103" s="121"/>
    </row>
    <row r="104" spans="1:8" ht="27.6">
      <c r="A104" s="95"/>
      <c r="B104" s="40" t="s">
        <v>398</v>
      </c>
      <c r="C104" s="38">
        <f t="shared" si="52"/>
        <v>1</v>
      </c>
      <c r="D104" s="38">
        <f t="shared" si="52"/>
        <v>6</v>
      </c>
      <c r="E104" s="39">
        <f t="shared" si="52"/>
        <v>350</v>
      </c>
      <c r="F104" s="96">
        <f>G78</f>
        <v>1050</v>
      </c>
      <c r="H104" s="121"/>
    </row>
    <row r="105" spans="1:8">
      <c r="A105" s="423" t="s">
        <v>203</v>
      </c>
      <c r="B105" s="423"/>
      <c r="C105" s="423"/>
      <c r="D105" s="423"/>
      <c r="E105" s="423"/>
      <c r="F105" s="137">
        <f>SUM(F87:F104)</f>
        <v>158600</v>
      </c>
      <c r="H105" s="121"/>
    </row>
    <row r="106" spans="1:8" ht="14.45" thickBot="1">
      <c r="F106" s="41"/>
    </row>
    <row r="107" spans="1:8" ht="14.45" thickBot="1">
      <c r="B107" s="373" t="s">
        <v>204</v>
      </c>
      <c r="C107" s="374"/>
      <c r="D107" s="375"/>
    </row>
    <row r="108" spans="1:8" ht="14.45" thickBot="1">
      <c r="B108" s="42" t="s">
        <v>205</v>
      </c>
      <c r="C108" s="43">
        <f>F81</f>
        <v>188546</v>
      </c>
      <c r="D108" s="44">
        <f>C108*100/C110</f>
        <v>54.313170827260002</v>
      </c>
    </row>
    <row r="109" spans="1:8" ht="14.45" thickBot="1">
      <c r="B109" s="42" t="s">
        <v>206</v>
      </c>
      <c r="C109" s="43">
        <f>G81</f>
        <v>158600</v>
      </c>
      <c r="D109" s="44">
        <f>C109*100/C110</f>
        <v>45.686829172739998</v>
      </c>
    </row>
    <row r="110" spans="1:8" ht="16.5" customHeight="1" thickBot="1">
      <c r="B110" s="45" t="s">
        <v>18</v>
      </c>
      <c r="C110" s="46">
        <f>C108+C109</f>
        <v>347146</v>
      </c>
      <c r="D110" s="47">
        <f>D108+D109</f>
        <v>100</v>
      </c>
    </row>
  </sheetData>
  <mergeCells count="31">
    <mergeCell ref="B79:E79"/>
    <mergeCell ref="A80:E80"/>
    <mergeCell ref="A81:E81"/>
    <mergeCell ref="A82:E82"/>
    <mergeCell ref="A85:F85"/>
    <mergeCell ref="B60:N60"/>
    <mergeCell ref="B61:N61"/>
    <mergeCell ref="B69:E69"/>
    <mergeCell ref="B70:N70"/>
    <mergeCell ref="B75:E75"/>
    <mergeCell ref="A54:E54"/>
    <mergeCell ref="B55:N55"/>
    <mergeCell ref="B56:N56"/>
    <mergeCell ref="B58:E58"/>
    <mergeCell ref="A59:E59"/>
    <mergeCell ref="A105:E105"/>
    <mergeCell ref="B107:D107"/>
    <mergeCell ref="B50:N50"/>
    <mergeCell ref="A1:N1"/>
    <mergeCell ref="H2:N2"/>
    <mergeCell ref="B7:N7"/>
    <mergeCell ref="B8:N8"/>
    <mergeCell ref="B16:E16"/>
    <mergeCell ref="A17:E17"/>
    <mergeCell ref="B18:N18"/>
    <mergeCell ref="B19:N19"/>
    <mergeCell ref="B47:E47"/>
    <mergeCell ref="A48:E48"/>
    <mergeCell ref="B49:N49"/>
    <mergeCell ref="B76:N76"/>
    <mergeCell ref="B53:E53"/>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b6a9b3-2efc-4607-9b79-5503519cb5f9" xsi:nil="true"/>
    <lcf76f155ced4ddcb4097134ff3c332f xmlns="08144511-b438-423b-b76a-6ef53a126dd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0590BE65453724BB851874714B5F72B" ma:contentTypeVersion="15" ma:contentTypeDescription="Crear nuevo documento." ma:contentTypeScope="" ma:versionID="34ac87d9b280779d020ba07a4558696f">
  <xsd:schema xmlns:xsd="http://www.w3.org/2001/XMLSchema" xmlns:xs="http://www.w3.org/2001/XMLSchema" xmlns:p="http://schemas.microsoft.com/office/2006/metadata/properties" xmlns:ns2="08144511-b438-423b-b76a-6ef53a126ddd" xmlns:ns3="76b6a9b3-2efc-4607-9b79-5503519cb5f9" targetNamespace="http://schemas.microsoft.com/office/2006/metadata/properties" ma:root="true" ma:fieldsID="214304c67f0c151cca3617cc9d87f2f0" ns2:_="" ns3:_="">
    <xsd:import namespace="08144511-b438-423b-b76a-6ef53a126ddd"/>
    <xsd:import namespace="76b6a9b3-2efc-4607-9b79-5503519cb5f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144511-b438-423b-b76a-6ef53a126d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230f389b-0124-4e56-be01-bae9578a4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b6a9b3-2efc-4607-9b79-5503519cb5f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29018a6-803b-4d04-b987-6d02ba88f3d5}" ma:internalName="TaxCatchAll" ma:showField="CatchAllData" ma:web="76b6a9b3-2efc-4607-9b79-5503519cb5f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9FEE32-0B2A-4F86-AC03-B2AA659EFBB5}"/>
</file>

<file path=customXml/itemProps2.xml><?xml version="1.0" encoding="utf-8"?>
<ds:datastoreItem xmlns:ds="http://schemas.openxmlformats.org/officeDocument/2006/customXml" ds:itemID="{D5D245F6-B6FA-4543-8497-FEB7CC4D9A2D}"/>
</file>

<file path=customXml/itemProps3.xml><?xml version="1.0" encoding="utf-8"?>
<ds:datastoreItem xmlns:ds="http://schemas.openxmlformats.org/officeDocument/2006/customXml" ds:itemID="{69BFE217-0F64-4AD8-B21C-66C842B5B8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
  <cp:revision/>
  <dcterms:created xsi:type="dcterms:W3CDTF">2021-06-11T17:51:24Z</dcterms:created>
  <dcterms:modified xsi:type="dcterms:W3CDTF">2024-04-03T17:34:00Z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0x01010090590BE65453724BB851874714B5F72B</vt:lpwstr>
  </property>
  <property fmtid="{D5CDD505-2E9C-101B-9397-08002B2CF9AE}" pid="3" name="MediaServiceImageTags">
    <vt:lpwstr/>
  </property>
</Properties>
</file>