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ssalinas_unicef_org/Documents/PROGRAMAS/Marta NAVARRO/Socios/FUSALMO/DP Seguridad en línea_Nov 2022/"/>
    </mc:Choice>
  </mc:AlternateContent>
  <xr:revisionPtr revIDLastSave="0" documentId="8_{C8EF1394-13E7-4C88-88A8-CE5957DC4C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 prestaciones " sheetId="2" r:id="rId1"/>
    <sheet name="Act 1.4. Kit material diagnósti" sheetId="6" r:id="rId2"/>
    <sheet name="Sin prestaciones." sheetId="5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F26" i="2"/>
  <c r="G26" i="2" s="1"/>
  <c r="J26" i="2" s="1"/>
  <c r="I46" i="2"/>
  <c r="I47" i="2" s="1"/>
  <c r="F45" i="2"/>
  <c r="H45" i="2" s="1"/>
  <c r="H46" i="2" s="1"/>
  <c r="H47" i="2" s="1"/>
  <c r="F53" i="2"/>
  <c r="G53" i="2" s="1"/>
  <c r="F52" i="2"/>
  <c r="G52" i="2" s="1"/>
  <c r="F51" i="2"/>
  <c r="E59" i="2"/>
  <c r="F59" i="2" s="1"/>
  <c r="F82" i="2"/>
  <c r="F81" i="2"/>
  <c r="F78" i="2"/>
  <c r="F77" i="2"/>
  <c r="F75" i="2"/>
  <c r="F76" i="2"/>
  <c r="F79" i="2"/>
  <c r="F80" i="2"/>
  <c r="F83" i="2"/>
  <c r="F84" i="2"/>
  <c r="F73" i="2"/>
  <c r="F72" i="2"/>
  <c r="F58" i="2"/>
  <c r="J33" i="2"/>
  <c r="F30" i="2"/>
  <c r="G30" i="2" s="1"/>
  <c r="J30" i="2" s="1"/>
  <c r="F29" i="2"/>
  <c r="G29" i="2" s="1"/>
  <c r="J29" i="2" s="1"/>
  <c r="F23" i="2"/>
  <c r="G23" i="2" s="1"/>
  <c r="E6" i="6"/>
  <c r="E16" i="6"/>
  <c r="E15" i="6"/>
  <c r="E14" i="6"/>
  <c r="E13" i="6"/>
  <c r="C12" i="6"/>
  <c r="E12" i="6" s="1"/>
  <c r="E11" i="6"/>
  <c r="E10" i="6"/>
  <c r="E9" i="6"/>
  <c r="E8" i="6"/>
  <c r="E7" i="6"/>
  <c r="F46" i="2" l="1"/>
  <c r="F47" i="2" s="1"/>
  <c r="F85" i="2"/>
  <c r="C89" i="2" s="1"/>
  <c r="E17" i="6"/>
  <c r="I53" i="2"/>
  <c r="H53" i="2"/>
  <c r="F27" i="2"/>
  <c r="E32" i="2"/>
  <c r="F24" i="2"/>
  <c r="G24" i="2" s="1"/>
  <c r="J24" i="2" s="1"/>
  <c r="F25" i="2"/>
  <c r="G25" i="2" s="1"/>
  <c r="J25" i="2" s="1"/>
  <c r="F28" i="2"/>
  <c r="G28" i="2" s="1"/>
  <c r="J28" i="2" s="1"/>
  <c r="F31" i="2"/>
  <c r="G31" i="2" s="1"/>
  <c r="J31" i="2" s="1"/>
  <c r="F56" i="2"/>
  <c r="F64" i="2"/>
  <c r="E9" i="2"/>
  <c r="F9" i="2" s="1"/>
  <c r="G59" i="2"/>
  <c r="J62" i="2"/>
  <c r="I34" i="2"/>
  <c r="I35" i="2" s="1"/>
  <c r="F40" i="2"/>
  <c r="H40" i="2" s="1"/>
  <c r="H41" i="2" s="1"/>
  <c r="H42" i="2" s="1"/>
  <c r="F38" i="2"/>
  <c r="F39" i="2"/>
  <c r="J39" i="2" s="1"/>
  <c r="F11" i="2"/>
  <c r="F12" i="2"/>
  <c r="G12" i="2" s="1"/>
  <c r="J12" i="2" s="1"/>
  <c r="F22" i="2"/>
  <c r="H22" i="2" s="1"/>
  <c r="F20" i="2"/>
  <c r="G20" i="2" s="1"/>
  <c r="J20" i="2" s="1"/>
  <c r="F21" i="2"/>
  <c r="G21" i="2" s="1"/>
  <c r="J21" i="2" s="1"/>
  <c r="D10" i="2"/>
  <c r="F17" i="2"/>
  <c r="F18" i="2"/>
  <c r="G18" i="2" s="1"/>
  <c r="J18" i="2" s="1"/>
  <c r="F19" i="2"/>
  <c r="J50" i="2"/>
  <c r="F10" i="2" l="1"/>
  <c r="G10" i="2" s="1"/>
  <c r="J10" i="2" s="1"/>
  <c r="J45" i="2"/>
  <c r="G46" i="2"/>
  <c r="F34" i="2"/>
  <c r="F35" i="2" s="1"/>
  <c r="F60" i="2"/>
  <c r="F65" i="2" s="1"/>
  <c r="C92" i="2" s="1"/>
  <c r="G38" i="2"/>
  <c r="J38" i="2" s="1"/>
  <c r="F41" i="2"/>
  <c r="F42" i="2" s="1"/>
  <c r="F13" i="2"/>
  <c r="F14" i="2" s="1"/>
  <c r="J40" i="2"/>
  <c r="H9" i="2"/>
  <c r="H13" i="2" s="1"/>
  <c r="H14" i="2" s="1"/>
  <c r="J32" i="2"/>
  <c r="G51" i="2"/>
  <c r="H52" i="2"/>
  <c r="I52" i="2"/>
  <c r="I58" i="2"/>
  <c r="H63" i="2"/>
  <c r="H64" i="2" s="1"/>
  <c r="G63" i="2"/>
  <c r="G11" i="2"/>
  <c r="J11" i="2" s="1"/>
  <c r="G19" i="2"/>
  <c r="H58" i="2"/>
  <c r="I64" i="2"/>
  <c r="I9" i="2"/>
  <c r="I13" i="2" s="1"/>
  <c r="I14" i="2" s="1"/>
  <c r="H51" i="2"/>
  <c r="I59" i="2"/>
  <c r="G17" i="2"/>
  <c r="I51" i="2"/>
  <c r="H59" i="2"/>
  <c r="G22" i="2"/>
  <c r="J22" i="2" s="1"/>
  <c r="G9" i="2"/>
  <c r="H19" i="2"/>
  <c r="H34" i="2" s="1"/>
  <c r="G58" i="2"/>
  <c r="G60" i="2" s="1"/>
  <c r="J54" i="2"/>
  <c r="E104" i="5"/>
  <c r="D104" i="5"/>
  <c r="C104" i="5"/>
  <c r="E103" i="5"/>
  <c r="D103" i="5"/>
  <c r="C103" i="5"/>
  <c r="E102" i="5"/>
  <c r="D102" i="5"/>
  <c r="C102" i="5"/>
  <c r="E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J46" i="2" l="1"/>
  <c r="G47" i="2"/>
  <c r="J47" i="2" s="1"/>
  <c r="F66" i="2"/>
  <c r="I41" i="2"/>
  <c r="I42" i="2" s="1"/>
  <c r="H60" i="2"/>
  <c r="G41" i="2"/>
  <c r="G13" i="2"/>
  <c r="J13" i="2" s="1"/>
  <c r="J14" i="2" s="1"/>
  <c r="G56" i="2"/>
  <c r="G34" i="2"/>
  <c r="J34" i="2" s="1"/>
  <c r="J35" i="2" s="1"/>
  <c r="I56" i="2"/>
  <c r="H56" i="2"/>
  <c r="J19" i="2"/>
  <c r="H35" i="2"/>
  <c r="J9" i="2"/>
  <c r="J63" i="2"/>
  <c r="G64" i="2"/>
  <c r="J17" i="2"/>
  <c r="J52" i="2"/>
  <c r="J51" i="2"/>
  <c r="I60" i="2"/>
  <c r="J58" i="2"/>
  <c r="J59" i="2"/>
  <c r="J53" i="2"/>
  <c r="J55" i="2"/>
  <c r="E23" i="5"/>
  <c r="F23" i="5" s="1"/>
  <c r="E22" i="5"/>
  <c r="E21" i="5"/>
  <c r="E20" i="5"/>
  <c r="F20" i="5" s="1"/>
  <c r="E51" i="5"/>
  <c r="F51" i="5" s="1"/>
  <c r="G78" i="5"/>
  <c r="F78" i="5"/>
  <c r="H78" i="5" s="1"/>
  <c r="N77" i="5"/>
  <c r="G77" i="5"/>
  <c r="F103" i="5" s="1"/>
  <c r="G74" i="5"/>
  <c r="F102" i="5" s="1"/>
  <c r="F74" i="5"/>
  <c r="N73" i="5"/>
  <c r="D73" i="5"/>
  <c r="D101" i="5" s="1"/>
  <c r="M72" i="5"/>
  <c r="M75" i="5" s="1"/>
  <c r="L72" i="5"/>
  <c r="K72" i="5"/>
  <c r="J72" i="5"/>
  <c r="I72" i="5"/>
  <c r="H72" i="5"/>
  <c r="G72" i="5"/>
  <c r="F100" i="5" s="1"/>
  <c r="G71" i="5"/>
  <c r="F71" i="5"/>
  <c r="J71" i="5" s="1"/>
  <c r="G68" i="5"/>
  <c r="F98" i="5" s="1"/>
  <c r="F68" i="5"/>
  <c r="M68" i="5" s="1"/>
  <c r="G67" i="5"/>
  <c r="F97" i="5" s="1"/>
  <c r="F67" i="5"/>
  <c r="K67" i="5" s="1"/>
  <c r="G66" i="5"/>
  <c r="F96" i="5" s="1"/>
  <c r="F66" i="5"/>
  <c r="M66" i="5" s="1"/>
  <c r="G65" i="5"/>
  <c r="F95" i="5" s="1"/>
  <c r="F65" i="5"/>
  <c r="H65" i="5" s="1"/>
  <c r="G64" i="5"/>
  <c r="F64" i="5"/>
  <c r="G63" i="5"/>
  <c r="F93" i="5" s="1"/>
  <c r="F63" i="5"/>
  <c r="G62" i="5"/>
  <c r="F92" i="5" s="1"/>
  <c r="F62" i="5"/>
  <c r="G59" i="5"/>
  <c r="L58" i="5"/>
  <c r="L59" i="5" s="1"/>
  <c r="K58" i="5"/>
  <c r="K59" i="5" s="1"/>
  <c r="J58" i="5"/>
  <c r="J59" i="5" s="1"/>
  <c r="I58" i="5"/>
  <c r="I59" i="5" s="1"/>
  <c r="H58" i="5"/>
  <c r="H59" i="5" s="1"/>
  <c r="G58" i="5"/>
  <c r="F57" i="5"/>
  <c r="I53" i="5"/>
  <c r="I54" i="5" s="1"/>
  <c r="H53" i="5"/>
  <c r="H54" i="5" s="1"/>
  <c r="G53" i="5"/>
  <c r="G54" i="5" s="1"/>
  <c r="F52" i="5"/>
  <c r="G47" i="5"/>
  <c r="G48" i="5" s="1"/>
  <c r="F46" i="5"/>
  <c r="K46" i="5" s="1"/>
  <c r="F45" i="5"/>
  <c r="M45" i="5" s="1"/>
  <c r="N45" i="5" s="1"/>
  <c r="F44" i="5"/>
  <c r="I44" i="5" s="1"/>
  <c r="N44" i="5" s="1"/>
  <c r="F43" i="5"/>
  <c r="I43" i="5" s="1"/>
  <c r="N43" i="5" s="1"/>
  <c r="F42" i="5"/>
  <c r="I42" i="5" s="1"/>
  <c r="N42" i="5" s="1"/>
  <c r="F41" i="5"/>
  <c r="I41" i="5" s="1"/>
  <c r="N41" i="5" s="1"/>
  <c r="F40" i="5"/>
  <c r="I40" i="5" s="1"/>
  <c r="N40" i="5" s="1"/>
  <c r="F39" i="5"/>
  <c r="I39" i="5" s="1"/>
  <c r="N39" i="5" s="1"/>
  <c r="F38" i="5"/>
  <c r="I38" i="5" s="1"/>
  <c r="N38" i="5" s="1"/>
  <c r="F37" i="5"/>
  <c r="I37" i="5" s="1"/>
  <c r="N37" i="5" s="1"/>
  <c r="F34" i="5"/>
  <c r="H34" i="5" s="1"/>
  <c r="N34" i="5" s="1"/>
  <c r="F33" i="5"/>
  <c r="H33" i="5" s="1"/>
  <c r="N33" i="5" s="1"/>
  <c r="F32" i="5"/>
  <c r="H32" i="5" s="1"/>
  <c r="N32" i="5" s="1"/>
  <c r="F31" i="5"/>
  <c r="H31" i="5" s="1"/>
  <c r="N31" i="5" s="1"/>
  <c r="F30" i="5"/>
  <c r="H30" i="5" s="1"/>
  <c r="N30" i="5" s="1"/>
  <c r="F29" i="5"/>
  <c r="H29" i="5" s="1"/>
  <c r="N29" i="5" s="1"/>
  <c r="F28" i="5"/>
  <c r="H28" i="5" s="1"/>
  <c r="N28" i="5" s="1"/>
  <c r="F27" i="5"/>
  <c r="H27" i="5" s="1"/>
  <c r="N27" i="5" s="1"/>
  <c r="F25" i="5"/>
  <c r="H25" i="5" s="1"/>
  <c r="N25" i="5" s="1"/>
  <c r="D24" i="5"/>
  <c r="F24" i="5" s="1"/>
  <c r="F22" i="5"/>
  <c r="K22" i="5" s="1"/>
  <c r="F21" i="5"/>
  <c r="K21" i="5" s="1"/>
  <c r="M16" i="5"/>
  <c r="M17" i="5" s="1"/>
  <c r="L16" i="5"/>
  <c r="L17" i="5" s="1"/>
  <c r="K16" i="5"/>
  <c r="K17" i="5" s="1"/>
  <c r="J16" i="5"/>
  <c r="J17" i="5" s="1"/>
  <c r="H16" i="5"/>
  <c r="H17" i="5" s="1"/>
  <c r="G16" i="5"/>
  <c r="G17" i="5" s="1"/>
  <c r="D15" i="5"/>
  <c r="F15" i="5" s="1"/>
  <c r="I15" i="5" s="1"/>
  <c r="N15" i="5" s="1"/>
  <c r="F14" i="5"/>
  <c r="I14" i="5" s="1"/>
  <c r="N14" i="5" s="1"/>
  <c r="F13" i="5"/>
  <c r="I13" i="5" s="1"/>
  <c r="N13" i="5" s="1"/>
  <c r="F12" i="5"/>
  <c r="I12" i="5" s="1"/>
  <c r="N12" i="5" s="1"/>
  <c r="I11" i="5"/>
  <c r="F10" i="5"/>
  <c r="I10" i="5" s="1"/>
  <c r="N10" i="5" s="1"/>
  <c r="F9" i="5"/>
  <c r="J56" i="2" l="1"/>
  <c r="J41" i="2"/>
  <c r="J42" i="2" s="1"/>
  <c r="H65" i="2"/>
  <c r="H66" i="2" s="1"/>
  <c r="G35" i="2"/>
  <c r="G42" i="2"/>
  <c r="J60" i="2"/>
  <c r="G65" i="2"/>
  <c r="J64" i="2"/>
  <c r="I65" i="2"/>
  <c r="I66" i="2" s="1"/>
  <c r="G14" i="2"/>
  <c r="L52" i="5"/>
  <c r="M52" i="5"/>
  <c r="K52" i="5"/>
  <c r="J52" i="5"/>
  <c r="F58" i="5"/>
  <c r="F59" i="5" s="1"/>
  <c r="M57" i="5"/>
  <c r="M58" i="5" s="1"/>
  <c r="M59" i="5" s="1"/>
  <c r="L63" i="5"/>
  <c r="M63" i="5"/>
  <c r="K63" i="5"/>
  <c r="J63" i="5"/>
  <c r="M64" i="5"/>
  <c r="L64" i="5"/>
  <c r="K64" i="5"/>
  <c r="K74" i="5"/>
  <c r="L74" i="5"/>
  <c r="L75" i="5" s="1"/>
  <c r="J74" i="5"/>
  <c r="I74" i="5"/>
  <c r="L24" i="5"/>
  <c r="J24" i="5"/>
  <c r="M24" i="5"/>
  <c r="K24" i="5"/>
  <c r="L22" i="5"/>
  <c r="F69" i="5"/>
  <c r="K71" i="5"/>
  <c r="M22" i="5"/>
  <c r="H64" i="5"/>
  <c r="G73" i="5"/>
  <c r="F101" i="5" s="1"/>
  <c r="L46" i="5"/>
  <c r="M46" i="5"/>
  <c r="H63" i="5"/>
  <c r="I64" i="5"/>
  <c r="N72" i="5"/>
  <c r="J75" i="5"/>
  <c r="F99" i="5"/>
  <c r="G69" i="5"/>
  <c r="F94" i="5"/>
  <c r="I63" i="5"/>
  <c r="J64" i="5"/>
  <c r="G79" i="5"/>
  <c r="F104" i="5"/>
  <c r="L21" i="5"/>
  <c r="M20" i="5"/>
  <c r="L20" i="5"/>
  <c r="K20" i="5"/>
  <c r="J20" i="5"/>
  <c r="I20" i="5"/>
  <c r="F47" i="5"/>
  <c r="F48" i="5" s="1"/>
  <c r="H20" i="5"/>
  <c r="M23" i="5"/>
  <c r="L23" i="5"/>
  <c r="K23" i="5"/>
  <c r="J23" i="5"/>
  <c r="I23" i="5"/>
  <c r="H23" i="5"/>
  <c r="F16" i="5"/>
  <c r="F17" i="5" s="1"/>
  <c r="F53" i="5"/>
  <c r="F54" i="5" s="1"/>
  <c r="M51" i="5"/>
  <c r="L51" i="5"/>
  <c r="L53" i="5" s="1"/>
  <c r="L54" i="5" s="1"/>
  <c r="K51" i="5"/>
  <c r="K53" i="5" s="1"/>
  <c r="K54" i="5" s="1"/>
  <c r="J51" i="5"/>
  <c r="H79" i="5"/>
  <c r="H62" i="5"/>
  <c r="I65" i="5"/>
  <c r="H66" i="5"/>
  <c r="I78" i="5"/>
  <c r="I79" i="5" s="1"/>
  <c r="I9" i="5"/>
  <c r="H21" i="5"/>
  <c r="H22" i="5"/>
  <c r="H46" i="5"/>
  <c r="K62" i="5"/>
  <c r="J65" i="5"/>
  <c r="I66" i="5"/>
  <c r="H67" i="5"/>
  <c r="I68" i="5"/>
  <c r="J78" i="5"/>
  <c r="J79" i="5" s="1"/>
  <c r="H68" i="5"/>
  <c r="I21" i="5"/>
  <c r="I22" i="5"/>
  <c r="I46" i="5"/>
  <c r="K65" i="5"/>
  <c r="J66" i="5"/>
  <c r="I67" i="5"/>
  <c r="J68" i="5"/>
  <c r="H71" i="5"/>
  <c r="F75" i="5"/>
  <c r="K78" i="5"/>
  <c r="K79" i="5" s="1"/>
  <c r="J21" i="5"/>
  <c r="J22" i="5"/>
  <c r="H24" i="5"/>
  <c r="J46" i="5"/>
  <c r="L65" i="5"/>
  <c r="K66" i="5"/>
  <c r="J67" i="5"/>
  <c r="K68" i="5"/>
  <c r="I71" i="5"/>
  <c r="L78" i="5"/>
  <c r="L79" i="5" s="1"/>
  <c r="I24" i="5"/>
  <c r="M65" i="5"/>
  <c r="L66" i="5"/>
  <c r="L68" i="5"/>
  <c r="H74" i="5"/>
  <c r="M78" i="5"/>
  <c r="M79" i="5" s="1"/>
  <c r="F79" i="5"/>
  <c r="L69" i="5" l="1"/>
  <c r="M69" i="5"/>
  <c r="M80" i="5" s="1"/>
  <c r="G75" i="5"/>
  <c r="N57" i="5"/>
  <c r="N58" i="5" s="1"/>
  <c r="N59" i="5" s="1"/>
  <c r="K75" i="5"/>
  <c r="N74" i="5"/>
  <c r="G66" i="2"/>
  <c r="H68" i="2" s="1"/>
  <c r="J65" i="2"/>
  <c r="J66" i="2" s="1"/>
  <c r="C88" i="2"/>
  <c r="D92" i="2" s="1"/>
  <c r="N52" i="5"/>
  <c r="M53" i="5"/>
  <c r="M54" i="5" s="1"/>
  <c r="I75" i="5"/>
  <c r="J69" i="5"/>
  <c r="J80" i="5" s="1"/>
  <c r="N65" i="5"/>
  <c r="F105" i="5"/>
  <c r="G80" i="5"/>
  <c r="G81" i="5" s="1"/>
  <c r="C109" i="5" s="1"/>
  <c r="I69" i="5"/>
  <c r="N63" i="5"/>
  <c r="M47" i="5"/>
  <c r="M48" i="5" s="1"/>
  <c r="N22" i="5"/>
  <c r="N24" i="5"/>
  <c r="N67" i="5"/>
  <c r="N46" i="5"/>
  <c r="K47" i="5"/>
  <c r="K48" i="5" s="1"/>
  <c r="N64" i="5"/>
  <c r="N21" i="5"/>
  <c r="N20" i="5"/>
  <c r="H47" i="5"/>
  <c r="H48" i="5" s="1"/>
  <c r="I16" i="5"/>
  <c r="I17" i="5" s="1"/>
  <c r="N9" i="5"/>
  <c r="N16" i="5" s="1"/>
  <c r="N17" i="5" s="1"/>
  <c r="N71" i="5"/>
  <c r="H75" i="5"/>
  <c r="L80" i="5"/>
  <c r="I47" i="5"/>
  <c r="I48" i="5" s="1"/>
  <c r="N66" i="5"/>
  <c r="N68" i="5"/>
  <c r="N23" i="5"/>
  <c r="F80" i="5"/>
  <c r="F81" i="5" s="1"/>
  <c r="C108" i="5" s="1"/>
  <c r="N78" i="5"/>
  <c r="N79" i="5" s="1"/>
  <c r="J47" i="5"/>
  <c r="J48" i="5" s="1"/>
  <c r="K69" i="5"/>
  <c r="N62" i="5"/>
  <c r="H69" i="5"/>
  <c r="J53" i="5"/>
  <c r="J54" i="5" s="1"/>
  <c r="N51" i="5"/>
  <c r="N53" i="5" s="1"/>
  <c r="N54" i="5" s="1"/>
  <c r="L47" i="5"/>
  <c r="L48" i="5" s="1"/>
  <c r="I80" i="5" l="1"/>
  <c r="I81" i="5" s="1"/>
  <c r="N75" i="5"/>
  <c r="K80" i="5"/>
  <c r="K81" i="5" s="1"/>
  <c r="C90" i="2"/>
  <c r="M81" i="5"/>
  <c r="C110" i="5"/>
  <c r="H80" i="5"/>
  <c r="H81" i="5" s="1"/>
  <c r="L81" i="5"/>
  <c r="N47" i="5"/>
  <c r="N48" i="5" s="1"/>
  <c r="J81" i="5"/>
  <c r="N69" i="5"/>
  <c r="N80" i="5" s="1"/>
  <c r="D88" i="2" l="1"/>
  <c r="D89" i="2"/>
  <c r="D109" i="5"/>
  <c r="D108" i="5"/>
  <c r="N81" i="5"/>
  <c r="D90" i="2" l="1"/>
  <c r="D1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tc={53D5E7F5-4774-46BB-BAAD-23AFC4EA6030}</author>
    <author>Gestión 3</author>
    <author>tc={36F74E2F-7C1C-44A4-B77D-C7881B66E76B}</author>
  </authors>
  <commentList>
    <comment ref="B7" authorId="0" shapeId="0" xr:uid="{53D5E7F5-4774-46BB-BAAD-23AFC4EA603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Confirmar el número de escuela que participaran.  son 2 por zona? para especificar.</t>
      </text>
    </comment>
    <comment ref="B45" authorId="1" shapeId="0" xr:uid="{7FE3BF4C-7CB9-4C1B-A1C8-DAB5184E0400}">
      <text>
        <r>
          <rPr>
            <b/>
            <sz val="9"/>
            <color indexed="81"/>
            <rFont val="Tahoma"/>
            <family val="2"/>
          </rPr>
          <t>Gestión 3:</t>
        </r>
        <r>
          <rPr>
            <sz val="9"/>
            <color indexed="81"/>
            <rFont val="Tahoma"/>
            <family val="2"/>
          </rPr>
          <t xml:space="preserve">
Entiendo que estas personas serán la cohorte 1 de pilotaje del curso. Me gustaría saber si se ha considerado alguna persona que pueda ir sistematizando y resolviendo cuestiones técnicas o procedimentales que surjan con este grupo.</t>
        </r>
      </text>
    </comment>
    <comment ref="B48" authorId="2" shapeId="0" xr:uid="{36F74E2F-7C1C-44A4-B77D-C7881B66E76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Confirmar si los % del personal de FUSALMO que apoyará al proyecto no excede el 50% en sumatoria a otros documentos de programa que tengan con nosotros.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Administrator:Se cambia de 16 a 15 meses)</t>
        </r>
      </text>
    </comment>
  </commentList>
</comments>
</file>

<file path=xl/sharedStrings.xml><?xml version="1.0" encoding="utf-8"?>
<sst xmlns="http://schemas.openxmlformats.org/spreadsheetml/2006/main" count="368" uniqueCount="223">
  <si>
    <t>PRESUPUESTO GENERAL DETALLADO</t>
  </si>
  <si>
    <t>DURACIÓN DEL CONVENIO: 7 meses (noviembre 2022 a mayo de 2023)</t>
  </si>
  <si>
    <t>PROYECCIÓN DE DESEMBOLSOS TRIMESTRALES</t>
  </si>
  <si>
    <t xml:space="preserve">NOMBRE DEL PROYECTO: Curso virtual para la seguridad en línea de la niñez y adolescencia. </t>
  </si>
  <si>
    <t xml:space="preserve">SOCIO: FUNDACIÓN SALVADOR DEL MUNDO </t>
  </si>
  <si>
    <r>
      <t>N.</t>
    </r>
    <r>
      <rPr>
        <b/>
        <vertAlign val="superscript"/>
        <sz val="10"/>
        <color theme="1"/>
        <rFont val="Calibri"/>
        <family val="2"/>
        <scheme val="minor"/>
      </rPr>
      <t>o</t>
    </r>
    <r>
      <rPr>
        <b/>
        <sz val="10"/>
        <color theme="1"/>
        <rFont val="Calibri"/>
        <family val="2"/>
        <scheme val="minor"/>
      </rPr>
      <t xml:space="preserve"> de rubro</t>
    </r>
  </si>
  <si>
    <t>Descripción del rubro</t>
  </si>
  <si>
    <t>Unidad</t>
  </si>
  <si>
    <t>Cantidad</t>
  </si>
  <si>
    <t>Precio/costo unitario</t>
  </si>
  <si>
    <t>Monto total
Contribución UNICEF</t>
  </si>
  <si>
    <t xml:space="preserve">Trimestre 1 </t>
  </si>
  <si>
    <t>Trimestre 2</t>
  </si>
  <si>
    <t>Trimestre 3</t>
  </si>
  <si>
    <t>TOTAL</t>
  </si>
  <si>
    <t xml:space="preserve">Comentarios </t>
  </si>
  <si>
    <t>Producto 1</t>
  </si>
  <si>
    <t xml:space="preserve">Para diciembre de 2022, el MINEDUCYT cuenta con un diagnóstico sobre seguridad en línea en los departamentos de San Salvador, San Miguel y Santa Ana </t>
  </si>
  <si>
    <t>Actividad 1.1</t>
  </si>
  <si>
    <t xml:space="preserve">Desarrollo de diagnóstico </t>
  </si>
  <si>
    <r>
      <rPr>
        <sz val="10"/>
        <color rgb="FF000000"/>
        <rFont val="Calibri"/>
        <scheme val="minor"/>
      </rPr>
      <t xml:space="preserve">Contratación de una persona coordinadora general del proyecto (1 coordinador por 7 meses a un costo de 1,572 c/u incluye prestaciones sociales ISSS 7.5%, AFP 7.75%, INSAFORP 1%, Vacaciones, Aguinaldo e Indemnización anual ). </t>
    </r>
    <r>
      <rPr>
        <b/>
        <sz val="10"/>
        <color rgb="FF000000"/>
        <rFont val="Calibri"/>
        <scheme val="minor"/>
      </rPr>
      <t>Dedicación total al proyecto.</t>
    </r>
    <r>
      <rPr>
        <sz val="10"/>
        <color rgb="FF000000"/>
        <rFont val="Calibri"/>
        <scheme val="minor"/>
      </rPr>
      <t xml:space="preserve"> </t>
    </r>
  </si>
  <si>
    <t>Asistencia técnica</t>
  </si>
  <si>
    <r>
      <t xml:space="preserve">Alimentación para  6  grupos focales </t>
    </r>
    <r>
      <rPr>
        <sz val="10"/>
        <color theme="4"/>
        <rFont val="Calibri"/>
        <family val="2"/>
        <scheme val="minor"/>
      </rPr>
      <t>dos</t>
    </r>
    <r>
      <rPr>
        <sz val="10"/>
        <color theme="1"/>
        <rFont val="Calibri"/>
        <family val="2"/>
        <scheme val="minor"/>
      </rPr>
      <t xml:space="preserve"> en cada zona (occidente, oriente, central),</t>
    </r>
    <r>
      <rPr>
        <sz val="10"/>
        <color theme="4"/>
        <rFont val="Calibri"/>
        <family val="2"/>
        <scheme val="minor"/>
      </rPr>
      <t xml:space="preserve"> uno</t>
    </r>
    <r>
      <rPr>
        <sz val="10"/>
        <color theme="1"/>
        <rFont val="Calibri"/>
        <family val="2"/>
        <scheme val="minor"/>
      </rPr>
      <t xml:space="preserve"> para niñez y adolescencia, juventud y </t>
    </r>
    <r>
      <rPr>
        <sz val="10"/>
        <color theme="4"/>
        <rFont val="Calibri"/>
        <family val="2"/>
        <scheme val="minor"/>
      </rPr>
      <t>otro para</t>
    </r>
    <r>
      <rPr>
        <sz val="10"/>
        <color theme="1"/>
        <rFont val="Calibri"/>
        <family val="2"/>
        <scheme val="minor"/>
      </rPr>
      <t xml:space="preserve"> padres de familia, 8 personas x cada grupo x 6 grupos , 1 coffee break a un costo de $7.50 cada uno. </t>
    </r>
    <r>
      <rPr>
        <sz val="10"/>
        <color rgb="FFFF0000"/>
        <rFont val="Calibri"/>
        <family val="2"/>
        <scheme val="minor"/>
      </rPr>
      <t>SI SON 3 ZONAS NO SERÍAN 2 GRUPOS FOCALES POR ZONA? PORQUE SI PONEN 1 POR CADA ZONA SOLO DEBERÍAN SER 3 Y NO 6, FAVOR ACLARAR O ARREGLAR</t>
    </r>
  </si>
  <si>
    <t>Alimentación</t>
  </si>
  <si>
    <t>Facilitadores para focus group:  2 facilitadores por zona x 6 grupos x pago por día.</t>
  </si>
  <si>
    <t>Kit de material didactico y promocional para los talleres de diagnóstico ver anexo</t>
  </si>
  <si>
    <t>Material</t>
  </si>
  <si>
    <t>Subtotal Actividad 1.1</t>
  </si>
  <si>
    <t>TOTAL PRODUCTO 1</t>
  </si>
  <si>
    <t>Producto 2</t>
  </si>
  <si>
    <t xml:space="preserve">Para abril 2023 el Ministerio de Educación, Ciencia y Tecnología de El Salvador cuenta con un curso virtual para la seguridad en línea, en la Plataforma TRANSFORMA de FUSALMO, dirigido a niñas, niños, adolescentes, jóvenes, personal directivo y docente de centros educativos y responsables de familia.	</t>
  </si>
  <si>
    <t>Actividad 2.1</t>
  </si>
  <si>
    <t>Creación y virtualización de contenidos de los cursos sobre seguridad en línea en la Plataforma TRANSFORMA</t>
  </si>
  <si>
    <r>
      <rPr>
        <sz val="10"/>
        <color rgb="FF000000"/>
        <rFont val="Calibri"/>
        <scheme val="minor"/>
      </rPr>
      <t xml:space="preserve">Diseñador instruccional (1 especialista a un costo de $2,700.00, </t>
    </r>
    <r>
      <rPr>
        <b/>
        <sz val="10"/>
        <color rgb="FF000000"/>
        <rFont val="Calibri"/>
        <scheme val="minor"/>
      </rPr>
      <t xml:space="preserve">pago por producto único). </t>
    </r>
  </si>
  <si>
    <t>Especialista para crear los objetos de aprendizaje (1 especialista por 3 meses a un costo de $800.00 (c/u))</t>
  </si>
  <si>
    <r>
      <rPr>
        <sz val="10"/>
        <color rgb="FF000000"/>
        <rFont val="Calibri"/>
        <scheme val="minor"/>
      </rPr>
      <t>Diseñador Gráfico (1 especialista por 4 meses a un costo de $</t>
    </r>
    <r>
      <rPr>
        <sz val="10"/>
        <color rgb="FF4472C4"/>
        <rFont val="Calibri"/>
        <scheme val="minor"/>
      </rPr>
      <t>8</t>
    </r>
    <r>
      <rPr>
        <sz val="10"/>
        <color rgb="FF000000"/>
        <rFont val="Calibri"/>
        <scheme val="minor"/>
      </rPr>
      <t xml:space="preserve">00.00 (c/u)) </t>
    </r>
    <r>
      <rPr>
        <sz val="10"/>
        <color rgb="FFFF0000"/>
        <rFont val="Calibri"/>
        <scheme val="minor"/>
      </rPr>
      <t>AQUÍ DICE $900 X MES Y EN LA COLUMA DE PRECIO DICE $800.00 FAVOR UNIFICAR UN SOLO MONTO</t>
    </r>
  </si>
  <si>
    <r>
      <rPr>
        <sz val="10"/>
        <color rgb="FF000000"/>
        <rFont val="Calibri"/>
        <scheme val="minor"/>
      </rPr>
      <t>Especialista en multimedia (1 especialista por 3 meses a un costo de $</t>
    </r>
    <r>
      <rPr>
        <sz val="10"/>
        <color rgb="FF4472C4"/>
        <rFont val="Calibri"/>
        <scheme val="minor"/>
      </rPr>
      <t>850</t>
    </r>
    <r>
      <rPr>
        <sz val="10"/>
        <color rgb="FF000000"/>
        <rFont val="Calibri"/>
        <scheme val="minor"/>
      </rPr>
      <t xml:space="preserve">.00 (c/u)) </t>
    </r>
    <r>
      <rPr>
        <sz val="10"/>
        <color rgb="FFFF0000"/>
        <rFont val="Calibri"/>
        <scheme val="minor"/>
      </rPr>
      <t>LO MISMO, AQUÍ DICE $900 POR MES Y EN LA COLUMNA DE PRECIO DICE $850.00, FAVOR UNIFICAR</t>
    </r>
  </si>
  <si>
    <t>Especialista en seguridad en línea (1 especialista por 2 meses a un costo de $800.00 (c/u))</t>
  </si>
  <si>
    <t>Programador (1 especialista por 6 meses a un costo de $800.00 (c/u)), responsable del montaje de cursos dentro de la plataforma TRANSFORMA y la creación de usuarios</t>
  </si>
  <si>
    <r>
      <rPr>
        <sz val="10"/>
        <color rgb="FF000000"/>
        <rFont val="Calibri"/>
        <scheme val="minor"/>
      </rPr>
      <t xml:space="preserve">Especialista en psicología (1 especialista por 2 meses a un costo de $800.00 c/u, </t>
    </r>
    <r>
      <rPr>
        <sz val="10"/>
        <color rgb="FF4472C4"/>
        <rFont val="Calibri"/>
        <scheme val="minor"/>
      </rPr>
      <t>pago por produc</t>
    </r>
    <r>
      <rPr>
        <sz val="10"/>
        <color rgb="FF000000"/>
        <rFont val="Calibri"/>
        <scheme val="minor"/>
      </rPr>
      <t xml:space="preserve">to), apoya en la creación de contenido de identificación de acoso sexual cibernético </t>
    </r>
    <r>
      <rPr>
        <sz val="10"/>
        <color rgb="FFFF0000"/>
        <rFont val="Calibri"/>
        <scheme val="minor"/>
      </rPr>
      <t>AQUÍ DICE 800 CADA MES PERO EN LA COLUMNA DE CANTIDAD SOLO HAN COLOCADO 1, FAVOR ACLARAR</t>
    </r>
  </si>
  <si>
    <t>Especialista en comunicación audiovisual (1 especialista, a un costo de $500.00, pago por producto), responsable del desarrollo de contenido audiovisual)</t>
  </si>
  <si>
    <t xml:space="preserve">Especialista en locución para los elementos de audio o audiovisuales (2 especialistas, a un costo de $250.00 c/u, pago por producto), responsable de la creación de contenido en audio  </t>
  </si>
  <si>
    <t>2.1O</t>
  </si>
  <si>
    <t xml:space="preserve">Intérprete de señas (1 especialista, pago por dos productos en total, $600.00 cada producto) </t>
  </si>
  <si>
    <t>Alquiler de estudio de grabación y fotografía para elaborar recursos audiovisuales del curso  (costo de $100.00x hora x 8 horas aproximadamente)</t>
  </si>
  <si>
    <t xml:space="preserve">Alquiler de espacio </t>
  </si>
  <si>
    <t xml:space="preserve">Compra de cámara de video, a ser utiizada para la grabación de contenido audiovisual, al final del proyecto será entregado al MINEDUCYT. </t>
  </si>
  <si>
    <t xml:space="preserve">Equipamiento </t>
  </si>
  <si>
    <t xml:space="preserve">Compra de memoria de video, a ser utilizado para la grabación de contenido audiovisual, al final del proyecto será entregado al MINEDUCYT. </t>
  </si>
  <si>
    <t xml:space="preserve">Compra de trípode, a ser utilizado para la grabación de contenido audiovisual, al final del proyecto será entregado al MINEDUCYT. </t>
  </si>
  <si>
    <t xml:space="preserve">Compra de box de Luces para estudio, a ser utilizada para la grabación de contenido audiovisual,  al final del proyecto será entregado al MINEDUCYT. </t>
  </si>
  <si>
    <t xml:space="preserve">Uso de espacio croma (pared verde para grabación y posterior animación) para grabaciones en las instalaciones de FUSALMO Soyapango- Contrapartida. </t>
  </si>
  <si>
    <t xml:space="preserve">Uso de sonido para la creación de contenido audiovisual en las instalaciones de FUSALMO Soyapango- Contrapartida.  </t>
  </si>
  <si>
    <t>Subtotal Actividad 2.1</t>
  </si>
  <si>
    <t>TOTAL PRODUCTO 2</t>
  </si>
  <si>
    <t>Producto 3</t>
  </si>
  <si>
    <t xml:space="preserve">Producto 3: Para abril de 2023, el MINEDUCYT cuenta con  una estrategia de comunicación para la divulgación de contenido sobre seguridad en línea </t>
  </si>
  <si>
    <t>Actividad 3.1</t>
  </si>
  <si>
    <t>Desarrollo de estrategia de comunicación para la divulgación del curso de seguridad en linea</t>
  </si>
  <si>
    <t xml:space="preserve">100 Afiches informativos, los cuales serán colocados en comunidades y centros educativos de San Miguel, Santa Ana y Soyapango, para promocionar la inscripción en las formaciones en seguridad en línea </t>
  </si>
  <si>
    <t>Material informativo</t>
  </si>
  <si>
    <t xml:space="preserve">3 Perifoneos informativos, uno en cada zona (San Miguel, Santa Ana y Soyapango) </t>
  </si>
  <si>
    <t xml:space="preserve">Lanzamiento del curso con autoridades del MINEDUCYT; FUSALMO y UNICEF, Cooffee break (para 30 personas, docentes, directores, equipo de trabajo, autoridades de UNICEF) </t>
  </si>
  <si>
    <t>Subtotal Actividad 3.1</t>
  </si>
  <si>
    <t>TOTAL PRODUCTO 3</t>
  </si>
  <si>
    <t>Producto 4</t>
  </si>
  <si>
    <t>Para mayo de 2023, al menos 2,500 niños, niñas, adolescentes y jóvenes; al menos 75 personal docente y directivo de centros educativos; 150 responsables de familia han finalizado el curso de seguridad en línea.</t>
  </si>
  <si>
    <t>Actividad 4.1</t>
  </si>
  <si>
    <t xml:space="preserve">Formación en seguridad en línea para al menos 2,500 niños, niñas, adolescentes, jóvenes; 75 personal docentes y directivos de centros educativos;  y 150  responsables de familia. </t>
  </si>
  <si>
    <t>Facilitador de formación en seguridad en línea, responsable de sistematizar y dar seguimiento al desarrollo de las formaciones) (1 especialista por 3 meses a un costo de $700.00 (c/u))</t>
  </si>
  <si>
    <t>Subtotal Actividad 4.1</t>
  </si>
  <si>
    <t>TOTAL PRODUCTO 4</t>
  </si>
  <si>
    <t>Producto 5</t>
  </si>
  <si>
    <r>
      <rPr>
        <b/>
        <i/>
        <sz val="10"/>
        <color rgb="FF000000"/>
        <rFont val="Calibri"/>
        <scheme val="minor"/>
      </rPr>
      <t>Gestión eficaz y eficiente del programa</t>
    </r>
    <r>
      <rPr>
        <b/>
        <i/>
        <sz val="10"/>
        <color rgb="FFFF0000"/>
        <rFont val="Calibri"/>
        <scheme val="minor"/>
      </rPr>
      <t xml:space="preserve"> </t>
    </r>
  </si>
  <si>
    <t>Actividad 5.1.</t>
  </si>
  <si>
    <t>Personal en el país de gestión y apoyo,  prorrateado según su contribución al programa (planificación, coordinación, logística, administración, finanzas, recursos humanos)</t>
  </si>
  <si>
    <t>5.1.1</t>
  </si>
  <si>
    <t xml:space="preserve">Técnico de recursos humanos Mirian Carolina Mozo Valdez (dedicación del 50% de su tiempo al proyecto = $200 por 1 mes) asumido por FUSALMO </t>
  </si>
  <si>
    <t>5.1.2</t>
  </si>
  <si>
    <r>
      <rPr>
        <sz val="10"/>
        <color rgb="FF000000"/>
        <rFont val="Calibri"/>
        <family val="2"/>
      </rPr>
      <t xml:space="preserve">Contador del proyecto  Lissette de Jesús Salmerón Tobar  (dedicación del 30% de su tiempo al proyecto=$300 por mes) </t>
    </r>
    <r>
      <rPr>
        <sz val="10"/>
        <color rgb="FFFF0000"/>
        <rFont val="Calibri"/>
        <family val="2"/>
      </rPr>
      <t>UNICEF asume el 15% de cada mes: $150.00</t>
    </r>
    <r>
      <rPr>
        <sz val="10"/>
        <color theme="1"/>
        <rFont val="Calibri"/>
        <family val="2"/>
      </rPr>
      <t xml:space="preserve"> </t>
    </r>
  </si>
  <si>
    <t>5.1.3</t>
  </si>
  <si>
    <r>
      <rPr>
        <sz val="10"/>
        <color rgb="FF000000"/>
        <rFont val="Calibri"/>
        <family val="2"/>
      </rPr>
      <t>Gerencia de Educación, Eloisa Magdalena Lara Magaña  (dedicación del 30% de su tiempo al proyecto =$300 por mes</t>
    </r>
    <r>
      <rPr>
        <sz val="10"/>
        <color rgb="FFFF0000"/>
        <rFont val="Calibri"/>
        <family val="2"/>
      </rPr>
      <t>) UNICEF asume el 13% de cada mes: $128.57</t>
    </r>
    <r>
      <rPr>
        <sz val="10"/>
        <color theme="1"/>
        <rFont val="Calibri"/>
        <family val="2"/>
      </rPr>
      <t xml:space="preserve"> </t>
    </r>
  </si>
  <si>
    <t>5.1.4</t>
  </si>
  <si>
    <r>
      <rPr>
        <sz val="10"/>
        <color rgb="FF000000"/>
        <rFont val="Calibri"/>
        <family val="2"/>
      </rPr>
      <t xml:space="preserve">Gerencia de  Innovación José Manuel Calderón González  (dedicación del 30% de su tiempo al proyecto =$400por mes) </t>
    </r>
    <r>
      <rPr>
        <sz val="10"/>
        <color rgb="FFFF0000"/>
        <rFont val="Calibri"/>
        <family val="2"/>
      </rPr>
      <t>UNICEF asume el 7% de cada mes: $90.00</t>
    </r>
    <r>
      <rPr>
        <sz val="10"/>
        <color theme="1"/>
        <rFont val="Calibri"/>
        <family val="2"/>
      </rPr>
      <t xml:space="preserve"> </t>
    </r>
  </si>
  <si>
    <t>5.1.5</t>
  </si>
  <si>
    <t>Seguimiento de proyectos Cecilia Beatriz del Carmen Zepeda Pineda (dedicación del 20% de su tiempo al proyecto =$300 por mes) asumido por FUSALMO - Contrapartida.</t>
  </si>
  <si>
    <t>5.1.6</t>
  </si>
  <si>
    <t xml:space="preserve">Apoyo Logistico Kenia Lorena Argumedo Rodríguez (Dedicación del 30% de su tiempo al proyecto $200 al mes) asumida por FUSALMO- Contrapartida. </t>
  </si>
  <si>
    <t>Subtotal Actividad 5.1</t>
  </si>
  <si>
    <t>Actividad 5.2.</t>
  </si>
  <si>
    <t>Gastos operacionales, prorrateados según su contribución al programa (espacio de oficinas, equipamiento, suministros  y servicios de oficina)</t>
  </si>
  <si>
    <t>5.2.1</t>
  </si>
  <si>
    <t xml:space="preserve">Uso de equipo , oficina e instalaciones para la coordinación, equipo que virtualizará e instalaciones para capacitaciones, eventos., UNICEF asume el 5% de cada mes = $300.00 </t>
  </si>
  <si>
    <t xml:space="preserve">Uso de equipo </t>
  </si>
  <si>
    <t>5.2.2</t>
  </si>
  <si>
    <r>
      <t xml:space="preserve">Gastos básicos (Energia electrica, agua, Internet, telefonia de un promedio de $3,500) </t>
    </r>
    <r>
      <rPr>
        <sz val="10"/>
        <color rgb="FFFF0000"/>
        <rFont val="Calibri"/>
        <family val="2"/>
        <scheme val="minor"/>
      </rPr>
      <t>UNICEF asume el 7% de cada mes: $125.00</t>
    </r>
  </si>
  <si>
    <t xml:space="preserve">Gastos fijos </t>
  </si>
  <si>
    <t>Subtotal Actividad 5.2</t>
  </si>
  <si>
    <t>Actividad 5.3</t>
  </si>
  <si>
    <t>Gestión estratégica para el desarrollo de las actividades del programa (comunicaciones, monitoreo y evaluación,…)</t>
  </si>
  <si>
    <t>5.3.1</t>
  </si>
  <si>
    <t xml:space="preserve">Asistencia a la coordinación Daniela Beatriz Salgado Gomez (Dedicación del 30% de su tiempo al proyecto $350 por mes, asumida por FUSALMO)
</t>
  </si>
  <si>
    <t>5.3.2</t>
  </si>
  <si>
    <t>Técnico en comunicaciones Cristopher Valerio  Rosales Cruz (dedicación del 20%  de su tiempo al proyecto $350 al mes) asumida por FUSALMO</t>
  </si>
  <si>
    <t>Subtotal Actividad 5.3</t>
  </si>
  <si>
    <t>TOTAL PRODUCTO 5</t>
  </si>
  <si>
    <t>GASTOS TOTALES DEL PROGRAMA (Contribución UNICEF)</t>
  </si>
  <si>
    <t>CONTRAPARTIDA OSC</t>
  </si>
  <si>
    <t>Descripción</t>
  </si>
  <si>
    <t>Costo Unitario</t>
  </si>
  <si>
    <t>Monto total</t>
  </si>
  <si>
    <t>Contador del proyecto  Lissette de Jesús Salmerón Tobar  (dedicación del 30% de su tiempo al proyecto=$300 por mes) 15% UNICEF</t>
  </si>
  <si>
    <t>Gerencia de Educación, Eloisa Magdalena Lara Magaña  (dedicación del 30% de su tiempo al proyecto =$300 por mes) 13% UNICEF.</t>
  </si>
  <si>
    <t>Gerencia de  Innovación José Manuel Calderón González  (dedicación del 30% de su tiempo al proyecto =$400por mes) 7% UNICEF</t>
  </si>
  <si>
    <t xml:space="preserve">Uso de equipo , oficina e instalaciones para la coordinación, equipo que virtualizará e instalaciones para capacitaciones, eventos., UNICEF asume el 5% de cada mes = $300. </t>
  </si>
  <si>
    <t xml:space="preserve">Gastos básicos (Energia electrica, agua, Internet, telefonia de un promedio de $3,500) en un 14% $500, 7% de UNICEF Y 7% FUSALMO </t>
  </si>
  <si>
    <t>Técnico en comunicaciones Diego Luis Moreno Molina (dedicación del 20%  de su tiempo al proyecto $350 al mes) asumida por FUSALMO</t>
  </si>
  <si>
    <t>GASTOS TOTALES DEL PROGRAMA (Contribución OSC)</t>
  </si>
  <si>
    <t>PORCENTAJES DE CONTRIBUCIÓN</t>
  </si>
  <si>
    <t>UNICEF</t>
  </si>
  <si>
    <t>OSC</t>
  </si>
  <si>
    <t>Costos operativos</t>
  </si>
  <si>
    <t>Act. 1.4. Kit material didactico y promocional para los talleres de diagnóstico</t>
  </si>
  <si>
    <t>ITEM</t>
  </si>
  <si>
    <t>CANTIDAD</t>
  </si>
  <si>
    <t>PRECIO UNITARIO</t>
  </si>
  <si>
    <t xml:space="preserve">Resma 500 hojas de papel bond tamaño carta </t>
  </si>
  <si>
    <t xml:space="preserve">Resma100 hojas de papel de colores tamaño carta </t>
  </si>
  <si>
    <t xml:space="preserve">Libretas de apuntes </t>
  </si>
  <si>
    <t>Caja de lapices (12 unidades)</t>
  </si>
  <si>
    <t>Caja de lapiceros (12 unidades)</t>
  </si>
  <si>
    <t>Caja de marcadores de pizarra (4 unidad)</t>
  </si>
  <si>
    <t xml:space="preserve">Tarjetas metaplan </t>
  </si>
  <si>
    <t xml:space="preserve">Pliegos de papel bond </t>
  </si>
  <si>
    <t xml:space="preserve">Alcohol gel galón </t>
  </si>
  <si>
    <t xml:space="preserve">Caja de mascarillas quirúrgicas </t>
  </si>
  <si>
    <t>squezze</t>
  </si>
  <si>
    <t xml:space="preserve">DURACIÓN DEL CONVENIO: 18 meses. </t>
  </si>
  <si>
    <t>NOMBRE DEL PROYECTO:</t>
  </si>
  <si>
    <t>SOCIO:</t>
  </si>
  <si>
    <t>Monto total Contribución FUSALMO</t>
  </si>
  <si>
    <t>Trimestre 4</t>
  </si>
  <si>
    <t>Trimestre 5</t>
  </si>
  <si>
    <t xml:space="preserve">Trimestre 6 </t>
  </si>
  <si>
    <t xml:space="preserve">Para abril de 2023, al menos 100 docentes están capacitados en metodología STEM, con criterios de equidad de género, de los municipios de San Miguel, Usulután, Santa Ana y San Salvador 
Indicador(es) de desempeño
</t>
  </si>
  <si>
    <t xml:space="preserve">Formación STEM a 100 docentes de centros educativos públicos. </t>
  </si>
  <si>
    <t xml:space="preserve">Movilización para 100 docentes de Usulután, San Miguel, Santa Ana y San Salvador hacia campamento STEM por dos jornadas </t>
  </si>
  <si>
    <t xml:space="preserve">Alimentación para 100 docentes (2 refrigerios a $4.00, 1 almuerzo a $5.00 x 2 jornadas, haciendo un total de 1,080 ) </t>
  </si>
  <si>
    <t>Material didáctico</t>
  </si>
  <si>
    <t>1.3.1</t>
  </si>
  <si>
    <t>Material didáctio (papelería y material necesario para la formación)</t>
  </si>
  <si>
    <t xml:space="preserve">Manual para campamento para 100 docentes Usulután, San Miguel, Santa Ana y San Salvador, con un promedio de 150 páginas fullcolor </t>
  </si>
  <si>
    <t>1.3.2</t>
  </si>
  <si>
    <t xml:space="preserve">USB con lanyard con material para campamento STEM </t>
  </si>
  <si>
    <t xml:space="preserve">Elementos para modelaje y desarrollo de proyectos STEM para integración en el aula </t>
  </si>
  <si>
    <t xml:space="preserve">Para abril 2023, al menos 1,500 niños, niñas, adolescentes y jóvenes son formados en STEM, con criterios de equidad de género, de los municipios de San Miguel, Usulután y Santa Ana. </t>
  </si>
  <si>
    <t>Formación STEM a 1,500 niños, niñas, adolescentes y jóvenes</t>
  </si>
  <si>
    <t>Coordinación general del proyecto (1 coordinador por 18 meses a un costo de $1,000.00)</t>
  </si>
  <si>
    <t>Educadores de STEM, para desarrollo de laboratorios y modelaje STEM en el aula en San Miguel, Usulután y Santa Ana (2 educadores por 15 meses a un costo de $650.00)</t>
  </si>
  <si>
    <t>Especialistas STEM, para la integración de ciencias y matemáticas con enfoque STEM en San Miguel, Usulután y Santa Ana (2 especialistas STEM por 5 meses a un costo de $1,000.00.  (Especialista STEM 1 a ser contratado los primeros 3 trimestres, y el Especialista STEM 2 a ser contratado los últimos 3 trimestres ))</t>
  </si>
  <si>
    <t>Pedagogos para validación de modelaje de aplicación STEM en el aula en San Miguel, Usulután y Santa Ana  (2 pedagogos por 5 meses a un costo de $1,000.00. (Pedagogo 1 a ser contratado los primeros 3 trimestres, y el Pedagogo 2 a ser contratado los últimos 3 trimestres ))</t>
  </si>
  <si>
    <t>Movilización para especialistas y educadores para desarrollo de laboratorios STEM en cada centro educativo (1 vez por semana, x 20 semanas en 6 centros educativos, a un costo de $30.00 dolares por viaje)</t>
  </si>
  <si>
    <t xml:space="preserve">Adecuación laboratorio STEM para instalación eléctrica o seguridad para resguardo del equipo </t>
  </si>
  <si>
    <t>Equipamiento laboratorio STEM (para 6 centros educativos)</t>
  </si>
  <si>
    <t>2.6.1</t>
  </si>
  <si>
    <t>Kit de robótica (DJI Robomaster EP CORE)</t>
  </si>
  <si>
    <t>2.6.2</t>
  </si>
  <si>
    <t>Kit de energía renovable (KNEX)</t>
  </si>
  <si>
    <t>2.6.3</t>
  </si>
  <si>
    <t>Kit de drone (DJI TELLO EDU)</t>
  </si>
  <si>
    <t>2.6.4</t>
  </si>
  <si>
    <t>TI-Innovator Rover (Texas Instrument)</t>
  </si>
  <si>
    <t>Visibilización del proyecto</t>
  </si>
  <si>
    <t>2.7.1</t>
  </si>
  <si>
    <t>Camisetas tipo polo para 100 docentes</t>
  </si>
  <si>
    <t>2.7.2</t>
  </si>
  <si>
    <t xml:space="preserve">Camisetas tipo polo para personal del proyecto </t>
  </si>
  <si>
    <t>2.7.3</t>
  </si>
  <si>
    <t xml:space="preserve">Carnets de identidicación para personal del proyecto </t>
  </si>
  <si>
    <t>Congreso para visualización de proyectos intergados STEM (un congreso presencial por cada uno de los 6 centros educativos)</t>
  </si>
  <si>
    <t>2.8.1</t>
  </si>
  <si>
    <t xml:space="preserve">Material didáctico </t>
  </si>
  <si>
    <t>2.8.1.1</t>
  </si>
  <si>
    <t>Caja de lapices (4 unidades)</t>
  </si>
  <si>
    <t>2.8.1.2</t>
  </si>
  <si>
    <t>Caja de lapiceros (4 unidades)</t>
  </si>
  <si>
    <t>2.8.1.3</t>
  </si>
  <si>
    <t xml:space="preserve">Marcadores parar pizarra </t>
  </si>
  <si>
    <t>2.8.1.4</t>
  </si>
  <si>
    <t>2.8.1.5</t>
  </si>
  <si>
    <t>Borrador de pizarra</t>
  </si>
  <si>
    <t>2.8.1.6</t>
  </si>
  <si>
    <t>Resma papel bond</t>
  </si>
  <si>
    <t>2.8.1.7</t>
  </si>
  <si>
    <t>2.8.1.8</t>
  </si>
  <si>
    <t xml:space="preserve">Impresiones </t>
  </si>
  <si>
    <t>2.8.2</t>
  </si>
  <si>
    <t>Alimentación para congreso para visualización de proyectos intergados STEM ( 1 refrigerio para 50 personas a un costo de $4.00 cada uno )</t>
  </si>
  <si>
    <t>2.9</t>
  </si>
  <si>
    <t>Visibilización y comunicación (publicaciones por redes sociales para comunicación y promoción del proyecto )</t>
  </si>
  <si>
    <t>Para abril del año 2023, creadas alianzas con empresa privada, para pasantías, becas, equipamiento</t>
  </si>
  <si>
    <t xml:space="preserve">Gestiones de creación de alianzas con empresa privada </t>
  </si>
  <si>
    <t>Gestor Empresarial, para Identificación y gestión de alianzas de las empresas del sector privado (2 educadores por 18 meses a un costo de $800.00)</t>
  </si>
  <si>
    <t>Movilización para gestor empresarial para reuniones presenciales con empresa privada (2 veces por semana, x 12 meses, a un costo de $30.00 dolares por viaje)</t>
  </si>
  <si>
    <t xml:space="preserve">Sistematización de la experiencia </t>
  </si>
  <si>
    <t>Actividades de sistematización de la experiencia</t>
  </si>
  <si>
    <t>Sistematizador de la experiencia (1 consultor, por un periodo de 3 meses, a un costo de $1,000.00 mensuales )</t>
  </si>
  <si>
    <r>
      <t>Gestión eficaz y eficiente del programa</t>
    </r>
    <r>
      <rPr>
        <b/>
        <i/>
        <sz val="10"/>
        <color rgb="FFFF0000"/>
        <rFont val="Calibri"/>
        <family val="2"/>
        <scheme val="minor"/>
      </rPr>
      <t xml:space="preserve"> </t>
    </r>
  </si>
  <si>
    <t>Técnico de recursos humanos (dedicación del 50% de su tiempo al proyecto = $200 por 6 meses). 25% FUSALMO, 25% UNICEF.</t>
  </si>
  <si>
    <t>Contador del proyecto  40% (dedicación del 30% de su tiempo al proyecto=$300 por mes) 20% FUSALMO 20% UNICEF</t>
  </si>
  <si>
    <t>Gerencia de Educación (dedicación del 30% de su tiempo al proyecto =$300 por mes) 15% FUSALMO, 15% UNICEF.</t>
  </si>
  <si>
    <t>Gerencia de Tecnología (dedicación del 30% de su tiempo al proyecto =$300 por mes) 15% FUSALMO, 15% UNICEF</t>
  </si>
  <si>
    <t>Gerencia de Gestión y Desarrollo (dedicación del 20% de su tiempo al proyecto =$300 por mes) 15% FUSALMO, 15% UNICEF</t>
  </si>
  <si>
    <t>Técnico en compras (dedicación del 20%de su tiempo al proyecto $200 al mes) 10% FUSALMO 10% UNICEF</t>
  </si>
  <si>
    <t>5.1.7</t>
  </si>
  <si>
    <t>Técnico en monitoreo y evaluación (Dedicación del 30% de su tiempo al proyecto $200 al mes) 10% FUSALMO 10% UNICEF</t>
  </si>
  <si>
    <t>Uso de equipo , oficina e instalaciones para la coordinación, equipo que virtualizará e instalaciones para capacitaciones, eventos., equivale al 10% (5% FUSALMO Y 5% UNICEF )</t>
  </si>
  <si>
    <t xml:space="preserve">Uso de talleres STEAM en oriente, occidente y centro  del 30% el 7% de UNICEF Y 23% FUSALMO </t>
  </si>
  <si>
    <t>5.2.3</t>
  </si>
  <si>
    <t>Uso de Plataforma TRANSFORMA (x 1,500 jóvenes x 18 meses, 4 veces al mes)</t>
  </si>
  <si>
    <t>5.2.4</t>
  </si>
  <si>
    <t xml:space="preserve">Asistencia a la coordinación (Dedicación del 30% de su tiempo al proyecto $350 por mes, asumida por FUSALMO)
</t>
  </si>
  <si>
    <t>Tecnico en comunicaciones (dedicación del 20%  de su tiempo al proyecto $350 al mes) 10% FUSALMO, 10% UNICEF.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</si>
</sst>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\ _€_-;\-* #,##0.00\ _€_-;_-* &quot;-&quot;??\ _€_-;_-@_-"/>
    <numFmt numFmtId="168" formatCode="&quot;$&quot;#,##0.00"/>
    <numFmt numFmtId="169" formatCode="_-[$$-409]* #,##0.00_ ;_-[$$-409]* \-#,##0.00\ ;_-[$$-409]* &quot;-&quot;??_ ;_-@_ "/>
    <numFmt numFmtId="170" formatCode="_([$$-409]* #,##0.00_);_([$$-409]* \(#,##0.00\);_([$$-409]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theme="4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b/>
      <i/>
      <sz val="10"/>
      <color rgb="FF000000"/>
      <name val="Calibri"/>
      <scheme val="minor"/>
    </font>
    <font>
      <b/>
      <i/>
      <sz val="10"/>
      <color rgb="FFFF0000"/>
      <name val="Calibri"/>
      <scheme val="minor"/>
    </font>
    <font>
      <b/>
      <i/>
      <sz val="10"/>
      <color theme="1"/>
      <name val="Calibri"/>
      <scheme val="minor"/>
    </font>
    <font>
      <sz val="10"/>
      <color rgb="FF4472C4"/>
      <name val="Calibri"/>
      <scheme val="minor"/>
    </font>
    <font>
      <sz val="10"/>
      <color rgb="FFFF0000"/>
      <name val="Calibri"/>
      <scheme val="minor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4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164" fontId="4" fillId="0" borderId="0" xfId="1" applyFont="1" applyAlignment="1">
      <alignment horizontal="right"/>
    </xf>
    <xf numFmtId="0" fontId="3" fillId="2" borderId="5" xfId="0" applyFont="1" applyFill="1" applyBorder="1" applyAlignment="1">
      <alignment horizontal="right" vertical="center" wrapText="1"/>
    </xf>
    <xf numFmtId="164" fontId="3" fillId="2" borderId="2" xfId="1" applyFont="1" applyFill="1" applyBorder="1" applyAlignment="1">
      <alignment horizontal="right" vertical="center" wrapText="1"/>
    </xf>
    <xf numFmtId="168" fontId="4" fillId="0" borderId="17" xfId="0" applyNumberFormat="1" applyFont="1" applyBorder="1" applyAlignment="1">
      <alignment horizontal="right"/>
    </xf>
    <xf numFmtId="168" fontId="4" fillId="0" borderId="20" xfId="0" applyNumberFormat="1" applyFont="1" applyBorder="1" applyAlignment="1">
      <alignment horizontal="right"/>
    </xf>
    <xf numFmtId="164" fontId="4" fillId="0" borderId="1" xfId="1" applyFont="1" applyBorder="1" applyAlignment="1">
      <alignment horizontal="right"/>
    </xf>
    <xf numFmtId="168" fontId="4" fillId="0" borderId="1" xfId="0" applyNumberFormat="1" applyFont="1" applyBorder="1" applyAlignment="1">
      <alignment horizontal="right"/>
    </xf>
    <xf numFmtId="168" fontId="4" fillId="0" borderId="22" xfId="0" applyNumberFormat="1" applyFont="1" applyBorder="1" applyAlignment="1">
      <alignment horizontal="right"/>
    </xf>
    <xf numFmtId="164" fontId="4" fillId="0" borderId="22" xfId="1" applyFont="1" applyBorder="1" applyAlignment="1">
      <alignment horizontal="right"/>
    </xf>
    <xf numFmtId="168" fontId="4" fillId="5" borderId="17" xfId="0" applyNumberFormat="1" applyFont="1" applyFill="1" applyBorder="1" applyAlignment="1">
      <alignment horizontal="right"/>
    </xf>
    <xf numFmtId="168" fontId="4" fillId="5" borderId="1" xfId="0" applyNumberFormat="1" applyFont="1" applyFill="1" applyBorder="1" applyAlignment="1">
      <alignment horizontal="right"/>
    </xf>
    <xf numFmtId="164" fontId="4" fillId="5" borderId="1" xfId="1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/>
    <xf numFmtId="164" fontId="4" fillId="0" borderId="2" xfId="1" applyFont="1" applyBorder="1" applyAlignment="1">
      <alignment horizontal="right"/>
    </xf>
    <xf numFmtId="164" fontId="4" fillId="0" borderId="21" xfId="1" applyFont="1" applyBorder="1" applyAlignment="1">
      <alignment horizontal="right"/>
    </xf>
    <xf numFmtId="164" fontId="4" fillId="0" borderId="7" xfId="1" applyFont="1" applyBorder="1" applyAlignment="1">
      <alignment horizontal="right"/>
    </xf>
    <xf numFmtId="0" fontId="5" fillId="3" borderId="1" xfId="0" applyFont="1" applyFill="1" applyBorder="1" applyAlignment="1">
      <alignment horizontal="justify" vertical="center" wrapText="1"/>
    </xf>
    <xf numFmtId="0" fontId="3" fillId="4" borderId="18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justify" vertical="center" wrapText="1"/>
    </xf>
    <xf numFmtId="164" fontId="3" fillId="6" borderId="15" xfId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justify" vertical="center" wrapText="1"/>
    </xf>
    <xf numFmtId="164" fontId="3" fillId="6" borderId="1" xfId="1" applyFont="1" applyFill="1" applyBorder="1" applyAlignment="1">
      <alignment horizontal="right" vertical="center" wrapText="1"/>
    </xf>
    <xf numFmtId="164" fontId="3" fillId="6" borderId="24" xfId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64" fontId="3" fillId="7" borderId="14" xfId="1" applyFont="1" applyFill="1" applyBorder="1" applyAlignment="1">
      <alignment horizontal="right" vertical="center" wrapText="1"/>
    </xf>
    <xf numFmtId="166" fontId="4" fillId="0" borderId="0" xfId="0" applyNumberFormat="1" applyFont="1" applyAlignment="1">
      <alignment horizontal="right"/>
    </xf>
    <xf numFmtId="0" fontId="7" fillId="5" borderId="13" xfId="0" applyFont="1" applyFill="1" applyBorder="1" applyAlignment="1">
      <alignment horizontal="center" vertical="center"/>
    </xf>
    <xf numFmtId="168" fontId="7" fillId="5" borderId="13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horizontal="left" vertical="top" wrapText="1"/>
    </xf>
    <xf numFmtId="168" fontId="4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wrapText="1"/>
    </xf>
    <xf numFmtId="164" fontId="3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4" fillId="5" borderId="3" xfId="0" applyFont="1" applyFill="1" applyBorder="1" applyAlignment="1">
      <alignment horizontal="justify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0" applyNumberFormat="1" applyFont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166" fontId="4" fillId="5" borderId="1" xfId="0" applyNumberFormat="1" applyFont="1" applyFill="1" applyBorder="1" applyAlignment="1">
      <alignment horizontal="right" vertical="center" wrapText="1"/>
    </xf>
    <xf numFmtId="0" fontId="4" fillId="6" borderId="3" xfId="0" applyFont="1" applyFill="1" applyBorder="1" applyAlignment="1">
      <alignment horizontal="justify" vertical="center" wrapText="1"/>
    </xf>
    <xf numFmtId="164" fontId="3" fillId="7" borderId="3" xfId="1" applyFont="1" applyFill="1" applyBorder="1" applyAlignment="1">
      <alignment horizontal="right" vertical="center" wrapText="1"/>
    </xf>
    <xf numFmtId="164" fontId="3" fillId="7" borderId="6" xfId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164" fontId="3" fillId="6" borderId="2" xfId="1" applyFont="1" applyFill="1" applyBorder="1" applyAlignment="1">
      <alignment horizontal="right" vertical="center" wrapText="1"/>
    </xf>
    <xf numFmtId="164" fontId="3" fillId="7" borderId="0" xfId="1" applyFont="1" applyFill="1" applyBorder="1" applyAlignment="1">
      <alignment horizontal="right" vertical="center" wrapText="1"/>
    </xf>
    <xf numFmtId="164" fontId="3" fillId="7" borderId="1" xfId="1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 wrapText="1"/>
    </xf>
    <xf numFmtId="4" fontId="4" fillId="5" borderId="6" xfId="1" applyNumberFormat="1" applyFont="1" applyFill="1" applyBorder="1" applyAlignment="1">
      <alignment horizontal="right" vertical="center" wrapText="1"/>
    </xf>
    <xf numFmtId="164" fontId="4" fillId="5" borderId="6" xfId="1" applyFont="1" applyFill="1" applyBorder="1" applyAlignment="1">
      <alignment horizontal="right" vertical="center" wrapText="1"/>
    </xf>
    <xf numFmtId="164" fontId="4" fillId="5" borderId="1" xfId="1" applyFont="1" applyFill="1" applyBorder="1" applyAlignment="1">
      <alignment horizontal="right" vertical="center" wrapText="1"/>
    </xf>
    <xf numFmtId="164" fontId="3" fillId="6" borderId="8" xfId="1" applyFont="1" applyFill="1" applyBorder="1" applyAlignment="1">
      <alignment horizontal="right" vertical="center" wrapText="1"/>
    </xf>
    <xf numFmtId="164" fontId="4" fillId="5" borderId="2" xfId="1" applyFont="1" applyFill="1" applyBorder="1" applyAlignment="1">
      <alignment horizontal="right" vertical="center" wrapText="1"/>
    </xf>
    <xf numFmtId="166" fontId="3" fillId="8" borderId="6" xfId="0" applyNumberFormat="1" applyFont="1" applyFill="1" applyBorder="1" applyAlignment="1">
      <alignment horizontal="right" vertical="center" wrapText="1"/>
    </xf>
    <xf numFmtId="0" fontId="3" fillId="4" borderId="13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168" fontId="4" fillId="0" borderId="1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25" xfId="0" applyBorder="1"/>
    <xf numFmtId="0" fontId="9" fillId="0" borderId="0" xfId="0" applyFont="1"/>
    <xf numFmtId="0" fontId="4" fillId="6" borderId="26" xfId="0" applyFont="1" applyFill="1" applyBorder="1" applyAlignment="1">
      <alignment horizontal="justify" vertical="center" wrapText="1"/>
    </xf>
    <xf numFmtId="164" fontId="3" fillId="6" borderId="27" xfId="1" applyFont="1" applyFill="1" applyBorder="1" applyAlignment="1">
      <alignment horizontal="right" vertical="center" wrapText="1"/>
    </xf>
    <xf numFmtId="164" fontId="3" fillId="6" borderId="28" xfId="1" applyFont="1" applyFill="1" applyBorder="1" applyAlignment="1">
      <alignment horizontal="right" vertical="center" wrapText="1"/>
    </xf>
    <xf numFmtId="168" fontId="4" fillId="0" borderId="29" xfId="0" applyNumberFormat="1" applyFont="1" applyBorder="1" applyAlignment="1">
      <alignment horizontal="right"/>
    </xf>
    <xf numFmtId="0" fontId="9" fillId="5" borderId="3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8" fontId="4" fillId="0" borderId="17" xfId="0" applyNumberFormat="1" applyFont="1" applyBorder="1"/>
    <xf numFmtId="0" fontId="4" fillId="5" borderId="1" xfId="0" applyFont="1" applyFill="1" applyBorder="1" applyAlignment="1">
      <alignment vertical="center" wrapText="1"/>
    </xf>
    <xf numFmtId="168" fontId="4" fillId="5" borderId="17" xfId="0" applyNumberFormat="1" applyFont="1" applyFill="1" applyBorder="1"/>
    <xf numFmtId="164" fontId="3" fillId="6" borderId="1" xfId="1" applyFont="1" applyFill="1" applyBorder="1" applyAlignment="1">
      <alignment vertical="center" wrapText="1"/>
    </xf>
    <xf numFmtId="164" fontId="3" fillId="7" borderId="6" xfId="1" applyFont="1" applyFill="1" applyBorder="1" applyAlignment="1">
      <alignment vertical="center" wrapText="1"/>
    </xf>
    <xf numFmtId="166" fontId="4" fillId="0" borderId="1" xfId="0" applyNumberFormat="1" applyFont="1" applyBorder="1" applyAlignment="1">
      <alignment vertical="center" wrapText="1"/>
    </xf>
    <xf numFmtId="166" fontId="4" fillId="0" borderId="8" xfId="0" applyNumberFormat="1" applyFont="1" applyBorder="1" applyAlignment="1">
      <alignment vertical="center" wrapText="1"/>
    </xf>
    <xf numFmtId="168" fontId="4" fillId="0" borderId="1" xfId="0" applyNumberFormat="1" applyFont="1" applyBorder="1"/>
    <xf numFmtId="168" fontId="4" fillId="0" borderId="22" xfId="0" applyNumberFormat="1" applyFont="1" applyBorder="1"/>
    <xf numFmtId="164" fontId="3" fillId="7" borderId="1" xfId="1" applyFont="1" applyFill="1" applyBorder="1" applyAlignment="1">
      <alignment vertical="center" wrapText="1"/>
    </xf>
    <xf numFmtId="164" fontId="4" fillId="5" borderId="6" xfId="1" applyFont="1" applyFill="1" applyBorder="1" applyAlignment="1">
      <alignment vertical="center" wrapText="1"/>
    </xf>
    <xf numFmtId="164" fontId="4" fillId="5" borderId="1" xfId="1" applyFont="1" applyFill="1" applyBorder="1" applyAlignment="1">
      <alignment vertical="center" wrapText="1"/>
    </xf>
    <xf numFmtId="164" fontId="3" fillId="6" borderId="15" xfId="1" applyFont="1" applyFill="1" applyBorder="1" applyAlignment="1">
      <alignment vertical="center" wrapText="1"/>
    </xf>
    <xf numFmtId="164" fontId="3" fillId="7" borderId="14" xfId="1" applyFont="1" applyFill="1" applyBorder="1" applyAlignment="1">
      <alignment vertical="center" wrapText="1"/>
    </xf>
    <xf numFmtId="168" fontId="3" fillId="9" borderId="3" xfId="0" applyNumberFormat="1" applyFont="1" applyFill="1" applyBorder="1"/>
    <xf numFmtId="168" fontId="4" fillId="0" borderId="0" xfId="0" applyNumberFormat="1" applyFont="1" applyAlignment="1">
      <alignment vertical="center"/>
    </xf>
    <xf numFmtId="168" fontId="4" fillId="0" borderId="31" xfId="0" applyNumberFormat="1" applyFont="1" applyBorder="1" applyAlignment="1">
      <alignment horizontal="right"/>
    </xf>
    <xf numFmtId="168" fontId="4" fillId="0" borderId="32" xfId="0" applyNumberFormat="1" applyFont="1" applyBorder="1" applyAlignment="1">
      <alignment horizontal="right"/>
    </xf>
    <xf numFmtId="0" fontId="4" fillId="0" borderId="0" xfId="0" applyFont="1" applyAlignment="1">
      <alignment horizontal="right" wrapText="1"/>
    </xf>
    <xf numFmtId="168" fontId="4" fillId="0" borderId="0" xfId="0" applyNumberFormat="1" applyFont="1"/>
    <xf numFmtId="164" fontId="3" fillId="6" borderId="23" xfId="1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1" applyFont="1" applyFill="1" applyBorder="1" applyAlignment="1">
      <alignment vertical="center" wrapText="1"/>
    </xf>
    <xf numFmtId="168" fontId="4" fillId="0" borderId="17" xfId="0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5" borderId="13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3" fillId="8" borderId="13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4" xfId="1" applyFont="1" applyBorder="1" applyAlignment="1">
      <alignment horizontal="right"/>
    </xf>
    <xf numFmtId="164" fontId="3" fillId="6" borderId="4" xfId="1" applyFont="1" applyFill="1" applyBorder="1" applyAlignment="1">
      <alignment horizontal="right" vertical="center" wrapText="1"/>
    </xf>
    <xf numFmtId="164" fontId="3" fillId="7" borderId="8" xfId="1" applyFont="1" applyFill="1" applyBorder="1" applyAlignment="1">
      <alignment horizontal="right" vertical="center" wrapText="1"/>
    </xf>
    <xf numFmtId="164" fontId="4" fillId="0" borderId="5" xfId="1" applyFont="1" applyBorder="1" applyAlignment="1">
      <alignment horizontal="right"/>
    </xf>
    <xf numFmtId="164" fontId="3" fillId="6" borderId="5" xfId="1" applyFont="1" applyFill="1" applyBorder="1" applyAlignment="1">
      <alignment horizontal="right" vertical="center" wrapText="1"/>
    </xf>
    <xf numFmtId="164" fontId="3" fillId="7" borderId="4" xfId="1" applyFont="1" applyFill="1" applyBorder="1" applyAlignment="1">
      <alignment horizontal="right" vertical="center" wrapText="1"/>
    </xf>
    <xf numFmtId="164" fontId="4" fillId="5" borderId="5" xfId="1" applyFont="1" applyFill="1" applyBorder="1" applyAlignment="1">
      <alignment horizontal="right" vertical="center" wrapText="1"/>
    </xf>
    <xf numFmtId="164" fontId="4" fillId="5" borderId="8" xfId="1" applyFont="1" applyFill="1" applyBorder="1" applyAlignment="1">
      <alignment horizontal="right" vertical="center" wrapText="1"/>
    </xf>
    <xf numFmtId="164" fontId="4" fillId="5" borderId="4" xfId="1" applyFont="1" applyFill="1" applyBorder="1" applyAlignment="1">
      <alignment horizontal="right" vertical="center" wrapText="1"/>
    </xf>
    <xf numFmtId="164" fontId="3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right"/>
    </xf>
    <xf numFmtId="0" fontId="9" fillId="0" borderId="13" xfId="0" applyFont="1" applyBorder="1"/>
    <xf numFmtId="166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5" fillId="3" borderId="13" xfId="0" applyFont="1" applyFill="1" applyBorder="1" applyAlignment="1">
      <alignment vertical="center" wrapText="1"/>
    </xf>
    <xf numFmtId="0" fontId="3" fillId="4" borderId="19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166" fontId="4" fillId="0" borderId="4" xfId="0" applyNumberFormat="1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164" fontId="4" fillId="0" borderId="6" xfId="1" applyFont="1" applyBorder="1" applyAlignment="1">
      <alignment horizontal="center" vertical="center" wrapText="1"/>
    </xf>
    <xf numFmtId="164" fontId="4" fillId="5" borderId="6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168" fontId="3" fillId="5" borderId="0" xfId="0" applyNumberFormat="1" applyFont="1" applyFill="1" applyAlignment="1">
      <alignment horizontal="right" vertical="center" wrapText="1"/>
    </xf>
    <xf numFmtId="168" fontId="4" fillId="5" borderId="0" xfId="0" applyNumberFormat="1" applyFont="1" applyFill="1" applyAlignment="1">
      <alignment vertical="center"/>
    </xf>
    <xf numFmtId="164" fontId="4" fillId="5" borderId="0" xfId="1" applyFont="1" applyFill="1" applyAlignment="1">
      <alignment horizontal="right"/>
    </xf>
    <xf numFmtId="164" fontId="3" fillId="6" borderId="33" xfId="1" applyFont="1" applyFill="1" applyBorder="1" applyAlignment="1">
      <alignment horizontal="right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vertical="center" wrapText="1"/>
    </xf>
    <xf numFmtId="164" fontId="4" fillId="0" borderId="0" xfId="1" applyFont="1" applyAlignment="1">
      <alignment horizontal="right" wrapText="1"/>
    </xf>
    <xf numFmtId="0" fontId="4" fillId="0" borderId="0" xfId="0" applyFont="1" applyAlignment="1">
      <alignment wrapText="1"/>
    </xf>
    <xf numFmtId="164" fontId="7" fillId="5" borderId="13" xfId="1" applyFont="1" applyFill="1" applyBorder="1" applyAlignment="1">
      <alignment horizontal="right" vertical="center" wrapText="1"/>
    </xf>
    <xf numFmtId="164" fontId="4" fillId="5" borderId="13" xfId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164" fontId="4" fillId="0" borderId="32" xfId="1" applyFont="1" applyBorder="1" applyAlignment="1">
      <alignment horizontal="right"/>
    </xf>
    <xf numFmtId="164" fontId="3" fillId="6" borderId="3" xfId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168" fontId="4" fillId="0" borderId="1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164" fontId="4" fillId="5" borderId="13" xfId="1" applyFont="1" applyFill="1" applyBorder="1" applyAlignment="1">
      <alignment horizontal="right" vertical="center" wrapText="1"/>
    </xf>
    <xf numFmtId="0" fontId="4" fillId="5" borderId="0" xfId="0" applyFont="1" applyFill="1" applyAlignment="1">
      <alignment horizontal="right" wrapText="1"/>
    </xf>
    <xf numFmtId="168" fontId="4" fillId="5" borderId="0" xfId="0" applyNumberFormat="1" applyFont="1" applyFill="1" applyAlignment="1">
      <alignment vertical="center" wrapText="1"/>
    </xf>
    <xf numFmtId="164" fontId="4" fillId="5" borderId="0" xfId="1" applyFont="1" applyFill="1" applyAlignment="1">
      <alignment horizontal="right" wrapText="1"/>
    </xf>
    <xf numFmtId="0" fontId="4" fillId="5" borderId="0" xfId="0" applyFont="1" applyFill="1" applyAlignment="1">
      <alignment wrapText="1"/>
    </xf>
    <xf numFmtId="164" fontId="4" fillId="5" borderId="13" xfId="0" applyNumberFormat="1" applyFont="1" applyFill="1" applyBorder="1" applyAlignment="1">
      <alignment horizontal="righ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69" fontId="4" fillId="5" borderId="13" xfId="0" applyNumberFormat="1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/>
    </xf>
    <xf numFmtId="0" fontId="4" fillId="11" borderId="0" xfId="0" applyFont="1" applyFill="1"/>
    <xf numFmtId="164" fontId="4" fillId="11" borderId="0" xfId="1" applyFont="1" applyFill="1" applyAlignment="1">
      <alignment horizontal="right"/>
    </xf>
    <xf numFmtId="167" fontId="4" fillId="0" borderId="0" xfId="0" applyNumberFormat="1" applyFont="1" applyAlignment="1">
      <alignment horizontal="right"/>
    </xf>
    <xf numFmtId="169" fontId="3" fillId="8" borderId="6" xfId="0" applyNumberFormat="1" applyFont="1" applyFill="1" applyBorder="1" applyAlignment="1">
      <alignment horizontal="right" vertical="center" wrapText="1"/>
    </xf>
    <xf numFmtId="168" fontId="4" fillId="0" borderId="10" xfId="0" applyNumberFormat="1" applyFont="1" applyBorder="1"/>
    <xf numFmtId="0" fontId="4" fillId="0" borderId="8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169" fontId="4" fillId="0" borderId="0" xfId="0" applyNumberFormat="1" applyFont="1" applyAlignment="1">
      <alignment horizontal="right"/>
    </xf>
    <xf numFmtId="166" fontId="4" fillId="5" borderId="2" xfId="0" applyNumberFormat="1" applyFont="1" applyFill="1" applyBorder="1" applyAlignment="1">
      <alignment horizontal="right" vertical="center" wrapText="1"/>
    </xf>
    <xf numFmtId="164" fontId="4" fillId="5" borderId="13" xfId="0" applyNumberFormat="1" applyFont="1" applyFill="1" applyBorder="1" applyAlignment="1">
      <alignment horizontal="left" vertical="center" wrapText="1"/>
    </xf>
    <xf numFmtId="168" fontId="4" fillId="0" borderId="17" xfId="0" applyNumberFormat="1" applyFont="1" applyBorder="1" applyAlignment="1">
      <alignment horizontal="right" vertical="center"/>
    </xf>
    <xf numFmtId="168" fontId="4" fillId="0" borderId="10" xfId="0" applyNumberFormat="1" applyFont="1" applyBorder="1" applyAlignment="1">
      <alignment horizontal="right" vertical="center"/>
    </xf>
    <xf numFmtId="166" fontId="4" fillId="11" borderId="0" xfId="0" applyNumberFormat="1" applyFont="1" applyFill="1" applyAlignment="1">
      <alignment horizontal="right"/>
    </xf>
    <xf numFmtId="0" fontId="13" fillId="0" borderId="0" xfId="0" applyFont="1"/>
    <xf numFmtId="0" fontId="13" fillId="0" borderId="1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4" fillId="10" borderId="20" xfId="0" applyFont="1" applyFill="1" applyBorder="1" applyAlignment="1">
      <alignment horizontal="justify" vertical="center"/>
    </xf>
    <xf numFmtId="0" fontId="12" fillId="10" borderId="22" xfId="0" applyFont="1" applyFill="1" applyBorder="1" applyAlignment="1">
      <alignment horizontal="center" vertical="center"/>
    </xf>
    <xf numFmtId="164" fontId="4" fillId="0" borderId="37" xfId="1" applyFont="1" applyBorder="1" applyAlignment="1">
      <alignment horizontal="center" vertical="center" wrapText="1"/>
    </xf>
    <xf numFmtId="164" fontId="0" fillId="0" borderId="22" xfId="0" applyNumberFormat="1" applyBorder="1"/>
    <xf numFmtId="0" fontId="4" fillId="10" borderId="38" xfId="0" applyFont="1" applyFill="1" applyBorder="1" applyAlignment="1">
      <alignment horizontal="justify" vertical="center"/>
    </xf>
    <xf numFmtId="0" fontId="12" fillId="10" borderId="39" xfId="0" applyFont="1" applyFill="1" applyBorder="1" applyAlignment="1">
      <alignment horizontal="center" vertical="center"/>
    </xf>
    <xf numFmtId="164" fontId="4" fillId="0" borderId="35" xfId="1" applyFont="1" applyBorder="1" applyAlignment="1">
      <alignment horizontal="center" vertical="center" wrapText="1"/>
    </xf>
    <xf numFmtId="164" fontId="0" fillId="0" borderId="39" xfId="0" applyNumberFormat="1" applyBorder="1"/>
    <xf numFmtId="0" fontId="4" fillId="5" borderId="38" xfId="0" applyFont="1" applyFill="1" applyBorder="1" applyAlignment="1">
      <alignment horizontal="left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left" vertical="center" wrapText="1"/>
    </xf>
    <xf numFmtId="0" fontId="4" fillId="5" borderId="41" xfId="0" applyFont="1" applyFill="1" applyBorder="1" applyAlignment="1">
      <alignment horizontal="center" vertical="center" wrapText="1"/>
    </xf>
    <xf numFmtId="164" fontId="4" fillId="5" borderId="42" xfId="1" applyFont="1" applyFill="1" applyBorder="1" applyAlignment="1">
      <alignment horizontal="center" vertical="center" wrapText="1"/>
    </xf>
    <xf numFmtId="164" fontId="0" fillId="0" borderId="41" xfId="0" applyNumberFormat="1" applyBorder="1"/>
    <xf numFmtId="0" fontId="13" fillId="0" borderId="4" xfId="0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11" borderId="0" xfId="0" applyFont="1" applyFill="1" applyAlignment="1">
      <alignment horizontal="left" wrapText="1"/>
    </xf>
    <xf numFmtId="0" fontId="15" fillId="0" borderId="0" xfId="0" applyFont="1" applyAlignment="1">
      <alignment horizontal="left"/>
    </xf>
    <xf numFmtId="0" fontId="15" fillId="11" borderId="0" xfId="0" applyFont="1" applyFill="1" applyAlignment="1">
      <alignment horizontal="left"/>
    </xf>
    <xf numFmtId="168" fontId="4" fillId="5" borderId="32" xfId="0" applyNumberFormat="1" applyFont="1" applyFill="1" applyBorder="1" applyAlignment="1">
      <alignment horizontal="right"/>
    </xf>
    <xf numFmtId="0" fontId="12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0" fontId="12" fillId="0" borderId="0" xfId="0" applyFont="1"/>
    <xf numFmtId="0" fontId="12" fillId="0" borderId="17" xfId="0" applyFont="1" applyBorder="1"/>
    <xf numFmtId="165" fontId="12" fillId="0" borderId="4" xfId="0" applyNumberFormat="1" applyFont="1" applyBorder="1" applyAlignment="1">
      <alignment horizontal="right"/>
    </xf>
    <xf numFmtId="0" fontId="12" fillId="0" borderId="13" xfId="0" applyFont="1" applyBorder="1" applyAlignment="1">
      <alignment horizontal="right"/>
    </xf>
    <xf numFmtId="9" fontId="4" fillId="0" borderId="0" xfId="5" applyFont="1" applyAlignment="1">
      <alignment horizontal="center" vertical="center"/>
    </xf>
    <xf numFmtId="9" fontId="4" fillId="11" borderId="0" xfId="0" applyNumberFormat="1" applyFont="1" applyFill="1" applyAlignment="1">
      <alignment horizontal="right"/>
    </xf>
    <xf numFmtId="164" fontId="4" fillId="0" borderId="6" xfId="1" applyFont="1" applyFill="1" applyBorder="1" applyAlignment="1">
      <alignment horizontal="right" vertical="center" wrapText="1"/>
    </xf>
    <xf numFmtId="164" fontId="4" fillId="0" borderId="2" xfId="1" applyFont="1" applyFill="1" applyBorder="1" applyAlignment="1">
      <alignment vertical="center" wrapText="1"/>
    </xf>
    <xf numFmtId="164" fontId="4" fillId="0" borderId="8" xfId="1" applyFont="1" applyFill="1" applyBorder="1" applyAlignment="1">
      <alignment horizontal="right" vertical="center" wrapText="1"/>
    </xf>
    <xf numFmtId="0" fontId="4" fillId="5" borderId="36" xfId="0" applyFont="1" applyFill="1" applyBorder="1" applyAlignment="1">
      <alignment horizontal="left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0" borderId="0" xfId="5" applyNumberFormat="1" applyFont="1" applyAlignment="1">
      <alignment horizontal="right"/>
    </xf>
    <xf numFmtId="0" fontId="4" fillId="5" borderId="5" xfId="0" applyFont="1" applyFill="1" applyBorder="1" applyAlignment="1">
      <alignment horizontal="center" vertical="center" wrapText="1"/>
    </xf>
    <xf numFmtId="168" fontId="4" fillId="0" borderId="3" xfId="0" applyNumberFormat="1" applyFont="1" applyBorder="1" applyAlignment="1">
      <alignment horizontal="right" vertical="center"/>
    </xf>
    <xf numFmtId="168" fontId="4" fillId="0" borderId="31" xfId="0" applyNumberFormat="1" applyFont="1" applyBorder="1" applyAlignment="1">
      <alignment horizontal="right" vertical="center"/>
    </xf>
    <xf numFmtId="168" fontId="4" fillId="5" borderId="12" xfId="0" applyNumberFormat="1" applyFont="1" applyFill="1" applyBorder="1" applyAlignment="1">
      <alignment horizontal="right"/>
    </xf>
    <xf numFmtId="164" fontId="4" fillId="5" borderId="7" xfId="1" applyFont="1" applyFill="1" applyBorder="1" applyAlignment="1">
      <alignment horizontal="right" vertical="center" wrapText="1"/>
    </xf>
    <xf numFmtId="168" fontId="4" fillId="5" borderId="44" xfId="0" applyNumberFormat="1" applyFont="1" applyFill="1" applyBorder="1" applyAlignment="1">
      <alignment horizontal="right"/>
    </xf>
    <xf numFmtId="0" fontId="4" fillId="11" borderId="2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4" fillId="5" borderId="43" xfId="0" applyFont="1" applyFill="1" applyBorder="1" applyAlignment="1">
      <alignment horizontal="center" vertical="center" wrapText="1"/>
    </xf>
    <xf numFmtId="170" fontId="4" fillId="0" borderId="0" xfId="0" applyNumberFormat="1" applyFont="1" applyAlignment="1">
      <alignment horizontal="right"/>
    </xf>
    <xf numFmtId="166" fontId="11" fillId="0" borderId="1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7" fillId="5" borderId="13" xfId="0" applyNumberFormat="1" applyFont="1" applyFill="1" applyBorder="1" applyAlignment="1">
      <alignment horizontal="left" vertical="center" wrapText="1"/>
    </xf>
    <xf numFmtId="164" fontId="11" fillId="0" borderId="6" xfId="1" applyFont="1" applyFill="1" applyBorder="1" applyAlignment="1">
      <alignment horizontal="right" vertical="center" wrapText="1"/>
    </xf>
    <xf numFmtId="164" fontId="9" fillId="0" borderId="0" xfId="0" applyNumberFormat="1" applyFont="1"/>
    <xf numFmtId="0" fontId="20" fillId="5" borderId="8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horizontal="left" vertical="center" wrapText="1"/>
    </xf>
    <xf numFmtId="0" fontId="20" fillId="10" borderId="8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right" vertical="center" wrapText="1"/>
    </xf>
    <xf numFmtId="0" fontId="3" fillId="7" borderId="5" xfId="0" applyFont="1" applyFill="1" applyBorder="1" applyAlignment="1">
      <alignment horizontal="right" vertical="center" wrapText="1"/>
    </xf>
    <xf numFmtId="0" fontId="3" fillId="7" borderId="2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right" vertical="center" wrapText="1"/>
    </xf>
    <xf numFmtId="0" fontId="3" fillId="8" borderId="34" xfId="0" applyFont="1" applyFill="1" applyBorder="1" applyAlignment="1">
      <alignment horizontal="right" vertical="center" wrapText="1"/>
    </xf>
    <xf numFmtId="0" fontId="3" fillId="8" borderId="35" xfId="0" applyFont="1" applyFill="1" applyBorder="1" applyAlignment="1">
      <alignment horizontal="right" vertical="center" wrapText="1"/>
    </xf>
    <xf numFmtId="0" fontId="3" fillId="8" borderId="36" xfId="0" applyFont="1" applyFill="1" applyBorder="1" applyAlignment="1">
      <alignment horizontal="right" vertical="center" wrapText="1"/>
    </xf>
    <xf numFmtId="0" fontId="3" fillId="8" borderId="4" xfId="0" applyFont="1" applyFill="1" applyBorder="1" applyAlignment="1">
      <alignment horizontal="right" vertical="center" wrapText="1"/>
    </xf>
    <xf numFmtId="0" fontId="3" fillId="8" borderId="5" xfId="0" applyFont="1" applyFill="1" applyBorder="1" applyAlignment="1">
      <alignment horizontal="right" vertical="center" wrapText="1"/>
    </xf>
    <xf numFmtId="0" fontId="3" fillId="8" borderId="2" xfId="0" applyFont="1" applyFill="1" applyBorder="1" applyAlignment="1">
      <alignment horizontal="right" vertical="center" wrapText="1"/>
    </xf>
    <xf numFmtId="0" fontId="3" fillId="6" borderId="23" xfId="0" applyFont="1" applyFill="1" applyBorder="1" applyAlignment="1">
      <alignment horizontal="right" vertical="center" wrapText="1"/>
    </xf>
    <xf numFmtId="0" fontId="3" fillId="6" borderId="24" xfId="0" applyFont="1" applyFill="1" applyBorder="1" applyAlignment="1">
      <alignment horizontal="right" vertical="center" wrapText="1"/>
    </xf>
    <xf numFmtId="0" fontId="3" fillId="8" borderId="13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2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3" fillId="6" borderId="7" xfId="0" applyFont="1" applyFill="1" applyBorder="1" applyAlignment="1">
      <alignment horizontal="right" vertical="center" wrapText="1"/>
    </xf>
    <xf numFmtId="0" fontId="3" fillId="7" borderId="11" xfId="0" applyFont="1" applyFill="1" applyBorder="1" applyAlignment="1">
      <alignment horizontal="right" vertical="center" wrapText="1"/>
    </xf>
    <xf numFmtId="0" fontId="3" fillId="7" borderId="12" xfId="0" applyFont="1" applyFill="1" applyBorder="1" applyAlignment="1">
      <alignment horizontal="right" vertical="center" wrapText="1"/>
    </xf>
    <xf numFmtId="0" fontId="3" fillId="6" borderId="11" xfId="0" applyFont="1" applyFill="1" applyBorder="1" applyAlignment="1">
      <alignment horizontal="right" vertical="center" wrapText="1"/>
    </xf>
    <xf numFmtId="0" fontId="3" fillId="6" borderId="12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right" vertical="center" wrapText="1"/>
    </xf>
    <xf numFmtId="0" fontId="3" fillId="6" borderId="15" xfId="0" applyFont="1" applyFill="1" applyBorder="1" applyAlignment="1">
      <alignment horizontal="right"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3" fillId="7" borderId="15" xfId="0" applyFont="1" applyFill="1" applyBorder="1" applyAlignment="1">
      <alignment horizontal="right" vertical="center" wrapText="1"/>
    </xf>
    <xf numFmtId="0" fontId="3" fillId="7" borderId="16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horizontal="center"/>
    </xf>
    <xf numFmtId="0" fontId="5" fillId="3" borderId="13" xfId="0" applyFont="1" applyFill="1" applyBorder="1" applyAlignment="1">
      <alignment horizontal="left" vertical="center" wrapText="1"/>
    </xf>
  </cellXfs>
  <cellStyles count="9">
    <cellStyle name="Moneda" xfId="1" builtinId="4"/>
    <cellStyle name="Moneda 2" xfId="2" xr:uid="{00000000-0005-0000-0000-000001000000}"/>
    <cellStyle name="Moneda 2 2" xfId="6" xr:uid="{35030507-6868-4ADF-BFC1-AC0AF6A6806A}"/>
    <cellStyle name="Moneda 3" xfId="3" xr:uid="{00000000-0005-0000-0000-000002000000}"/>
    <cellStyle name="Moneda 3 2" xfId="7" xr:uid="{E3B65D36-03A1-460A-BB92-7DEF72E689BD}"/>
    <cellStyle name="Moneda 4" xfId="4" xr:uid="{00000000-0005-0000-0000-000003000000}"/>
    <cellStyle name="Moneda 4 2" xfId="8" xr:uid="{BC0D607E-008D-45A5-ABAE-0F8CD9C86109}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men Liliana Reyes Mancia" id="{6B7D2F68-DD92-4E4E-851C-AFA39B3C4B1B}" userId="S::clreyes@unicef.org::93854c4e-8619-4c2d-9512-afe7a86b97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8T00:24:16.04" personId="{6B7D2F68-DD92-4E4E-851C-AFA39B3C4B1B}" id="{53D5E7F5-4774-46BB-BAAD-23AFC4EA6030}">
    <text>Confirmar el número de escuela que participaran.  son 2 por zona? para especificar.</text>
  </threadedComment>
  <threadedComment ref="B48" dT="2022-10-18T00:30:03.04" personId="{6B7D2F68-DD92-4E4E-851C-AFA39B3C4B1B}" id="{36F74E2F-7C1C-44A4-B77D-C7881B66E76B}">
    <text>Confirmar si los % del personal de FUSALMO que apoyará al proyecto no excede el 50% en sumatoria a otros documentos de programa que tengan con nosotros.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B1" zoomScaleNormal="100" workbookViewId="0">
      <pane ySplit="6" topLeftCell="A46" activePane="bottomLeft" state="frozen"/>
      <selection pane="bottomLeft" activeCell="B48" sqref="B48"/>
    </sheetView>
  </sheetViews>
  <sheetFormatPr defaultColWidth="9.140625" defaultRowHeight="12.75"/>
  <cols>
    <col min="1" max="1" width="12.140625" style="141" customWidth="1"/>
    <col min="2" max="2" width="80.42578125" style="4" customWidth="1"/>
    <col min="3" max="3" width="20" style="5" customWidth="1"/>
    <col min="4" max="4" width="11.85546875" style="5" customWidth="1"/>
    <col min="5" max="5" width="16.7109375" style="6" customWidth="1"/>
    <col min="6" max="6" width="21.7109375" style="6" customWidth="1"/>
    <col min="7" max="7" width="19.7109375" style="2" customWidth="1"/>
    <col min="8" max="8" width="22.85546875" style="6" customWidth="1"/>
    <col min="9" max="9" width="16.5703125" style="6" customWidth="1"/>
    <col min="10" max="10" width="15.7109375" style="7" customWidth="1"/>
    <col min="11" max="11" width="49.7109375" style="6" customWidth="1"/>
    <col min="12" max="12" width="9.85546875" style="2" bestFit="1" customWidth="1"/>
    <col min="13" max="16384" width="9.140625" style="2"/>
  </cols>
  <sheetData>
    <row r="1" spans="1:11" ht="14.45" customHeight="1">
      <c r="A1" s="254" t="s">
        <v>0</v>
      </c>
      <c r="B1" s="3"/>
      <c r="C1" s="3"/>
      <c r="D1" s="159"/>
      <c r="E1" s="3"/>
      <c r="F1" s="3"/>
      <c r="G1" s="3"/>
      <c r="H1" s="3"/>
      <c r="I1" s="3"/>
      <c r="J1" s="3"/>
      <c r="K1" s="1"/>
    </row>
    <row r="2" spans="1:11" ht="14.45" customHeight="1">
      <c r="A2" s="257" t="s">
        <v>1</v>
      </c>
      <c r="B2" s="255"/>
      <c r="E2" s="223"/>
      <c r="G2" s="3" t="s">
        <v>2</v>
      </c>
      <c r="H2" s="3"/>
      <c r="I2" s="3"/>
      <c r="J2" s="3"/>
    </row>
    <row r="3" spans="1:11" s="221" customFormat="1" ht="14.45" customHeight="1">
      <c r="A3" s="258" t="s">
        <v>3</v>
      </c>
      <c r="B3" s="256"/>
      <c r="C3" s="268"/>
      <c r="D3" s="233"/>
      <c r="E3" s="269"/>
      <c r="F3" s="233"/>
      <c r="H3" s="220"/>
      <c r="I3" s="220"/>
      <c r="J3" s="222"/>
      <c r="K3" s="220"/>
    </row>
    <row r="4" spans="1:11" ht="14.45" customHeight="1">
      <c r="A4" s="254" t="s">
        <v>4</v>
      </c>
      <c r="C4" s="268"/>
      <c r="E4" s="275"/>
      <c r="F4" s="37"/>
    </row>
    <row r="5" spans="1:11" ht="15" customHeight="1" thickBot="1">
      <c r="F5" s="37"/>
    </row>
    <row r="6" spans="1:11" s="141" customFormat="1" ht="26.25" thickBot="1">
      <c r="A6" s="138" t="s">
        <v>5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139" t="s">
        <v>11</v>
      </c>
      <c r="H6" s="138" t="s">
        <v>12</v>
      </c>
      <c r="I6" s="138" t="s">
        <v>13</v>
      </c>
      <c r="J6" s="140" t="s">
        <v>14</v>
      </c>
      <c r="K6" s="151" t="s">
        <v>15</v>
      </c>
    </row>
    <row r="7" spans="1:11" ht="13.5">
      <c r="A7" s="174" t="s">
        <v>16</v>
      </c>
      <c r="B7" s="302" t="s">
        <v>17</v>
      </c>
      <c r="C7" s="303"/>
      <c r="D7" s="303"/>
      <c r="E7" s="303"/>
      <c r="F7" s="303"/>
      <c r="G7" s="303"/>
      <c r="H7" s="303"/>
      <c r="I7" s="303"/>
      <c r="J7" s="304"/>
      <c r="K7" s="152"/>
    </row>
    <row r="8" spans="1:11" ht="14.45" customHeight="1" thickBot="1">
      <c r="A8" s="176" t="s">
        <v>18</v>
      </c>
      <c r="B8" s="166" t="s">
        <v>19</v>
      </c>
      <c r="C8" s="167"/>
      <c r="D8" s="177"/>
      <c r="E8" s="167"/>
      <c r="F8" s="167"/>
      <c r="G8" s="167"/>
      <c r="H8" s="167"/>
      <c r="I8" s="167"/>
      <c r="J8" s="167"/>
      <c r="K8" s="152"/>
    </row>
    <row r="9" spans="1:11" ht="57" customHeight="1">
      <c r="A9" s="74">
        <v>1.1000000000000001</v>
      </c>
      <c r="B9" s="294" t="s">
        <v>20</v>
      </c>
      <c r="C9" s="172" t="s">
        <v>21</v>
      </c>
      <c r="D9" s="72">
        <v>7</v>
      </c>
      <c r="E9" s="111">
        <f>1200*1.31</f>
        <v>1572</v>
      </c>
      <c r="F9" s="112">
        <f>D9*E9</f>
        <v>11004</v>
      </c>
      <c r="G9" s="111">
        <f>F9/7*3</f>
        <v>4716</v>
      </c>
      <c r="H9" s="111">
        <f>F9/7*3</f>
        <v>4716</v>
      </c>
      <c r="I9" s="111">
        <f>F9/7*1</f>
        <v>1572</v>
      </c>
      <c r="J9" s="173">
        <f>SUM(G9:I9)</f>
        <v>11004</v>
      </c>
      <c r="K9" s="152"/>
    </row>
    <row r="10" spans="1:11" ht="64.5" thickBot="1">
      <c r="A10" s="74">
        <v>1.2</v>
      </c>
      <c r="B10" s="171" t="s">
        <v>22</v>
      </c>
      <c r="C10" s="172" t="s">
        <v>23</v>
      </c>
      <c r="D10" s="72">
        <f>8*6</f>
        <v>48</v>
      </c>
      <c r="E10" s="111">
        <v>7.5</v>
      </c>
      <c r="F10" s="112">
        <f t="shared" ref="F10:F12" si="0">D10*E10</f>
        <v>360</v>
      </c>
      <c r="G10" s="111">
        <f>F10</f>
        <v>360</v>
      </c>
      <c r="H10" s="111"/>
      <c r="I10" s="111"/>
      <c r="J10" s="173">
        <f>SUM(G10:I10)</f>
        <v>360</v>
      </c>
      <c r="K10" s="152"/>
    </row>
    <row r="11" spans="1:11" ht="14.45" customHeight="1" thickBot="1">
      <c r="A11" s="74">
        <v>1.3</v>
      </c>
      <c r="B11" s="55" t="s">
        <v>24</v>
      </c>
      <c r="C11" s="186" t="s">
        <v>21</v>
      </c>
      <c r="D11" s="72">
        <v>12</v>
      </c>
      <c r="E11" s="187">
        <v>50</v>
      </c>
      <c r="F11" s="112">
        <f t="shared" si="0"/>
        <v>600</v>
      </c>
      <c r="G11" s="111">
        <f>F11</f>
        <v>600</v>
      </c>
      <c r="H11" s="111"/>
      <c r="I11" s="111"/>
      <c r="J11" s="173">
        <f>SUM(G11:I11)</f>
        <v>600</v>
      </c>
      <c r="K11" s="152"/>
    </row>
    <row r="12" spans="1:11" ht="14.45" customHeight="1" thickBot="1">
      <c r="A12" s="74">
        <v>1.4</v>
      </c>
      <c r="B12" s="55" t="s">
        <v>25</v>
      </c>
      <c r="C12" s="186" t="s">
        <v>26</v>
      </c>
      <c r="D12" s="72">
        <v>1</v>
      </c>
      <c r="E12" s="187">
        <v>539.79999999999995</v>
      </c>
      <c r="F12" s="112">
        <f t="shared" si="0"/>
        <v>539.79999999999995</v>
      </c>
      <c r="G12" s="111">
        <f>F12</f>
        <v>539.79999999999995</v>
      </c>
      <c r="H12" s="111"/>
      <c r="I12" s="111"/>
      <c r="J12" s="173">
        <f>SUM(G12:I12)</f>
        <v>539.79999999999995</v>
      </c>
      <c r="K12" s="152"/>
    </row>
    <row r="13" spans="1:11" ht="14.45" customHeight="1" thickBot="1">
      <c r="A13" s="178"/>
      <c r="B13" s="305" t="s">
        <v>27</v>
      </c>
      <c r="C13" s="306"/>
      <c r="D13" s="306"/>
      <c r="E13" s="307"/>
      <c r="F13" s="31">
        <f>SUM(F9:F12)</f>
        <v>12503.8</v>
      </c>
      <c r="G13" s="31">
        <f t="shared" ref="G13:I13" si="1">SUM(G9:G12)</f>
        <v>6215.8</v>
      </c>
      <c r="H13" s="31">
        <f t="shared" si="1"/>
        <v>4716</v>
      </c>
      <c r="I13" s="31">
        <f t="shared" si="1"/>
        <v>1572</v>
      </c>
      <c r="J13" s="146">
        <f>SUM(G13:I13)</f>
        <v>12503.8</v>
      </c>
      <c r="K13" s="152"/>
    </row>
    <row r="14" spans="1:11" ht="14.45" customHeight="1" thickBot="1">
      <c r="A14" s="299" t="s">
        <v>28</v>
      </c>
      <c r="B14" s="300"/>
      <c r="C14" s="300"/>
      <c r="D14" s="300"/>
      <c r="E14" s="301"/>
      <c r="F14" s="82">
        <f>F13</f>
        <v>12503.8</v>
      </c>
      <c r="G14" s="115">
        <f>G13</f>
        <v>6215.8</v>
      </c>
      <c r="H14" s="82">
        <f t="shared" ref="H14:I14" si="2">H13</f>
        <v>4716</v>
      </c>
      <c r="I14" s="82">
        <f t="shared" si="2"/>
        <v>1572</v>
      </c>
      <c r="J14" s="147">
        <f>J13</f>
        <v>12503.8</v>
      </c>
      <c r="K14" s="152"/>
    </row>
    <row r="15" spans="1:11" ht="30.75" customHeight="1">
      <c r="A15" s="174" t="s">
        <v>29</v>
      </c>
      <c r="B15" s="302" t="s">
        <v>30</v>
      </c>
      <c r="C15" s="303"/>
      <c r="D15" s="303"/>
      <c r="E15" s="303"/>
      <c r="F15" s="303"/>
      <c r="G15" s="303"/>
      <c r="H15" s="303"/>
      <c r="I15" s="303"/>
      <c r="J15" s="304"/>
      <c r="K15" s="152"/>
    </row>
    <row r="16" spans="1:11" ht="27">
      <c r="A16" s="176" t="s">
        <v>31</v>
      </c>
      <c r="B16" s="166" t="s">
        <v>32</v>
      </c>
      <c r="C16" s="167"/>
      <c r="D16" s="177"/>
      <c r="E16" s="167"/>
      <c r="F16" s="167"/>
      <c r="G16" s="167"/>
      <c r="H16" s="167"/>
      <c r="I16" s="167"/>
      <c r="J16" s="170"/>
      <c r="K16" s="152"/>
    </row>
    <row r="17" spans="1:12" ht="17.25" customHeight="1">
      <c r="A17" s="66">
        <v>2.1</v>
      </c>
      <c r="B17" s="296" t="s">
        <v>33</v>
      </c>
      <c r="C17" s="172" t="s">
        <v>21</v>
      </c>
      <c r="D17" s="56">
        <v>1</v>
      </c>
      <c r="E17" s="57">
        <v>2700</v>
      </c>
      <c r="F17" s="58">
        <f t="shared" ref="F17:F31" si="3">D17*E17</f>
        <v>2700</v>
      </c>
      <c r="G17" s="106">
        <f>F17</f>
        <v>2700</v>
      </c>
      <c r="H17" s="106"/>
      <c r="I17" s="106"/>
      <c r="J17" s="142">
        <f t="shared" ref="J17:J22" si="4">SUM(G17:I17)</f>
        <v>2700</v>
      </c>
      <c r="K17" s="152"/>
    </row>
    <row r="18" spans="1:12" ht="29.25" customHeight="1">
      <c r="A18" s="66">
        <v>2.2000000000000002</v>
      </c>
      <c r="B18" s="55" t="s">
        <v>34</v>
      </c>
      <c r="C18" s="172" t="s">
        <v>21</v>
      </c>
      <c r="D18" s="56">
        <v>3</v>
      </c>
      <c r="E18" s="57">
        <v>800</v>
      </c>
      <c r="F18" s="58">
        <f t="shared" si="3"/>
        <v>2400</v>
      </c>
      <c r="G18" s="106">
        <f>F18</f>
        <v>2400</v>
      </c>
      <c r="H18" s="106"/>
      <c r="I18" s="106"/>
      <c r="J18" s="142">
        <f t="shared" si="4"/>
        <v>2400</v>
      </c>
      <c r="K18" s="152"/>
    </row>
    <row r="19" spans="1:12" ht="36" customHeight="1">
      <c r="A19" s="66">
        <v>2.2999999999999998</v>
      </c>
      <c r="B19" s="297" t="s">
        <v>35</v>
      </c>
      <c r="C19" s="172" t="s">
        <v>21</v>
      </c>
      <c r="D19" s="56">
        <v>4</v>
      </c>
      <c r="E19" s="287">
        <v>800</v>
      </c>
      <c r="F19" s="57">
        <f t="shared" si="3"/>
        <v>3200</v>
      </c>
      <c r="G19" s="106">
        <f>F19/4*3</f>
        <v>2400</v>
      </c>
      <c r="H19" s="106">
        <f>F19/4*1</f>
        <v>800</v>
      </c>
      <c r="I19" s="106"/>
      <c r="J19" s="142">
        <f t="shared" si="4"/>
        <v>3200</v>
      </c>
      <c r="K19" s="152"/>
    </row>
    <row r="20" spans="1:12" ht="39" customHeight="1">
      <c r="A20" s="66">
        <v>2.4</v>
      </c>
      <c r="B20" s="297" t="s">
        <v>36</v>
      </c>
      <c r="C20" s="172" t="s">
        <v>21</v>
      </c>
      <c r="D20" s="56">
        <v>3</v>
      </c>
      <c r="E20" s="287">
        <v>850</v>
      </c>
      <c r="F20" s="57">
        <f t="shared" si="3"/>
        <v>2550</v>
      </c>
      <c r="G20" s="106">
        <f>F20</f>
        <v>2550</v>
      </c>
      <c r="H20" s="106"/>
      <c r="I20" s="106"/>
      <c r="J20" s="142">
        <f t="shared" si="4"/>
        <v>2550</v>
      </c>
      <c r="K20" s="152"/>
    </row>
    <row r="21" spans="1:12" ht="14.25" customHeight="1">
      <c r="A21" s="66">
        <v>2.5</v>
      </c>
      <c r="B21" s="55" t="s">
        <v>37</v>
      </c>
      <c r="C21" s="172" t="s">
        <v>21</v>
      </c>
      <c r="D21" s="56">
        <v>2</v>
      </c>
      <c r="E21" s="57">
        <v>800</v>
      </c>
      <c r="F21" s="57">
        <f t="shared" si="3"/>
        <v>1600</v>
      </c>
      <c r="G21" s="106">
        <f>F21</f>
        <v>1600</v>
      </c>
      <c r="H21" s="106"/>
      <c r="I21" s="106"/>
      <c r="J21" s="142">
        <f t="shared" si="4"/>
        <v>1600</v>
      </c>
      <c r="K21" s="152"/>
    </row>
    <row r="22" spans="1:12" ht="27">
      <c r="A22" s="66">
        <v>2.6</v>
      </c>
      <c r="B22" s="55" t="s">
        <v>38</v>
      </c>
      <c r="C22" s="172" t="s">
        <v>21</v>
      </c>
      <c r="D22" s="56">
        <v>6</v>
      </c>
      <c r="E22" s="57">
        <v>800</v>
      </c>
      <c r="F22" s="57">
        <f t="shared" si="3"/>
        <v>4800</v>
      </c>
      <c r="G22" s="106">
        <f>F22/6*3</f>
        <v>2400</v>
      </c>
      <c r="H22" s="106">
        <f>F22/6*3</f>
        <v>2400</v>
      </c>
      <c r="I22" s="106"/>
      <c r="J22" s="142">
        <f t="shared" si="4"/>
        <v>4800</v>
      </c>
      <c r="K22" s="152"/>
    </row>
    <row r="23" spans="1:12" ht="40.5">
      <c r="A23" s="260">
        <v>2.7</v>
      </c>
      <c r="B23" s="298" t="s">
        <v>39</v>
      </c>
      <c r="C23" s="261" t="s">
        <v>21</v>
      </c>
      <c r="D23" s="262">
        <v>1</v>
      </c>
      <c r="E23" s="263">
        <v>800</v>
      </c>
      <c r="F23" s="57">
        <f t="shared" si="3"/>
        <v>800</v>
      </c>
      <c r="G23" s="106">
        <f>F23</f>
        <v>800</v>
      </c>
      <c r="H23" s="265"/>
      <c r="I23" s="265"/>
      <c r="J23" s="266">
        <v>1600</v>
      </c>
      <c r="K23" s="267"/>
      <c r="L23" s="264"/>
    </row>
    <row r="24" spans="1:12" ht="30.75" customHeight="1">
      <c r="A24" s="66">
        <v>2.8</v>
      </c>
      <c r="B24" s="55" t="s">
        <v>40</v>
      </c>
      <c r="C24" s="172" t="s">
        <v>21</v>
      </c>
      <c r="D24" s="56">
        <v>1</v>
      </c>
      <c r="E24" s="78">
        <v>500</v>
      </c>
      <c r="F24" s="57">
        <f t="shared" si="3"/>
        <v>500</v>
      </c>
      <c r="G24" s="106">
        <f>F24</f>
        <v>500</v>
      </c>
      <c r="H24" s="225"/>
      <c r="I24" s="225"/>
      <c r="J24" s="142">
        <f t="shared" ref="J24:J34" si="5">SUM(G24:I24)</f>
        <v>500</v>
      </c>
      <c r="K24" s="152"/>
    </row>
    <row r="25" spans="1:12" ht="29.25" customHeight="1">
      <c r="A25" s="66">
        <v>2.9</v>
      </c>
      <c r="B25" s="55" t="s">
        <v>41</v>
      </c>
      <c r="C25" s="172" t="s">
        <v>21</v>
      </c>
      <c r="D25" s="56">
        <v>2</v>
      </c>
      <c r="E25" s="78">
        <v>250</v>
      </c>
      <c r="F25" s="57">
        <f t="shared" si="3"/>
        <v>500</v>
      </c>
      <c r="G25" s="106">
        <f>F25</f>
        <v>500</v>
      </c>
      <c r="H25" s="225"/>
      <c r="I25" s="225"/>
      <c r="J25" s="142">
        <f t="shared" si="5"/>
        <v>500</v>
      </c>
      <c r="K25" s="152"/>
    </row>
    <row r="26" spans="1:12" ht="29.25" customHeight="1">
      <c r="A26" s="66" t="s">
        <v>42</v>
      </c>
      <c r="B26" s="55" t="s">
        <v>43</v>
      </c>
      <c r="C26" s="186" t="s">
        <v>21</v>
      </c>
      <c r="D26" s="276">
        <v>1</v>
      </c>
      <c r="E26" s="87">
        <v>1200</v>
      </c>
      <c r="F26" s="58">
        <f>E26*D26</f>
        <v>1200</v>
      </c>
      <c r="G26" s="277">
        <f>F26</f>
        <v>1200</v>
      </c>
      <c r="H26" s="225"/>
      <c r="I26" s="225"/>
      <c r="J26" s="142">
        <f t="shared" si="5"/>
        <v>1200</v>
      </c>
      <c r="K26" s="152"/>
    </row>
    <row r="27" spans="1:12" ht="27.75" customHeight="1" thickBot="1">
      <c r="A27" s="195">
        <v>2.11</v>
      </c>
      <c r="B27" s="55" t="s">
        <v>44</v>
      </c>
      <c r="C27" s="172" t="s">
        <v>45</v>
      </c>
      <c r="D27" s="56">
        <v>8</v>
      </c>
      <c r="E27" s="229">
        <v>100</v>
      </c>
      <c r="F27" s="57">
        <f t="shared" si="3"/>
        <v>800</v>
      </c>
      <c r="G27" s="231">
        <v>800</v>
      </c>
      <c r="H27" s="231"/>
      <c r="I27" s="225"/>
      <c r="J27" s="142">
        <f t="shared" si="5"/>
        <v>800</v>
      </c>
      <c r="K27" s="152"/>
    </row>
    <row r="28" spans="1:12" ht="30.6" customHeight="1" thickBot="1">
      <c r="A28" s="66">
        <v>2.12</v>
      </c>
      <c r="B28" s="226" t="s">
        <v>46</v>
      </c>
      <c r="C28" s="227" t="s">
        <v>47</v>
      </c>
      <c r="D28" s="35">
        <v>1</v>
      </c>
      <c r="E28" s="78">
        <v>1500</v>
      </c>
      <c r="F28" s="57">
        <f t="shared" si="3"/>
        <v>1500</v>
      </c>
      <c r="G28" s="231">
        <f>F28</f>
        <v>1500</v>
      </c>
      <c r="H28" s="232"/>
      <c r="I28" s="225"/>
      <c r="J28" s="142">
        <f t="shared" si="5"/>
        <v>1500</v>
      </c>
      <c r="K28" s="152"/>
    </row>
    <row r="29" spans="1:12" ht="30.6" customHeight="1" thickBot="1">
      <c r="A29" s="66">
        <v>2.13</v>
      </c>
      <c r="B29" s="226" t="s">
        <v>48</v>
      </c>
      <c r="C29" s="227" t="s">
        <v>47</v>
      </c>
      <c r="D29" s="35">
        <v>1</v>
      </c>
      <c r="E29" s="78">
        <v>25</v>
      </c>
      <c r="F29" s="57">
        <f t="shared" si="3"/>
        <v>25</v>
      </c>
      <c r="G29" s="231">
        <f>F29</f>
        <v>25</v>
      </c>
      <c r="H29" s="232"/>
      <c r="I29" s="225"/>
      <c r="J29" s="142">
        <f t="shared" si="5"/>
        <v>25</v>
      </c>
      <c r="K29" s="152"/>
    </row>
    <row r="30" spans="1:12" ht="30.6" customHeight="1" thickBot="1">
      <c r="A30" s="66">
        <v>2.14</v>
      </c>
      <c r="B30" s="226" t="s">
        <v>49</v>
      </c>
      <c r="C30" s="227" t="s">
        <v>47</v>
      </c>
      <c r="D30" s="35">
        <v>1</v>
      </c>
      <c r="E30" s="78">
        <v>80</v>
      </c>
      <c r="F30" s="57">
        <f t="shared" si="3"/>
        <v>80</v>
      </c>
      <c r="G30" s="231">
        <f>F30</f>
        <v>80</v>
      </c>
      <c r="H30" s="232"/>
      <c r="I30" s="225"/>
      <c r="J30" s="142">
        <f t="shared" si="5"/>
        <v>80</v>
      </c>
      <c r="K30" s="152"/>
    </row>
    <row r="31" spans="1:12" ht="27" customHeight="1" thickBot="1">
      <c r="A31" s="195">
        <v>2.15</v>
      </c>
      <c r="B31" s="226" t="s">
        <v>50</v>
      </c>
      <c r="C31" s="227" t="s">
        <v>47</v>
      </c>
      <c r="D31" s="35">
        <v>2</v>
      </c>
      <c r="E31" s="78">
        <v>1500</v>
      </c>
      <c r="F31" s="57">
        <f t="shared" si="3"/>
        <v>3000</v>
      </c>
      <c r="G31" s="231">
        <f>F31</f>
        <v>3000</v>
      </c>
      <c r="H31" s="232"/>
      <c r="I31" s="225"/>
      <c r="J31" s="142">
        <f t="shared" si="5"/>
        <v>3000</v>
      </c>
      <c r="K31" s="152"/>
    </row>
    <row r="32" spans="1:12" ht="30.6" customHeight="1" thickBot="1">
      <c r="A32" s="66">
        <v>2.16</v>
      </c>
      <c r="B32" s="55" t="s">
        <v>51</v>
      </c>
      <c r="C32" s="172" t="s">
        <v>47</v>
      </c>
      <c r="D32" s="56">
        <v>4</v>
      </c>
      <c r="E32" s="78">
        <f>60*10</f>
        <v>600</v>
      </c>
      <c r="F32" s="57"/>
      <c r="G32" s="278"/>
      <c r="H32" s="232"/>
      <c r="I32" s="225"/>
      <c r="J32" s="142">
        <f t="shared" si="5"/>
        <v>0</v>
      </c>
      <c r="K32" s="152"/>
    </row>
    <row r="33" spans="1:11" ht="28.5" customHeight="1" thickBot="1">
      <c r="A33" s="66">
        <v>2.17</v>
      </c>
      <c r="B33" s="55" t="s">
        <v>52</v>
      </c>
      <c r="C33" s="186" t="s">
        <v>47</v>
      </c>
      <c r="D33" s="56">
        <v>1</v>
      </c>
      <c r="E33" s="188">
        <v>150</v>
      </c>
      <c r="F33" s="149"/>
      <c r="G33" s="87"/>
      <c r="H33" s="123"/>
      <c r="I33" s="123"/>
      <c r="J33" s="203">
        <f t="shared" si="5"/>
        <v>0</v>
      </c>
      <c r="K33" s="152"/>
    </row>
    <row r="34" spans="1:11" ht="14.45" customHeight="1" thickBot="1">
      <c r="A34" s="178"/>
      <c r="B34" s="305" t="s">
        <v>53</v>
      </c>
      <c r="C34" s="306"/>
      <c r="D34" s="306"/>
      <c r="E34" s="307"/>
      <c r="F34" s="31">
        <f>SUM(F17:F33)</f>
        <v>25655</v>
      </c>
      <c r="G34" s="31">
        <f>SUM(G17:G32)</f>
        <v>22455</v>
      </c>
      <c r="H34" s="31">
        <f>SUM(H17:H32)</f>
        <v>3200</v>
      </c>
      <c r="I34" s="31">
        <f>SUM(I17:I22)</f>
        <v>0</v>
      </c>
      <c r="J34" s="31">
        <f t="shared" si="5"/>
        <v>25655</v>
      </c>
      <c r="K34" s="152"/>
    </row>
    <row r="35" spans="1:11" ht="19.5" customHeight="1" thickBot="1">
      <c r="A35" s="299" t="s">
        <v>54</v>
      </c>
      <c r="B35" s="300"/>
      <c r="C35" s="300"/>
      <c r="D35" s="300"/>
      <c r="E35" s="301"/>
      <c r="F35" s="69">
        <f>F34</f>
        <v>25655</v>
      </c>
      <c r="G35" s="69">
        <f t="shared" ref="G35:I35" si="6">G34</f>
        <v>22455</v>
      </c>
      <c r="H35" s="69">
        <f t="shared" si="6"/>
        <v>3200</v>
      </c>
      <c r="I35" s="69">
        <f t="shared" si="6"/>
        <v>0</v>
      </c>
      <c r="J35" s="144">
        <f>J34</f>
        <v>25655</v>
      </c>
      <c r="K35" s="152"/>
    </row>
    <row r="36" spans="1:11" ht="16.5" customHeight="1">
      <c r="A36" s="179" t="s">
        <v>55</v>
      </c>
      <c r="B36" s="302" t="s">
        <v>56</v>
      </c>
      <c r="C36" s="303"/>
      <c r="D36" s="303"/>
      <c r="E36" s="303"/>
      <c r="F36" s="303"/>
      <c r="G36" s="165"/>
      <c r="H36" s="165"/>
      <c r="I36" s="165"/>
      <c r="J36" s="165"/>
      <c r="K36" s="152"/>
    </row>
    <row r="37" spans="1:11" ht="32.25" customHeight="1">
      <c r="A37" s="176" t="s">
        <v>57</v>
      </c>
      <c r="B37" s="166" t="s">
        <v>58</v>
      </c>
      <c r="C37" s="167"/>
      <c r="D37" s="177"/>
      <c r="E37" s="167"/>
      <c r="F37" s="167"/>
      <c r="G37" s="167"/>
      <c r="H37" s="167"/>
      <c r="I37" s="167"/>
      <c r="J37" s="167"/>
      <c r="K37" s="152"/>
    </row>
    <row r="38" spans="1:11" ht="37.5" customHeight="1" thickBot="1">
      <c r="A38" s="66">
        <v>3.1</v>
      </c>
      <c r="B38" s="83" t="s">
        <v>59</v>
      </c>
      <c r="C38" s="186" t="s">
        <v>60</v>
      </c>
      <c r="D38" s="84">
        <v>100</v>
      </c>
      <c r="E38" s="188">
        <v>2</v>
      </c>
      <c r="F38" s="86">
        <f t="shared" ref="F38:F40" si="7">D38*E38</f>
        <v>200</v>
      </c>
      <c r="G38" s="86">
        <f>F38</f>
        <v>200</v>
      </c>
      <c r="H38" s="14"/>
      <c r="I38" s="14"/>
      <c r="J38" s="203">
        <f>SUM(G38:I38)</f>
        <v>200</v>
      </c>
      <c r="K38" s="152"/>
    </row>
    <row r="39" spans="1:11" ht="14.45" customHeight="1" thickBot="1">
      <c r="A39" s="66">
        <v>3.2</v>
      </c>
      <c r="B39" s="55" t="s">
        <v>61</v>
      </c>
      <c r="C39" s="186" t="s">
        <v>60</v>
      </c>
      <c r="D39" s="84">
        <v>3</v>
      </c>
      <c r="E39" s="188">
        <v>400</v>
      </c>
      <c r="F39" s="86">
        <f t="shared" si="7"/>
        <v>1200</v>
      </c>
      <c r="G39" s="280"/>
      <c r="H39" s="14">
        <v>1200</v>
      </c>
      <c r="I39" s="14"/>
      <c r="J39" s="203">
        <f>SUM(G39:I39)</f>
        <v>1200</v>
      </c>
      <c r="K39" s="152"/>
    </row>
    <row r="40" spans="1:11" ht="27.75" customHeight="1" thickBot="1">
      <c r="A40" s="66">
        <v>3.3</v>
      </c>
      <c r="B40" s="55" t="s">
        <v>62</v>
      </c>
      <c r="C40" s="186" t="s">
        <v>60</v>
      </c>
      <c r="D40" s="84">
        <v>30</v>
      </c>
      <c r="E40" s="188">
        <v>15</v>
      </c>
      <c r="F40" s="149">
        <f t="shared" si="7"/>
        <v>450</v>
      </c>
      <c r="G40" s="281"/>
      <c r="H40" s="279">
        <f>F40</f>
        <v>450</v>
      </c>
      <c r="I40" s="259"/>
      <c r="J40" s="203">
        <f>SUM(G40:I40)</f>
        <v>450</v>
      </c>
      <c r="K40" s="152"/>
    </row>
    <row r="41" spans="1:11" ht="14.45" customHeight="1" thickBot="1">
      <c r="A41" s="178"/>
      <c r="B41" s="305" t="s">
        <v>63</v>
      </c>
      <c r="C41" s="306"/>
      <c r="D41" s="306"/>
      <c r="E41" s="307"/>
      <c r="F41" s="31">
        <f t="shared" ref="F41:I41" si="8">SUM(F38:F40)</f>
        <v>1850</v>
      </c>
      <c r="G41" s="88">
        <f t="shared" si="8"/>
        <v>200</v>
      </c>
      <c r="H41" s="143">
        <f t="shared" si="8"/>
        <v>1650</v>
      </c>
      <c r="I41" s="31">
        <f t="shared" si="8"/>
        <v>0</v>
      </c>
      <c r="J41" s="143">
        <f>SUM(G41:I41)</f>
        <v>1850</v>
      </c>
      <c r="K41" s="152"/>
    </row>
    <row r="42" spans="1:11" ht="15.75" customHeight="1" thickBot="1">
      <c r="A42" s="299" t="s">
        <v>64</v>
      </c>
      <c r="B42" s="300"/>
      <c r="C42" s="300"/>
      <c r="D42" s="300"/>
      <c r="E42" s="301"/>
      <c r="F42" s="70">
        <f>F41</f>
        <v>1850</v>
      </c>
      <c r="G42" s="110">
        <f>G41</f>
        <v>200</v>
      </c>
      <c r="H42" s="70">
        <f t="shared" ref="H42" si="9">H41</f>
        <v>1650</v>
      </c>
      <c r="I42" s="70">
        <f>I41</f>
        <v>0</v>
      </c>
      <c r="J42" s="144">
        <f>J41</f>
        <v>1850</v>
      </c>
      <c r="K42" s="152"/>
    </row>
    <row r="43" spans="1:11" ht="42" customHeight="1">
      <c r="A43" s="179" t="s">
        <v>65</v>
      </c>
      <c r="B43" s="302" t="s">
        <v>66</v>
      </c>
      <c r="C43" s="303"/>
      <c r="D43" s="303"/>
      <c r="E43" s="303"/>
      <c r="F43" s="303"/>
      <c r="G43" s="165"/>
      <c r="H43" s="165"/>
      <c r="I43" s="165"/>
      <c r="J43" s="165"/>
      <c r="K43" s="152"/>
    </row>
    <row r="44" spans="1:11" ht="36" customHeight="1">
      <c r="A44" s="176" t="s">
        <v>67</v>
      </c>
      <c r="B44" s="205" t="s">
        <v>68</v>
      </c>
      <c r="C44" s="167"/>
      <c r="D44" s="177"/>
      <c r="E44" s="167"/>
      <c r="F44" s="167"/>
      <c r="G44" s="169"/>
      <c r="H44" s="169"/>
      <c r="I44" s="169"/>
      <c r="J44" s="167"/>
      <c r="K44" s="152"/>
    </row>
    <row r="45" spans="1:11" ht="48" customHeight="1" thickBot="1">
      <c r="A45" s="66">
        <v>4.0999999999999996</v>
      </c>
      <c r="B45" s="55" t="s">
        <v>69</v>
      </c>
      <c r="C45" s="156" t="s">
        <v>21</v>
      </c>
      <c r="D45" s="56">
        <v>3</v>
      </c>
      <c r="E45" s="86">
        <v>700</v>
      </c>
      <c r="F45" s="57">
        <f>D45*E45</f>
        <v>2100</v>
      </c>
      <c r="G45" s="206"/>
      <c r="H45" s="206">
        <f>F45/2</f>
        <v>1050</v>
      </c>
      <c r="I45" s="206">
        <v>1050</v>
      </c>
      <c r="J45" s="145">
        <f>SUM(G45:I45)</f>
        <v>2100</v>
      </c>
      <c r="K45" s="152"/>
    </row>
    <row r="46" spans="1:11" ht="14.45" customHeight="1" thickBot="1">
      <c r="A46" s="178"/>
      <c r="B46" s="305" t="s">
        <v>70</v>
      </c>
      <c r="C46" s="306"/>
      <c r="D46" s="306"/>
      <c r="E46" s="307"/>
      <c r="F46" s="88">
        <f>SUM(F45:F45)</f>
        <v>2100</v>
      </c>
      <c r="G46" s="204">
        <f>SUM(G45:G45)</f>
        <v>0</v>
      </c>
      <c r="H46" s="204">
        <f>SUM(H45:H45)</f>
        <v>1050</v>
      </c>
      <c r="I46" s="194">
        <f>SUM(I45:I45)</f>
        <v>1050</v>
      </c>
      <c r="J46" s="143">
        <f>SUM(G46:I46)</f>
        <v>2100</v>
      </c>
      <c r="K46" s="152"/>
    </row>
    <row r="47" spans="1:11" ht="14.45" customHeight="1" thickBot="1">
      <c r="A47" s="299" t="s">
        <v>71</v>
      </c>
      <c r="B47" s="300"/>
      <c r="C47" s="300"/>
      <c r="D47" s="300"/>
      <c r="E47" s="301"/>
      <c r="F47" s="82">
        <f>F46</f>
        <v>2100</v>
      </c>
      <c r="G47" s="82">
        <f>G46</f>
        <v>0</v>
      </c>
      <c r="H47" s="82">
        <f>H46</f>
        <v>1050</v>
      </c>
      <c r="I47" s="82">
        <f t="shared" ref="I47" si="10">I46</f>
        <v>1050</v>
      </c>
      <c r="J47" s="82">
        <f>SUM(G47:I47)</f>
        <v>2100</v>
      </c>
      <c r="K47" s="152"/>
    </row>
    <row r="48" spans="1:11" ht="15.75" customHeight="1">
      <c r="A48" s="179" t="s">
        <v>72</v>
      </c>
      <c r="B48" s="295" t="s">
        <v>73</v>
      </c>
      <c r="C48" s="165"/>
      <c r="D48" s="175"/>
      <c r="E48" s="165"/>
      <c r="F48" s="165"/>
      <c r="G48" s="165"/>
      <c r="H48" s="165"/>
      <c r="I48" s="165"/>
      <c r="J48" s="165"/>
      <c r="K48" s="152"/>
    </row>
    <row r="49" spans="1:12" ht="26.25" thickBot="1">
      <c r="A49" s="180" t="s">
        <v>74</v>
      </c>
      <c r="B49" s="168" t="s">
        <v>75</v>
      </c>
      <c r="C49" s="169"/>
      <c r="D49" s="181"/>
      <c r="E49" s="169"/>
      <c r="F49" s="169"/>
      <c r="G49" s="169"/>
      <c r="H49" s="169"/>
      <c r="I49" s="169"/>
      <c r="J49" s="169"/>
      <c r="K49" s="152"/>
    </row>
    <row r="50" spans="1:12" s="208" customFormat="1" ht="26.25" thickBot="1">
      <c r="A50" s="56" t="s">
        <v>76</v>
      </c>
      <c r="B50" s="127" t="s">
        <v>77</v>
      </c>
      <c r="C50" s="172" t="s">
        <v>21</v>
      </c>
      <c r="D50" s="128">
        <v>1</v>
      </c>
      <c r="E50" s="89">
        <v>200</v>
      </c>
      <c r="F50" s="89"/>
      <c r="G50" s="129"/>
      <c r="H50" s="206"/>
      <c r="I50" s="206"/>
      <c r="J50" s="148">
        <f t="shared" ref="J50:J56" si="11">SUM(G50:I50)</f>
        <v>0</v>
      </c>
      <c r="K50" s="207"/>
    </row>
    <row r="51" spans="1:12" ht="34.5" customHeight="1" thickBot="1">
      <c r="A51" s="84" t="s">
        <v>78</v>
      </c>
      <c r="B51" s="283" t="s">
        <v>79</v>
      </c>
      <c r="C51" s="172" t="s">
        <v>21</v>
      </c>
      <c r="D51" s="84">
        <v>7</v>
      </c>
      <c r="E51" s="86">
        <v>150</v>
      </c>
      <c r="F51" s="86">
        <f>E51*D51</f>
        <v>1050</v>
      </c>
      <c r="G51" s="129">
        <f>F51/7*3</f>
        <v>450</v>
      </c>
      <c r="H51" s="206">
        <f>F51/7*3</f>
        <v>450</v>
      </c>
      <c r="I51" s="206">
        <f>F51/7*1</f>
        <v>150</v>
      </c>
      <c r="J51" s="149">
        <f t="shared" si="11"/>
        <v>1050</v>
      </c>
      <c r="K51" s="152"/>
    </row>
    <row r="52" spans="1:12" s="99" customFormat="1" ht="34.5" customHeight="1" thickBot="1">
      <c r="A52" s="72" t="s">
        <v>80</v>
      </c>
      <c r="B52" s="284" t="s">
        <v>81</v>
      </c>
      <c r="C52" s="227" t="s">
        <v>21</v>
      </c>
      <c r="D52" s="72">
        <v>7</v>
      </c>
      <c r="E52" s="292">
        <v>128.57</v>
      </c>
      <c r="F52" s="292">
        <f>D52*E52</f>
        <v>899.99</v>
      </c>
      <c r="G52" s="271">
        <f>F52/7*3</f>
        <v>385.71</v>
      </c>
      <c r="H52" s="206">
        <f>F52/7*3</f>
        <v>385.71</v>
      </c>
      <c r="I52" s="206">
        <f>F52/7*1</f>
        <v>128.57</v>
      </c>
      <c r="J52" s="272">
        <f t="shared" si="11"/>
        <v>899.99</v>
      </c>
      <c r="K52" s="153"/>
      <c r="L52" s="293"/>
    </row>
    <row r="53" spans="1:12" ht="35.25" customHeight="1" thickBot="1">
      <c r="A53" s="72" t="s">
        <v>82</v>
      </c>
      <c r="B53" s="284" t="s">
        <v>83</v>
      </c>
      <c r="C53" s="227" t="s">
        <v>21</v>
      </c>
      <c r="D53" s="72">
        <v>7</v>
      </c>
      <c r="E53" s="270">
        <v>90</v>
      </c>
      <c r="F53" s="270">
        <f>D53*E53</f>
        <v>630</v>
      </c>
      <c r="G53" s="271">
        <f>F53/7*3</f>
        <v>270</v>
      </c>
      <c r="H53" s="206">
        <f>F53/7*3</f>
        <v>270</v>
      </c>
      <c r="I53" s="206">
        <f>F53/7*1</f>
        <v>90</v>
      </c>
      <c r="J53" s="272">
        <f t="shared" si="11"/>
        <v>630</v>
      </c>
      <c r="K53" s="152"/>
    </row>
    <row r="54" spans="1:12" ht="35.25" customHeight="1" thickBot="1">
      <c r="A54" s="84" t="s">
        <v>84</v>
      </c>
      <c r="B54" s="83" t="s">
        <v>85</v>
      </c>
      <c r="C54" s="172" t="s">
        <v>21</v>
      </c>
      <c r="D54" s="84">
        <v>7</v>
      </c>
      <c r="E54" s="86">
        <v>300</v>
      </c>
      <c r="F54" s="86"/>
      <c r="G54" s="13"/>
      <c r="H54" s="13"/>
      <c r="I54" s="13"/>
      <c r="J54" s="149">
        <f t="shared" si="11"/>
        <v>0</v>
      </c>
      <c r="K54" s="152"/>
    </row>
    <row r="55" spans="1:12" ht="35.25" customHeight="1" thickBot="1">
      <c r="A55" s="84" t="s">
        <v>86</v>
      </c>
      <c r="B55" s="83" t="s">
        <v>87</v>
      </c>
      <c r="C55" s="172" t="s">
        <v>21</v>
      </c>
      <c r="D55" s="84">
        <v>7</v>
      </c>
      <c r="E55" s="86">
        <v>200</v>
      </c>
      <c r="F55" s="86"/>
      <c r="G55" s="13"/>
      <c r="H55" s="13"/>
      <c r="I55" s="13"/>
      <c r="J55" s="149">
        <f t="shared" si="11"/>
        <v>0</v>
      </c>
      <c r="K55" s="152"/>
    </row>
    <row r="56" spans="1:12" ht="15.75" customHeight="1" thickBot="1">
      <c r="A56" s="182"/>
      <c r="B56" s="314" t="s">
        <v>88</v>
      </c>
      <c r="C56" s="306"/>
      <c r="D56" s="306"/>
      <c r="E56" s="307"/>
      <c r="F56" s="31">
        <f>SUM(F50:F55)</f>
        <v>2579.9899999999998</v>
      </c>
      <c r="G56" s="31">
        <f t="shared" ref="G56:I56" si="12">SUM(G50:G55)</f>
        <v>1105.71</v>
      </c>
      <c r="H56" s="31">
        <f t="shared" si="12"/>
        <v>1105.71</v>
      </c>
      <c r="I56" s="31">
        <f t="shared" si="12"/>
        <v>368.57</v>
      </c>
      <c r="J56" s="31">
        <f t="shared" si="11"/>
        <v>2579.9900000000002</v>
      </c>
      <c r="K56" s="154"/>
    </row>
    <row r="57" spans="1:12" ht="26.25" thickBot="1">
      <c r="A57" s="176" t="s">
        <v>89</v>
      </c>
      <c r="B57" s="166" t="s">
        <v>90</v>
      </c>
      <c r="C57" s="167"/>
      <c r="D57" s="177"/>
      <c r="E57" s="167"/>
      <c r="F57" s="167"/>
      <c r="G57" s="167"/>
      <c r="H57" s="167"/>
      <c r="I57" s="167"/>
      <c r="J57" s="167"/>
      <c r="K57" s="152"/>
    </row>
    <row r="58" spans="1:12" s="132" customFormat="1" ht="36.75" customHeight="1" thickBot="1">
      <c r="A58" s="27" t="s">
        <v>91</v>
      </c>
      <c r="B58" s="127" t="s">
        <v>92</v>
      </c>
      <c r="C58" s="172" t="s">
        <v>93</v>
      </c>
      <c r="D58" s="27">
        <v>7</v>
      </c>
      <c r="E58" s="57">
        <v>300</v>
      </c>
      <c r="F58" s="86">
        <f>D58*E58</f>
        <v>2100</v>
      </c>
      <c r="G58" s="117">
        <f>F58/7*3</f>
        <v>900</v>
      </c>
      <c r="H58" s="87">
        <f>F58/7*3</f>
        <v>900</v>
      </c>
      <c r="I58" s="87">
        <f>F58/7*1</f>
        <v>300</v>
      </c>
      <c r="J58" s="150">
        <f>SUM(G58:I58)</f>
        <v>2100</v>
      </c>
      <c r="K58" s="155"/>
    </row>
    <row r="59" spans="1:12" ht="30.75" customHeight="1" thickBot="1">
      <c r="A59" s="282" t="s">
        <v>94</v>
      </c>
      <c r="B59" s="127" t="s">
        <v>95</v>
      </c>
      <c r="C59" s="218" t="s">
        <v>96</v>
      </c>
      <c r="D59" s="27">
        <v>7</v>
      </c>
      <c r="E59" s="57">
        <f>250/2</f>
        <v>125</v>
      </c>
      <c r="F59" s="86">
        <f>D59*E59</f>
        <v>875</v>
      </c>
      <c r="G59" s="117">
        <f>F59/7*3</f>
        <v>375</v>
      </c>
      <c r="H59" s="87">
        <f>F59/7*3</f>
        <v>375</v>
      </c>
      <c r="I59" s="87">
        <f>F59/7*1</f>
        <v>125</v>
      </c>
      <c r="J59" s="150">
        <f>SUM(G59:I59)</f>
        <v>875</v>
      </c>
      <c r="K59" s="154"/>
    </row>
    <row r="60" spans="1:12" ht="15.75" customHeight="1" thickBot="1">
      <c r="A60" s="183"/>
      <c r="B60" s="314" t="s">
        <v>97</v>
      </c>
      <c r="C60" s="306"/>
      <c r="D60" s="306"/>
      <c r="E60" s="307"/>
      <c r="F60" s="31">
        <f>SUM(F58:F59)</f>
        <v>2975</v>
      </c>
      <c r="G60" s="118">
        <f t="shared" ref="G60:I60" si="13">SUM(G58:G59)</f>
        <v>1275</v>
      </c>
      <c r="H60" s="29">
        <f t="shared" si="13"/>
        <v>1275</v>
      </c>
      <c r="I60" s="29">
        <f t="shared" si="13"/>
        <v>425</v>
      </c>
      <c r="J60" s="126">
        <f>SUM(G60:I60)</f>
        <v>2975</v>
      </c>
      <c r="K60" s="154"/>
    </row>
    <row r="61" spans="1:12" ht="35.450000000000003" customHeight="1" thickBot="1">
      <c r="A61" s="180" t="s">
        <v>98</v>
      </c>
      <c r="B61" s="163" t="s">
        <v>99</v>
      </c>
      <c r="C61" s="164"/>
      <c r="D61" s="184"/>
      <c r="E61" s="164"/>
      <c r="F61" s="164"/>
      <c r="G61" s="164"/>
      <c r="H61" s="164"/>
      <c r="I61" s="164"/>
      <c r="J61" s="164"/>
      <c r="K61" s="152"/>
    </row>
    <row r="62" spans="1:12" ht="29.25" customHeight="1" thickBot="1">
      <c r="A62" s="35" t="s">
        <v>100</v>
      </c>
      <c r="B62" s="34" t="s">
        <v>101</v>
      </c>
      <c r="C62" s="172" t="s">
        <v>21</v>
      </c>
      <c r="D62" s="35">
        <v>7</v>
      </c>
      <c r="E62" s="57">
        <v>350</v>
      </c>
      <c r="F62" s="87"/>
      <c r="G62" s="117"/>
      <c r="H62" s="87"/>
      <c r="I62" s="87"/>
      <c r="J62" s="150">
        <f>SUM(G62:I62)</f>
        <v>0</v>
      </c>
      <c r="K62" s="152"/>
    </row>
    <row r="63" spans="1:12" s="99" customFormat="1" ht="26.25" thickBot="1">
      <c r="A63" s="35" t="s">
        <v>102</v>
      </c>
      <c r="B63" s="34" t="s">
        <v>103</v>
      </c>
      <c r="C63" s="172" t="s">
        <v>21</v>
      </c>
      <c r="D63" s="104">
        <v>6</v>
      </c>
      <c r="E63" s="57">
        <v>350</v>
      </c>
      <c r="F63" s="86"/>
      <c r="G63" s="117">
        <f>F63/6*3</f>
        <v>0</v>
      </c>
      <c r="H63" s="117">
        <f>F63/6*3</f>
        <v>0</v>
      </c>
      <c r="I63" s="117"/>
      <c r="J63" s="150">
        <f>SUM(G63:I63)</f>
        <v>0</v>
      </c>
      <c r="K63" s="153"/>
    </row>
    <row r="64" spans="1:12" ht="15.75" customHeight="1" thickBot="1">
      <c r="A64" s="183"/>
      <c r="B64" s="314" t="s">
        <v>104</v>
      </c>
      <c r="C64" s="306"/>
      <c r="D64" s="306"/>
      <c r="E64" s="315"/>
      <c r="F64" s="29">
        <f>SUM(F62:F63)</f>
        <v>0</v>
      </c>
      <c r="G64" s="29">
        <f t="shared" ref="G64:I64" si="14">SUM(G62:G63)</f>
        <v>0</v>
      </c>
      <c r="H64" s="29">
        <f t="shared" si="14"/>
        <v>0</v>
      </c>
      <c r="I64" s="29">
        <f t="shared" si="14"/>
        <v>0</v>
      </c>
      <c r="J64" s="146">
        <f>SUM(G64:I64)</f>
        <v>0</v>
      </c>
      <c r="K64" s="154"/>
    </row>
    <row r="65" spans="1:11" ht="15.75" customHeight="1" thickBot="1">
      <c r="A65" s="299" t="s">
        <v>105</v>
      </c>
      <c r="B65" s="300"/>
      <c r="C65" s="300"/>
      <c r="D65" s="300"/>
      <c r="E65" s="301"/>
      <c r="F65" s="36">
        <f>F64+F60+F56</f>
        <v>5554.99</v>
      </c>
      <c r="G65" s="36">
        <f>G64+G60+G56</f>
        <v>2380.71</v>
      </c>
      <c r="H65" s="36">
        <f t="shared" ref="H65:I65" si="15">H64+H60+H56</f>
        <v>2380.71</v>
      </c>
      <c r="I65" s="36">
        <f t="shared" si="15"/>
        <v>793.56999999999994</v>
      </c>
      <c r="J65" s="36">
        <f>J64+J60+J56</f>
        <v>5554.99</v>
      </c>
      <c r="K65" s="152"/>
    </row>
    <row r="66" spans="1:11" ht="27.75" customHeight="1" thickBot="1">
      <c r="A66" s="311" t="s">
        <v>106</v>
      </c>
      <c r="B66" s="312"/>
      <c r="C66" s="312"/>
      <c r="D66" s="312"/>
      <c r="E66" s="313"/>
      <c r="F66" s="224">
        <f>F35+F42+F65+F47+F14</f>
        <v>47663.789999999994</v>
      </c>
      <c r="G66" s="224">
        <f>G35+G42+G65+G47+G14</f>
        <v>31251.51</v>
      </c>
      <c r="H66" s="224">
        <f>H35+H42+H65+H47+H14</f>
        <v>12996.71</v>
      </c>
      <c r="I66" s="224">
        <f>I35+I42+I65+I47+I14</f>
        <v>3415.5699999999997</v>
      </c>
      <c r="J66" s="90">
        <f>J35+J42+J65+J47+J14</f>
        <v>47663.789999999994</v>
      </c>
      <c r="K66" s="152"/>
    </row>
    <row r="67" spans="1:11" ht="14.45" customHeight="1">
      <c r="A67" s="158"/>
      <c r="F67" s="228"/>
    </row>
    <row r="68" spans="1:11">
      <c r="H68" s="286">
        <f>G66+H66+I66</f>
        <v>47663.79</v>
      </c>
    </row>
    <row r="69" spans="1:11" ht="38.25" customHeight="1">
      <c r="A69" s="185" t="s">
        <v>107</v>
      </c>
      <c r="B69" s="162"/>
      <c r="C69" s="162"/>
      <c r="D69" s="185"/>
      <c r="E69" s="162"/>
      <c r="F69" s="162"/>
      <c r="G69" s="121"/>
    </row>
    <row r="70" spans="1:11" ht="14.45" customHeight="1">
      <c r="A70" s="93"/>
      <c r="B70" s="92" t="s">
        <v>108</v>
      </c>
      <c r="C70" s="93" t="s">
        <v>7</v>
      </c>
      <c r="D70" s="93" t="s">
        <v>8</v>
      </c>
      <c r="E70" s="94" t="s">
        <v>109</v>
      </c>
      <c r="F70" s="94" t="s">
        <v>110</v>
      </c>
      <c r="G70" s="121"/>
    </row>
    <row r="71" spans="1:11" s="20" customFormat="1" ht="14.45" customHeight="1">
      <c r="A71" s="209"/>
      <c r="B71" s="210" t="s">
        <v>29</v>
      </c>
      <c r="C71" s="217"/>
      <c r="D71" s="202"/>
      <c r="E71" s="219"/>
      <c r="F71" s="216"/>
      <c r="G71" s="192"/>
      <c r="H71" s="19"/>
      <c r="I71" s="19"/>
      <c r="J71" s="193"/>
      <c r="K71" s="19"/>
    </row>
    <row r="72" spans="1:11" s="20" customFormat="1" ht="36" customHeight="1">
      <c r="A72" s="209">
        <v>2.15</v>
      </c>
      <c r="B72" s="135" t="s">
        <v>51</v>
      </c>
      <c r="C72" s="217" t="s">
        <v>47</v>
      </c>
      <c r="D72" s="202">
        <v>4</v>
      </c>
      <c r="E72" s="230">
        <v>600</v>
      </c>
      <c r="F72" s="230">
        <f>E72*D72</f>
        <v>2400</v>
      </c>
      <c r="G72" s="192"/>
      <c r="H72" s="19"/>
      <c r="I72" s="19"/>
      <c r="J72" s="193"/>
      <c r="K72" s="19"/>
    </row>
    <row r="73" spans="1:11" s="20" customFormat="1" ht="25.5">
      <c r="A73" s="209">
        <v>2.16</v>
      </c>
      <c r="B73" s="135" t="s">
        <v>52</v>
      </c>
      <c r="C73" s="217" t="s">
        <v>47</v>
      </c>
      <c r="D73" s="196">
        <v>1</v>
      </c>
      <c r="E73" s="291">
        <v>150</v>
      </c>
      <c r="F73" s="230">
        <f>E73*D73</f>
        <v>150</v>
      </c>
      <c r="G73" s="192"/>
      <c r="H73" s="19"/>
      <c r="I73" s="19"/>
      <c r="J73" s="193"/>
      <c r="K73" s="19"/>
    </row>
    <row r="74" spans="1:11" s="215" customFormat="1" ht="14.45" customHeight="1">
      <c r="A74" s="274"/>
      <c r="B74" s="133" t="s">
        <v>72</v>
      </c>
      <c r="C74" s="217"/>
      <c r="D74" s="196"/>
      <c r="E74" s="200"/>
      <c r="F74" s="211"/>
      <c r="G74" s="213"/>
      <c r="H74" s="212"/>
      <c r="I74" s="212"/>
      <c r="J74" s="214"/>
      <c r="K74" s="212"/>
    </row>
    <row r="75" spans="1:11" s="199" customFormat="1" ht="37.9" customHeight="1">
      <c r="A75" s="202" t="s">
        <v>76</v>
      </c>
      <c r="B75" s="273" t="s">
        <v>77</v>
      </c>
      <c r="C75" s="217" t="s">
        <v>21</v>
      </c>
      <c r="D75" s="202">
        <v>1</v>
      </c>
      <c r="E75" s="201">
        <v>200</v>
      </c>
      <c r="F75" s="201">
        <f>D75*E75</f>
        <v>200</v>
      </c>
      <c r="G75" s="197"/>
      <c r="H75" s="124"/>
      <c r="I75" s="124"/>
      <c r="J75" s="198"/>
      <c r="K75" s="124"/>
    </row>
    <row r="76" spans="1:11" s="199" customFormat="1" ht="27">
      <c r="A76" s="202" t="s">
        <v>78</v>
      </c>
      <c r="B76" s="273" t="s">
        <v>111</v>
      </c>
      <c r="C76" s="217" t="s">
        <v>21</v>
      </c>
      <c r="D76" s="202">
        <v>7</v>
      </c>
      <c r="E76" s="201">
        <v>300</v>
      </c>
      <c r="F76" s="201">
        <f>D76*E76/2</f>
        <v>1050</v>
      </c>
      <c r="G76" s="197"/>
      <c r="H76" s="124"/>
      <c r="I76" s="124"/>
      <c r="J76" s="198"/>
      <c r="K76" s="124"/>
    </row>
    <row r="77" spans="1:11" s="199" customFormat="1" ht="27">
      <c r="A77" s="202" t="s">
        <v>80</v>
      </c>
      <c r="B77" s="273" t="s">
        <v>112</v>
      </c>
      <c r="C77" s="217" t="s">
        <v>21</v>
      </c>
      <c r="D77" s="202">
        <v>7</v>
      </c>
      <c r="E77" s="201">
        <v>300</v>
      </c>
      <c r="F77" s="201">
        <f>D77*E77-900</f>
        <v>1200</v>
      </c>
      <c r="G77" s="197"/>
      <c r="H77" s="124"/>
      <c r="I77" s="124"/>
      <c r="J77" s="198"/>
      <c r="K77" s="124"/>
    </row>
    <row r="78" spans="1:11" s="199" customFormat="1" ht="27">
      <c r="A78" s="202" t="s">
        <v>82</v>
      </c>
      <c r="B78" s="273" t="s">
        <v>113</v>
      </c>
      <c r="C78" s="217" t="s">
        <v>21</v>
      </c>
      <c r="D78" s="202">
        <v>7</v>
      </c>
      <c r="E78" s="201">
        <v>400</v>
      </c>
      <c r="F78" s="201">
        <f>(D78*E78)*70%</f>
        <v>1959.9999999999998</v>
      </c>
      <c r="G78" s="197"/>
      <c r="H78" s="124"/>
      <c r="I78" s="124"/>
      <c r="J78" s="198"/>
      <c r="K78" s="124"/>
    </row>
    <row r="79" spans="1:11" s="199" customFormat="1" ht="27">
      <c r="A79" s="202" t="s">
        <v>84</v>
      </c>
      <c r="B79" s="273" t="s">
        <v>85</v>
      </c>
      <c r="C79" s="217" t="s">
        <v>21</v>
      </c>
      <c r="D79" s="202">
        <v>7</v>
      </c>
      <c r="E79" s="201">
        <v>300</v>
      </c>
      <c r="F79" s="201">
        <f t="shared" ref="F79:F84" si="16">D79*E79</f>
        <v>2100</v>
      </c>
      <c r="G79" s="197"/>
      <c r="H79" s="124"/>
      <c r="I79" s="124"/>
      <c r="J79" s="198"/>
      <c r="K79" s="124"/>
    </row>
    <row r="80" spans="1:11" s="199" customFormat="1" ht="27">
      <c r="A80" s="202" t="s">
        <v>86</v>
      </c>
      <c r="B80" s="273" t="s">
        <v>87</v>
      </c>
      <c r="C80" s="217" t="s">
        <v>21</v>
      </c>
      <c r="D80" s="202">
        <v>7</v>
      </c>
      <c r="E80" s="201">
        <v>200</v>
      </c>
      <c r="F80" s="201">
        <f t="shared" si="16"/>
        <v>1400</v>
      </c>
      <c r="G80" s="197"/>
      <c r="H80" s="124"/>
      <c r="I80" s="124"/>
      <c r="J80" s="198"/>
      <c r="K80" s="124"/>
    </row>
    <row r="81" spans="1:11" s="199" customFormat="1" ht="25.5">
      <c r="A81" s="285" t="s">
        <v>91</v>
      </c>
      <c r="B81" s="135" t="s">
        <v>114</v>
      </c>
      <c r="C81" s="217" t="s">
        <v>93</v>
      </c>
      <c r="D81" s="202">
        <v>7</v>
      </c>
      <c r="E81" s="201">
        <v>600</v>
      </c>
      <c r="F81" s="201">
        <f>D81*E81/2</f>
        <v>2100</v>
      </c>
      <c r="G81" s="197"/>
      <c r="H81" s="124"/>
      <c r="I81" s="124"/>
      <c r="J81" s="198"/>
      <c r="K81" s="124"/>
    </row>
    <row r="82" spans="1:11" s="199" customFormat="1" ht="25.5">
      <c r="A82" s="202" t="s">
        <v>94</v>
      </c>
      <c r="B82" s="135" t="s">
        <v>115</v>
      </c>
      <c r="C82" s="217" t="s">
        <v>96</v>
      </c>
      <c r="D82" s="202">
        <v>7</v>
      </c>
      <c r="E82" s="201">
        <v>250</v>
      </c>
      <c r="F82" s="201">
        <f>D82*E82/2</f>
        <v>875</v>
      </c>
      <c r="G82" s="197"/>
      <c r="H82" s="124"/>
      <c r="I82" s="124"/>
      <c r="J82" s="198"/>
      <c r="K82" s="124"/>
    </row>
    <row r="83" spans="1:11" s="199" customFormat="1" ht="42" customHeight="1">
      <c r="A83" s="202" t="s">
        <v>100</v>
      </c>
      <c r="B83" s="135" t="s">
        <v>101</v>
      </c>
      <c r="C83" s="217" t="s">
        <v>21</v>
      </c>
      <c r="D83" s="202">
        <v>7</v>
      </c>
      <c r="E83" s="201">
        <v>350</v>
      </c>
      <c r="F83" s="201">
        <f t="shared" si="16"/>
        <v>2450</v>
      </c>
      <c r="G83" s="197"/>
      <c r="H83" s="124"/>
      <c r="I83" s="124"/>
      <c r="J83" s="198"/>
      <c r="K83" s="124"/>
    </row>
    <row r="84" spans="1:11" s="199" customFormat="1" ht="25.5">
      <c r="A84" s="202" t="s">
        <v>102</v>
      </c>
      <c r="B84" s="135" t="s">
        <v>116</v>
      </c>
      <c r="C84" s="217" t="s">
        <v>21</v>
      </c>
      <c r="D84" s="202">
        <v>6</v>
      </c>
      <c r="E84" s="201">
        <v>350</v>
      </c>
      <c r="F84" s="201">
        <f t="shared" si="16"/>
        <v>2100</v>
      </c>
      <c r="G84" s="197"/>
      <c r="H84" s="124"/>
      <c r="I84" s="124"/>
      <c r="J84" s="198"/>
      <c r="K84" s="124"/>
    </row>
    <row r="85" spans="1:11" ht="13.9" customHeight="1">
      <c r="A85" s="308" t="s">
        <v>117</v>
      </c>
      <c r="B85" s="309"/>
      <c r="C85" s="309"/>
      <c r="D85" s="309"/>
      <c r="E85" s="310"/>
      <c r="F85" s="137">
        <f>SUM(F71:F84)</f>
        <v>17985</v>
      </c>
      <c r="G85" s="121"/>
    </row>
    <row r="86" spans="1:11" s="20" customFormat="1" ht="13.9" customHeight="1" thickBot="1">
      <c r="A86" s="189"/>
      <c r="B86" s="190"/>
      <c r="C86" s="190"/>
      <c r="D86" s="189"/>
      <c r="E86" s="190"/>
      <c r="F86" s="191"/>
      <c r="G86" s="192"/>
      <c r="H86" s="19"/>
      <c r="I86" s="19"/>
      <c r="J86" s="193"/>
      <c r="K86" s="19"/>
    </row>
    <row r="87" spans="1:11" ht="14.45" customHeight="1" thickBot="1">
      <c r="B87" s="160" t="s">
        <v>118</v>
      </c>
      <c r="C87" s="161"/>
      <c r="D87" s="157"/>
    </row>
    <row r="88" spans="1:11" ht="14.45" customHeight="1" thickBot="1">
      <c r="B88" s="42" t="s">
        <v>119</v>
      </c>
      <c r="C88" s="43">
        <f>F66</f>
        <v>47663.789999999994</v>
      </c>
      <c r="D88" s="44">
        <f>C88*100/C90</f>
        <v>72.604217076963636</v>
      </c>
    </row>
    <row r="89" spans="1:11" ht="14.45" customHeight="1" thickBot="1">
      <c r="B89" s="42" t="s">
        <v>120</v>
      </c>
      <c r="C89" s="43">
        <f>F85</f>
        <v>17985</v>
      </c>
      <c r="D89" s="44">
        <f>C89*100/C90</f>
        <v>27.395782923036361</v>
      </c>
    </row>
    <row r="90" spans="1:11" ht="16.5" customHeight="1" thickBot="1">
      <c r="B90" s="45" t="s">
        <v>14</v>
      </c>
      <c r="C90" s="46">
        <f>C88+C89</f>
        <v>65648.789999999994</v>
      </c>
      <c r="D90" s="47">
        <f>D88+D89</f>
        <v>100</v>
      </c>
    </row>
    <row r="92" spans="1:11">
      <c r="B92" s="288" t="s">
        <v>121</v>
      </c>
      <c r="C92" s="290">
        <f>F65</f>
        <v>5554.99</v>
      </c>
      <c r="D92" s="289">
        <f>C92*100/C88</f>
        <v>11.654528521546442</v>
      </c>
    </row>
  </sheetData>
  <mergeCells count="18">
    <mergeCell ref="A47:E47"/>
    <mergeCell ref="A85:E85"/>
    <mergeCell ref="B36:F36"/>
    <mergeCell ref="B41:E41"/>
    <mergeCell ref="B34:E34"/>
    <mergeCell ref="A66:E66"/>
    <mergeCell ref="A65:E65"/>
    <mergeCell ref="B60:E60"/>
    <mergeCell ref="B64:E64"/>
    <mergeCell ref="B46:E46"/>
    <mergeCell ref="B56:E56"/>
    <mergeCell ref="A35:E35"/>
    <mergeCell ref="A14:E14"/>
    <mergeCell ref="A42:E42"/>
    <mergeCell ref="B43:F43"/>
    <mergeCell ref="B15:J15"/>
    <mergeCell ref="B7:J7"/>
    <mergeCell ref="B13:E13"/>
  </mergeCells>
  <phoneticPr fontId="10" type="noConversion"/>
  <pageMargins left="0.7" right="0.7" top="0.75" bottom="0.75" header="0.3" footer="0.3"/>
  <pageSetup orientation="portrait" r:id="rId1"/>
  <ignoredErrors>
    <ignoredError sqref="G19 G2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52D9-DBE0-42DC-8711-E1726A0016F0}">
  <dimension ref="B3:E17"/>
  <sheetViews>
    <sheetView workbookViewId="0">
      <selection activeCell="E17" sqref="E17"/>
    </sheetView>
  </sheetViews>
  <sheetFormatPr defaultColWidth="11.42578125" defaultRowHeight="15"/>
  <cols>
    <col min="2" max="2" width="69.42578125" bestFit="1" customWidth="1"/>
    <col min="3" max="3" width="10.28515625" bestFit="1" customWidth="1"/>
    <col min="4" max="4" width="16.85546875" bestFit="1" customWidth="1"/>
    <col min="5" max="5" width="9" bestFit="1" customWidth="1"/>
  </cols>
  <sheetData>
    <row r="3" spans="2:5">
      <c r="B3" s="234" t="s">
        <v>122</v>
      </c>
    </row>
    <row r="4" spans="2:5" ht="15.75" thickBot="1"/>
    <row r="5" spans="2:5" ht="15.75" thickBot="1">
      <c r="B5" s="235" t="s">
        <v>123</v>
      </c>
      <c r="C5" s="236" t="s">
        <v>124</v>
      </c>
      <c r="D5" s="236" t="s">
        <v>125</v>
      </c>
      <c r="E5" s="237" t="s">
        <v>14</v>
      </c>
    </row>
    <row r="6" spans="2:5">
      <c r="B6" s="238" t="s">
        <v>126</v>
      </c>
      <c r="C6" s="239">
        <v>1</v>
      </c>
      <c r="D6" s="240">
        <v>4</v>
      </c>
      <c r="E6" s="241">
        <f>D6*C6</f>
        <v>4</v>
      </c>
    </row>
    <row r="7" spans="2:5">
      <c r="B7" s="242" t="s">
        <v>127</v>
      </c>
      <c r="C7" s="243">
        <v>1</v>
      </c>
      <c r="D7" s="244">
        <v>5</v>
      </c>
      <c r="E7" s="245">
        <f t="shared" ref="E7:E16" si="0">D7*C7</f>
        <v>5</v>
      </c>
    </row>
    <row r="8" spans="2:5">
      <c r="B8" s="242" t="s">
        <v>128</v>
      </c>
      <c r="C8" s="243">
        <v>48</v>
      </c>
      <c r="D8" s="244">
        <v>1</v>
      </c>
      <c r="E8" s="245">
        <f t="shared" si="0"/>
        <v>48</v>
      </c>
    </row>
    <row r="9" spans="2:5">
      <c r="B9" s="242" t="s">
        <v>129</v>
      </c>
      <c r="C9" s="243">
        <v>4</v>
      </c>
      <c r="D9" s="244">
        <v>2</v>
      </c>
      <c r="E9" s="245">
        <f t="shared" si="0"/>
        <v>8</v>
      </c>
    </row>
    <row r="10" spans="2:5">
      <c r="B10" s="242" t="s">
        <v>130</v>
      </c>
      <c r="C10" s="243">
        <v>4</v>
      </c>
      <c r="D10" s="244">
        <v>2</v>
      </c>
      <c r="E10" s="245">
        <f t="shared" si="0"/>
        <v>8</v>
      </c>
    </row>
    <row r="11" spans="2:5">
      <c r="B11" s="242" t="s">
        <v>131</v>
      </c>
      <c r="C11" s="243">
        <v>3</v>
      </c>
      <c r="D11" s="244">
        <v>7.6</v>
      </c>
      <c r="E11" s="245">
        <f t="shared" si="0"/>
        <v>22.799999999999997</v>
      </c>
    </row>
    <row r="12" spans="2:5">
      <c r="B12" s="242" t="s">
        <v>132</v>
      </c>
      <c r="C12" s="243">
        <f>48*6</f>
        <v>288</v>
      </c>
      <c r="D12" s="244">
        <v>0.5</v>
      </c>
      <c r="E12" s="245">
        <f t="shared" si="0"/>
        <v>144</v>
      </c>
    </row>
    <row r="13" spans="2:5">
      <c r="B13" s="242" t="s">
        <v>133</v>
      </c>
      <c r="C13" s="243">
        <v>150</v>
      </c>
      <c r="D13" s="244">
        <v>0.2</v>
      </c>
      <c r="E13" s="245">
        <f t="shared" si="0"/>
        <v>30</v>
      </c>
    </row>
    <row r="14" spans="2:5">
      <c r="B14" s="246" t="s">
        <v>134</v>
      </c>
      <c r="C14" s="247">
        <v>1</v>
      </c>
      <c r="D14" s="244">
        <v>15</v>
      </c>
      <c r="E14" s="245">
        <f t="shared" si="0"/>
        <v>15</v>
      </c>
    </row>
    <row r="15" spans="2:5">
      <c r="B15" s="246" t="s">
        <v>135</v>
      </c>
      <c r="C15" s="247">
        <v>1</v>
      </c>
      <c r="D15" s="244">
        <v>5</v>
      </c>
      <c r="E15" s="245">
        <f t="shared" si="0"/>
        <v>5</v>
      </c>
    </row>
    <row r="16" spans="2:5" ht="15.75" thickBot="1">
      <c r="B16" s="248" t="s">
        <v>136</v>
      </c>
      <c r="C16" s="249">
        <v>50</v>
      </c>
      <c r="D16" s="250">
        <v>5</v>
      </c>
      <c r="E16" s="251">
        <f t="shared" si="0"/>
        <v>250</v>
      </c>
    </row>
    <row r="17" spans="4:5" ht="15.75" thickBot="1">
      <c r="D17" s="252" t="s">
        <v>14</v>
      </c>
      <c r="E17" s="253">
        <f>SUM(E6:E16)</f>
        <v>539.79999999999995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"/>
  <sheetViews>
    <sheetView topLeftCell="B1" zoomScale="80" zoomScaleNormal="80" workbookViewId="0">
      <pane ySplit="6" topLeftCell="A97" activePane="bottomLeft" state="frozen"/>
      <selection pane="bottomLeft" activeCell="A85" sqref="A85:XFD112"/>
    </sheetView>
  </sheetViews>
  <sheetFormatPr defaultColWidth="9.140625" defaultRowHeight="12.75"/>
  <cols>
    <col min="1" max="1" width="17.5703125" style="2" customWidth="1"/>
    <col min="2" max="2" width="80.42578125" style="4" customWidth="1"/>
    <col min="3" max="3" width="15.7109375" style="5" customWidth="1"/>
    <col min="4" max="4" width="11.85546875" style="5" customWidth="1"/>
    <col min="5" max="5" width="16.7109375" style="6" customWidth="1"/>
    <col min="6" max="6" width="21.7109375" style="6" customWidth="1"/>
    <col min="7" max="7" width="18.42578125" style="6" customWidth="1"/>
    <col min="8" max="8" width="13" style="2" customWidth="1"/>
    <col min="9" max="13" width="13" style="6" customWidth="1"/>
    <col min="14" max="14" width="17.140625" style="7" customWidth="1"/>
    <col min="15" max="15" width="12.140625" style="6" bestFit="1" customWidth="1"/>
    <col min="16" max="16384" width="9.140625" style="2"/>
  </cols>
  <sheetData>
    <row r="1" spans="1:15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1"/>
    </row>
    <row r="2" spans="1:15">
      <c r="A2" s="3" t="s">
        <v>137</v>
      </c>
      <c r="G2" s="37"/>
      <c r="H2" s="324" t="s">
        <v>2</v>
      </c>
      <c r="I2" s="324"/>
      <c r="J2" s="324"/>
      <c r="K2" s="324"/>
      <c r="L2" s="324"/>
      <c r="M2" s="324"/>
      <c r="N2" s="324"/>
    </row>
    <row r="3" spans="1:15">
      <c r="A3" s="3" t="s">
        <v>138</v>
      </c>
    </row>
    <row r="4" spans="1:15">
      <c r="A4" s="3" t="s">
        <v>139</v>
      </c>
      <c r="F4" s="37"/>
    </row>
    <row r="5" spans="1:15" ht="13.5" thickBot="1"/>
    <row r="6" spans="1:15" ht="39" thickBot="1">
      <c r="A6" s="48" t="s">
        <v>5</v>
      </c>
      <c r="B6" s="49" t="s">
        <v>6</v>
      </c>
      <c r="C6" s="50" t="s">
        <v>7</v>
      </c>
      <c r="D6" s="50" t="s">
        <v>8</v>
      </c>
      <c r="E6" s="51" t="s">
        <v>9</v>
      </c>
      <c r="F6" s="51" t="s">
        <v>10</v>
      </c>
      <c r="G6" s="8" t="s">
        <v>140</v>
      </c>
      <c r="H6" s="105" t="s">
        <v>11</v>
      </c>
      <c r="I6" s="52" t="s">
        <v>12</v>
      </c>
      <c r="J6" s="52" t="s">
        <v>13</v>
      </c>
      <c r="K6" s="51" t="s">
        <v>141</v>
      </c>
      <c r="L6" s="51" t="s">
        <v>142</v>
      </c>
      <c r="M6" s="51" t="s">
        <v>143</v>
      </c>
      <c r="N6" s="9" t="s">
        <v>14</v>
      </c>
    </row>
    <row r="7" spans="1:15" ht="39.75" customHeight="1" thickBot="1">
      <c r="A7" s="53" t="s">
        <v>16</v>
      </c>
      <c r="B7" s="302" t="s">
        <v>144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25"/>
    </row>
    <row r="8" spans="1:15" ht="13.5" thickBot="1">
      <c r="A8" s="30" t="s">
        <v>18</v>
      </c>
      <c r="B8" s="320" t="s">
        <v>145</v>
      </c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2"/>
    </row>
    <row r="9" spans="1:15" ht="26.25" thickBot="1">
      <c r="A9" s="54">
        <v>1.1000000000000001</v>
      </c>
      <c r="B9" s="55" t="s">
        <v>146</v>
      </c>
      <c r="C9" s="56">
        <v>3</v>
      </c>
      <c r="D9" s="56">
        <v>2</v>
      </c>
      <c r="E9" s="57">
        <v>175</v>
      </c>
      <c r="F9" s="58">
        <f>C9*D9*E9</f>
        <v>1050</v>
      </c>
      <c r="G9" s="59"/>
      <c r="H9" s="106">
        <v>0</v>
      </c>
      <c r="I9" s="57">
        <f>F9</f>
        <v>1050</v>
      </c>
      <c r="J9" s="10">
        <v>0</v>
      </c>
      <c r="K9" s="10">
        <v>0</v>
      </c>
      <c r="L9" s="10">
        <v>0</v>
      </c>
      <c r="M9" s="11">
        <v>0</v>
      </c>
      <c r="N9" s="12">
        <f>SUM(H9:M9)</f>
        <v>1050</v>
      </c>
    </row>
    <row r="10" spans="1:15" ht="26.25" thickBot="1">
      <c r="A10" s="54">
        <v>1.2</v>
      </c>
      <c r="B10" s="55" t="s">
        <v>147</v>
      </c>
      <c r="C10" s="56">
        <v>100</v>
      </c>
      <c r="D10" s="56">
        <v>2</v>
      </c>
      <c r="E10" s="57">
        <v>9</v>
      </c>
      <c r="F10" s="58">
        <f t="shared" ref="F10:F12" si="0">C10*D10*E10</f>
        <v>1800</v>
      </c>
      <c r="G10" s="59"/>
      <c r="H10" s="106">
        <v>0</v>
      </c>
      <c r="I10" s="57">
        <f>F10</f>
        <v>1800</v>
      </c>
      <c r="J10" s="10">
        <v>0</v>
      </c>
      <c r="K10" s="10">
        <v>0</v>
      </c>
      <c r="L10" s="10">
        <v>0</v>
      </c>
      <c r="M10" s="13">
        <v>0</v>
      </c>
      <c r="N10" s="12">
        <f t="shared" ref="N10:N13" si="1">SUM(H10:M10)</f>
        <v>1800</v>
      </c>
    </row>
    <row r="11" spans="1:15" ht="13.5" thickBot="1">
      <c r="A11" s="60">
        <v>1.3</v>
      </c>
      <c r="B11" s="61" t="s">
        <v>148</v>
      </c>
      <c r="C11" s="56"/>
      <c r="D11" s="56"/>
      <c r="E11" s="57"/>
      <c r="F11" s="58"/>
      <c r="G11" s="59"/>
      <c r="H11" s="107"/>
      <c r="I11" s="57">
        <f t="shared" ref="I11:I15" si="2">F11</f>
        <v>0</v>
      </c>
      <c r="J11" s="59"/>
      <c r="K11" s="59"/>
      <c r="L11" s="59"/>
      <c r="M11" s="59"/>
      <c r="N11" s="12"/>
    </row>
    <row r="12" spans="1:15" ht="13.5" thickBot="1">
      <c r="A12" s="60" t="s">
        <v>149</v>
      </c>
      <c r="B12" s="62" t="s">
        <v>150</v>
      </c>
      <c r="C12" s="56">
        <v>1</v>
      </c>
      <c r="D12" s="56">
        <v>1</v>
      </c>
      <c r="E12" s="57">
        <v>500</v>
      </c>
      <c r="F12" s="57">
        <f t="shared" si="0"/>
        <v>500</v>
      </c>
      <c r="G12" s="63"/>
      <c r="H12" s="106">
        <v>0</v>
      </c>
      <c r="I12" s="57">
        <f>F12</f>
        <v>500</v>
      </c>
      <c r="J12" s="10">
        <v>0</v>
      </c>
      <c r="K12" s="10">
        <v>0</v>
      </c>
      <c r="L12" s="10">
        <v>0</v>
      </c>
      <c r="M12" s="14">
        <v>0</v>
      </c>
      <c r="N12" s="12">
        <f t="shared" si="1"/>
        <v>500</v>
      </c>
    </row>
    <row r="13" spans="1:15" ht="26.25" thickBot="1">
      <c r="A13" s="54" t="s">
        <v>149</v>
      </c>
      <c r="B13" s="64" t="s">
        <v>151</v>
      </c>
      <c r="C13" s="56">
        <v>1</v>
      </c>
      <c r="D13" s="56">
        <v>100</v>
      </c>
      <c r="E13" s="57">
        <v>7</v>
      </c>
      <c r="F13" s="57">
        <f>C13*D13*E13</f>
        <v>700</v>
      </c>
      <c r="G13" s="63"/>
      <c r="H13" s="106">
        <v>0</v>
      </c>
      <c r="I13" s="57">
        <f t="shared" si="2"/>
        <v>700</v>
      </c>
      <c r="J13" s="10">
        <v>0</v>
      </c>
      <c r="K13" s="10">
        <v>0</v>
      </c>
      <c r="L13" s="10">
        <v>0</v>
      </c>
      <c r="M13" s="14">
        <v>0</v>
      </c>
      <c r="N13" s="15">
        <f t="shared" si="1"/>
        <v>700</v>
      </c>
    </row>
    <row r="14" spans="1:15" ht="13.5" thickBot="1">
      <c r="A14" s="54" t="s">
        <v>152</v>
      </c>
      <c r="B14" s="65" t="s">
        <v>153</v>
      </c>
      <c r="C14" s="56">
        <v>1</v>
      </c>
      <c r="D14" s="56">
        <v>100</v>
      </c>
      <c r="E14" s="57">
        <v>13</v>
      </c>
      <c r="F14" s="57">
        <f>C14*D14*E14</f>
        <v>1300</v>
      </c>
      <c r="G14" s="63"/>
      <c r="H14" s="106">
        <v>0</v>
      </c>
      <c r="I14" s="57">
        <f t="shared" si="2"/>
        <v>1300</v>
      </c>
      <c r="J14" s="10">
        <v>0</v>
      </c>
      <c r="K14" s="10">
        <v>0</v>
      </c>
      <c r="L14" s="10">
        <v>0</v>
      </c>
      <c r="M14" s="14">
        <v>0</v>
      </c>
      <c r="N14" s="15">
        <f>SUM(H14:M14)</f>
        <v>1300</v>
      </c>
    </row>
    <row r="15" spans="1:15" s="20" customFormat="1" ht="13.5" thickBot="1">
      <c r="A15" s="64">
        <v>1.4</v>
      </c>
      <c r="B15" s="55" t="s">
        <v>154</v>
      </c>
      <c r="C15" s="66">
        <v>1</v>
      </c>
      <c r="D15" s="66">
        <f>20*6</f>
        <v>120</v>
      </c>
      <c r="E15" s="57">
        <v>20</v>
      </c>
      <c r="F15" s="67">
        <f t="shared" ref="F15" si="3">C15*D15*E15</f>
        <v>2400</v>
      </c>
      <c r="G15" s="59"/>
      <c r="H15" s="108">
        <v>0</v>
      </c>
      <c r="I15" s="57">
        <f t="shared" si="2"/>
        <v>2400</v>
      </c>
      <c r="J15" s="16">
        <v>0</v>
      </c>
      <c r="K15" s="16">
        <v>0</v>
      </c>
      <c r="L15" s="16">
        <v>0</v>
      </c>
      <c r="M15" s="17">
        <v>0</v>
      </c>
      <c r="N15" s="18">
        <f t="shared" ref="N15" si="4">SUM(H15:M15)</f>
        <v>2400</v>
      </c>
      <c r="O15" s="19"/>
    </row>
    <row r="16" spans="1:15" ht="13.5" thickBot="1">
      <c r="A16" s="68"/>
      <c r="B16" s="326" t="s">
        <v>27</v>
      </c>
      <c r="C16" s="327"/>
      <c r="D16" s="327"/>
      <c r="E16" s="328"/>
      <c r="F16" s="31">
        <f>SUM(F9:F15)</f>
        <v>7750</v>
      </c>
      <c r="G16" s="31">
        <f t="shared" ref="G16:N16" si="5">SUM(G9:G15)</f>
        <v>0</v>
      </c>
      <c r="H16" s="109">
        <f>SUM(H9:H15)</f>
        <v>0</v>
      </c>
      <c r="I16" s="31">
        <f>SUM(I9:I15)</f>
        <v>7750</v>
      </c>
      <c r="J16" s="31">
        <f t="shared" si="5"/>
        <v>0</v>
      </c>
      <c r="K16" s="31">
        <f t="shared" si="5"/>
        <v>0</v>
      </c>
      <c r="L16" s="31">
        <f t="shared" si="5"/>
        <v>0</v>
      </c>
      <c r="M16" s="31">
        <f t="shared" si="5"/>
        <v>0</v>
      </c>
      <c r="N16" s="31">
        <f t="shared" si="5"/>
        <v>7750</v>
      </c>
    </row>
    <row r="17" spans="1:14" ht="19.5" customHeight="1" thickBot="1">
      <c r="A17" s="299" t="s">
        <v>28</v>
      </c>
      <c r="B17" s="329"/>
      <c r="C17" s="329"/>
      <c r="D17" s="329"/>
      <c r="E17" s="330"/>
      <c r="F17" s="69">
        <f>F16</f>
        <v>7750</v>
      </c>
      <c r="G17" s="70">
        <f>G16</f>
        <v>0</v>
      </c>
      <c r="H17" s="110">
        <f>H16</f>
        <v>0</v>
      </c>
      <c r="I17" s="70">
        <f>I16</f>
        <v>7750</v>
      </c>
      <c r="J17" s="70">
        <f t="shared" ref="J17:M17" si="6">J16</f>
        <v>0</v>
      </c>
      <c r="K17" s="70">
        <f t="shared" si="6"/>
        <v>0</v>
      </c>
      <c r="L17" s="70">
        <f t="shared" si="6"/>
        <v>0</v>
      </c>
      <c r="M17" s="70">
        <f t="shared" si="6"/>
        <v>0</v>
      </c>
      <c r="N17" s="70">
        <f>SUM(N16)</f>
        <v>7750</v>
      </c>
    </row>
    <row r="18" spans="1:14" ht="13.5" thickBot="1">
      <c r="A18" s="53" t="s">
        <v>29</v>
      </c>
      <c r="B18" s="302" t="s">
        <v>155</v>
      </c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25"/>
    </row>
    <row r="19" spans="1:14" ht="13.5" thickBot="1">
      <c r="A19" s="30" t="s">
        <v>31</v>
      </c>
      <c r="B19" s="320" t="s">
        <v>156</v>
      </c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2"/>
    </row>
    <row r="20" spans="1:14" ht="26.25" customHeight="1" thickBot="1">
      <c r="A20" s="71">
        <v>2.1</v>
      </c>
      <c r="B20" s="55" t="s">
        <v>157</v>
      </c>
      <c r="C20" s="35">
        <v>1</v>
      </c>
      <c r="D20" s="72">
        <v>18</v>
      </c>
      <c r="E20" s="57">
        <f>1000</f>
        <v>1000</v>
      </c>
      <c r="F20" s="58">
        <f>E20*D20*C20</f>
        <v>18000</v>
      </c>
      <c r="G20" s="59"/>
      <c r="H20" s="111">
        <f>F20/6</f>
        <v>3000</v>
      </c>
      <c r="I20" s="57">
        <f>F20/6</f>
        <v>3000</v>
      </c>
      <c r="J20" s="57">
        <f>F20/6</f>
        <v>3000</v>
      </c>
      <c r="K20" s="57">
        <f>F20/6</f>
        <v>3000</v>
      </c>
      <c r="L20" s="57">
        <f>F20/6</f>
        <v>3000</v>
      </c>
      <c r="M20" s="57">
        <f>F20/6</f>
        <v>3000</v>
      </c>
      <c r="N20" s="57">
        <f>SUM(H20:M20)</f>
        <v>18000</v>
      </c>
    </row>
    <row r="21" spans="1:14" ht="55.5" customHeight="1" thickBot="1">
      <c r="A21" s="73">
        <v>2.2000000000000002</v>
      </c>
      <c r="B21" s="55" t="s">
        <v>158</v>
      </c>
      <c r="C21" s="74">
        <v>2</v>
      </c>
      <c r="D21" s="74">
        <v>15</v>
      </c>
      <c r="E21" s="57">
        <f>650</f>
        <v>650</v>
      </c>
      <c r="F21" s="58">
        <f>C21*D21*E21</f>
        <v>19500</v>
      </c>
      <c r="G21" s="59"/>
      <c r="H21" s="111">
        <f>F21/5</f>
        <v>3900</v>
      </c>
      <c r="I21" s="57">
        <f>F21/5</f>
        <v>3900</v>
      </c>
      <c r="J21" s="57">
        <f>F21/5</f>
        <v>3900</v>
      </c>
      <c r="K21" s="57">
        <f>F21/5</f>
        <v>3900</v>
      </c>
      <c r="L21" s="57">
        <f>F21/5</f>
        <v>3900</v>
      </c>
      <c r="M21" s="57"/>
      <c r="N21" s="57">
        <f t="shared" ref="N21:N25" si="7">SUM(H21:M21)</f>
        <v>19500</v>
      </c>
    </row>
    <row r="22" spans="1:14" ht="53.25" customHeight="1" thickBot="1">
      <c r="A22" s="73">
        <v>2.2999999999999998</v>
      </c>
      <c r="B22" s="55" t="s">
        <v>159</v>
      </c>
      <c r="C22" s="74">
        <v>2</v>
      </c>
      <c r="D22" s="74">
        <v>5</v>
      </c>
      <c r="E22" s="75">
        <f>1000</f>
        <v>1000</v>
      </c>
      <c r="F22" s="58">
        <f>C22*D22*E22</f>
        <v>10000</v>
      </c>
      <c r="G22" s="59"/>
      <c r="H22" s="111">
        <f t="shared" ref="H22:H24" si="8">F22/6</f>
        <v>1666.6666666666667</v>
      </c>
      <c r="I22" s="57">
        <f t="shared" ref="I22:I23" si="9">F22/6</f>
        <v>1666.6666666666667</v>
      </c>
      <c r="J22" s="57">
        <f t="shared" ref="J22:J23" si="10">F22/6</f>
        <v>1666.6666666666667</v>
      </c>
      <c r="K22" s="57">
        <f t="shared" ref="K22:K24" si="11">F22/6</f>
        <v>1666.6666666666667</v>
      </c>
      <c r="L22" s="57">
        <f t="shared" ref="L22:L23" si="12">F22/6</f>
        <v>1666.6666666666667</v>
      </c>
      <c r="M22" s="57">
        <f t="shared" ref="M22:M24" si="13">F22/6</f>
        <v>1666.6666666666667</v>
      </c>
      <c r="N22" s="57">
        <f t="shared" si="7"/>
        <v>10000</v>
      </c>
    </row>
    <row r="23" spans="1:14" ht="54.75" customHeight="1" thickBot="1">
      <c r="A23" s="54">
        <v>2.2999999999999998</v>
      </c>
      <c r="B23" s="55" t="s">
        <v>160</v>
      </c>
      <c r="C23" s="56">
        <v>2</v>
      </c>
      <c r="D23" s="56">
        <v>5</v>
      </c>
      <c r="E23" s="75">
        <f>1000</f>
        <v>1000</v>
      </c>
      <c r="F23" s="58">
        <f>E23*D23*C23</f>
        <v>10000</v>
      </c>
      <c r="G23" s="59"/>
      <c r="H23" s="111">
        <f t="shared" si="8"/>
        <v>1666.6666666666667</v>
      </c>
      <c r="I23" s="57">
        <f t="shared" si="9"/>
        <v>1666.6666666666667</v>
      </c>
      <c r="J23" s="57">
        <f t="shared" si="10"/>
        <v>1666.6666666666667</v>
      </c>
      <c r="K23" s="57">
        <f t="shared" si="11"/>
        <v>1666.6666666666667</v>
      </c>
      <c r="L23" s="57">
        <f t="shared" si="12"/>
        <v>1666.6666666666667</v>
      </c>
      <c r="M23" s="57">
        <f t="shared" si="13"/>
        <v>1666.6666666666667</v>
      </c>
      <c r="N23" s="57">
        <f t="shared" si="7"/>
        <v>10000</v>
      </c>
    </row>
    <row r="24" spans="1:14" ht="41.25" customHeight="1" thickBot="1">
      <c r="A24" s="73">
        <v>2.4</v>
      </c>
      <c r="B24" s="55" t="s">
        <v>161</v>
      </c>
      <c r="C24" s="74">
        <v>6</v>
      </c>
      <c r="D24" s="74">
        <f>20</f>
        <v>20</v>
      </c>
      <c r="E24" s="75">
        <v>30</v>
      </c>
      <c r="F24" s="58">
        <f>C24*D24*E24</f>
        <v>3600</v>
      </c>
      <c r="G24" s="59"/>
      <c r="H24" s="111">
        <f t="shared" si="8"/>
        <v>600</v>
      </c>
      <c r="I24" s="57">
        <f>F24/6</f>
        <v>600</v>
      </c>
      <c r="J24" s="57">
        <f>F24/6</f>
        <v>600</v>
      </c>
      <c r="K24" s="57">
        <f t="shared" si="11"/>
        <v>600</v>
      </c>
      <c r="L24" s="57">
        <f>F24/6</f>
        <v>600</v>
      </c>
      <c r="M24" s="57">
        <f t="shared" si="13"/>
        <v>600</v>
      </c>
      <c r="N24" s="57">
        <f t="shared" si="7"/>
        <v>3600</v>
      </c>
    </row>
    <row r="25" spans="1:14" ht="13.5" thickBot="1">
      <c r="A25" s="73">
        <v>2.5</v>
      </c>
      <c r="B25" s="55" t="s">
        <v>162</v>
      </c>
      <c r="C25" s="74">
        <v>1</v>
      </c>
      <c r="D25" s="74">
        <v>6</v>
      </c>
      <c r="E25" s="75">
        <v>2000</v>
      </c>
      <c r="F25" s="58">
        <f t="shared" ref="F25:F45" si="14">C25*D25*E25</f>
        <v>12000</v>
      </c>
      <c r="G25" s="59"/>
      <c r="H25" s="112">
        <f>F25</f>
        <v>12000</v>
      </c>
      <c r="I25" s="10">
        <v>0</v>
      </c>
      <c r="J25" s="10">
        <v>0</v>
      </c>
      <c r="K25" s="10">
        <v>0</v>
      </c>
      <c r="L25" s="57">
        <v>0</v>
      </c>
      <c r="M25" s="57">
        <v>0</v>
      </c>
      <c r="N25" s="57">
        <f t="shared" si="7"/>
        <v>12000</v>
      </c>
    </row>
    <row r="26" spans="1:14" ht="13.5" thickBot="1">
      <c r="A26" s="76">
        <v>2.6</v>
      </c>
      <c r="B26" s="77" t="s">
        <v>163</v>
      </c>
      <c r="C26" s="74"/>
      <c r="D26" s="74"/>
      <c r="E26" s="75"/>
      <c r="F26" s="78"/>
      <c r="G26" s="59"/>
      <c r="H26" s="112"/>
      <c r="I26" s="10"/>
      <c r="J26" s="10"/>
      <c r="K26" s="10"/>
      <c r="L26" s="10"/>
      <c r="M26" s="13"/>
      <c r="N26" s="21"/>
    </row>
    <row r="27" spans="1:14" ht="13.5" thickBot="1">
      <c r="A27" s="79" t="s">
        <v>164</v>
      </c>
      <c r="B27" s="55" t="s">
        <v>165</v>
      </c>
      <c r="C27" s="35">
        <v>6</v>
      </c>
      <c r="D27" s="35">
        <v>4</v>
      </c>
      <c r="E27" s="75">
        <v>1000</v>
      </c>
      <c r="F27" s="78">
        <f t="shared" si="14"/>
        <v>24000</v>
      </c>
      <c r="G27" s="63"/>
      <c r="H27" s="112">
        <f>F27</f>
        <v>24000</v>
      </c>
      <c r="I27" s="10">
        <v>0</v>
      </c>
      <c r="J27" s="10">
        <v>0</v>
      </c>
      <c r="K27" s="10">
        <v>0</v>
      </c>
      <c r="L27" s="10">
        <v>0</v>
      </c>
      <c r="M27" s="14">
        <v>0</v>
      </c>
      <c r="N27" s="22">
        <f t="shared" ref="N27:N29" si="15">SUM(H27:M27)</f>
        <v>24000</v>
      </c>
    </row>
    <row r="28" spans="1:14" ht="13.5" thickBot="1">
      <c r="A28" s="79" t="s">
        <v>166</v>
      </c>
      <c r="B28" s="55" t="s">
        <v>167</v>
      </c>
      <c r="C28" s="35">
        <v>6</v>
      </c>
      <c r="D28" s="35">
        <v>3</v>
      </c>
      <c r="E28" s="75">
        <v>850</v>
      </c>
      <c r="F28" s="78">
        <f t="shared" si="14"/>
        <v>15300</v>
      </c>
      <c r="G28" s="63"/>
      <c r="H28" s="112">
        <f t="shared" ref="H28:H34" si="16">F28</f>
        <v>15300</v>
      </c>
      <c r="I28" s="10">
        <v>0</v>
      </c>
      <c r="J28" s="10">
        <v>0</v>
      </c>
      <c r="K28" s="10">
        <v>0</v>
      </c>
      <c r="L28" s="10">
        <v>0</v>
      </c>
      <c r="M28" s="14">
        <v>0</v>
      </c>
      <c r="N28" s="22">
        <f t="shared" si="15"/>
        <v>15300</v>
      </c>
    </row>
    <row r="29" spans="1:14" ht="13.5" thickBot="1">
      <c r="A29" s="79" t="s">
        <v>168</v>
      </c>
      <c r="B29" s="55" t="s">
        <v>169</v>
      </c>
      <c r="C29" s="35">
        <v>6</v>
      </c>
      <c r="D29" s="35">
        <v>2</v>
      </c>
      <c r="E29" s="75">
        <v>525</v>
      </c>
      <c r="F29" s="78">
        <f t="shared" si="14"/>
        <v>6300</v>
      </c>
      <c r="G29" s="63"/>
      <c r="H29" s="112">
        <f t="shared" si="16"/>
        <v>6300</v>
      </c>
      <c r="I29" s="10">
        <v>0</v>
      </c>
      <c r="J29" s="10">
        <v>0</v>
      </c>
      <c r="K29" s="10">
        <v>0</v>
      </c>
      <c r="L29" s="10">
        <v>0</v>
      </c>
      <c r="M29" s="14">
        <v>0</v>
      </c>
      <c r="N29" s="22">
        <f t="shared" si="15"/>
        <v>6300</v>
      </c>
    </row>
    <row r="30" spans="1:14" ht="13.5" thickBot="1">
      <c r="A30" s="79" t="s">
        <v>170</v>
      </c>
      <c r="B30" s="55" t="s">
        <v>171</v>
      </c>
      <c r="C30" s="35">
        <v>6</v>
      </c>
      <c r="D30" s="35">
        <v>3</v>
      </c>
      <c r="E30" s="75">
        <v>800</v>
      </c>
      <c r="F30" s="78">
        <f>C30*D30*E30</f>
        <v>14400</v>
      </c>
      <c r="G30" s="63"/>
      <c r="H30" s="112">
        <f t="shared" si="16"/>
        <v>14400</v>
      </c>
      <c r="I30" s="14">
        <v>0</v>
      </c>
      <c r="J30" s="103">
        <v>0</v>
      </c>
      <c r="K30" s="14">
        <v>0</v>
      </c>
      <c r="L30" s="103">
        <v>0</v>
      </c>
      <c r="M30" s="14">
        <v>0</v>
      </c>
      <c r="N30" s="22">
        <f>SUM(H30:M30)</f>
        <v>14400</v>
      </c>
    </row>
    <row r="31" spans="1:14" ht="13.5" thickBot="1">
      <c r="A31" s="97">
        <v>2.7</v>
      </c>
      <c r="B31" s="61" t="s">
        <v>172</v>
      </c>
      <c r="C31" s="35">
        <v>1</v>
      </c>
      <c r="D31" s="35">
        <v>1</v>
      </c>
      <c r="E31" s="75">
        <v>5000</v>
      </c>
      <c r="F31" s="78">
        <f t="shared" si="14"/>
        <v>5000</v>
      </c>
      <c r="G31" s="63"/>
      <c r="H31" s="112">
        <f t="shared" si="16"/>
        <v>5000</v>
      </c>
      <c r="I31" s="14">
        <v>0</v>
      </c>
      <c r="J31" s="14">
        <v>0</v>
      </c>
      <c r="K31" s="14">
        <v>0</v>
      </c>
      <c r="L31" s="103">
        <v>0</v>
      </c>
      <c r="M31" s="14">
        <v>0</v>
      </c>
      <c r="N31" s="15">
        <f t="shared" ref="N31:N46" si="17">SUM(H31:M31)</f>
        <v>5000</v>
      </c>
    </row>
    <row r="32" spans="1:14" ht="13.5" thickBot="1">
      <c r="A32" s="79" t="s">
        <v>173</v>
      </c>
      <c r="B32" s="55" t="s">
        <v>174</v>
      </c>
      <c r="C32" s="74">
        <v>100</v>
      </c>
      <c r="D32" s="74">
        <v>1</v>
      </c>
      <c r="E32" s="75">
        <v>12</v>
      </c>
      <c r="F32" s="78">
        <f t="shared" si="14"/>
        <v>1200</v>
      </c>
      <c r="G32" s="63"/>
      <c r="H32" s="112">
        <f t="shared" si="16"/>
        <v>1200</v>
      </c>
      <c r="I32" s="14">
        <v>0</v>
      </c>
      <c r="J32" s="14">
        <v>0</v>
      </c>
      <c r="K32" s="14">
        <v>0</v>
      </c>
      <c r="L32" s="103">
        <v>0</v>
      </c>
      <c r="M32" s="14">
        <v>0</v>
      </c>
      <c r="N32" s="15">
        <f t="shared" si="17"/>
        <v>1200</v>
      </c>
    </row>
    <row r="33" spans="1:14" ht="13.5" thickBot="1">
      <c r="A33" s="79" t="s">
        <v>175</v>
      </c>
      <c r="B33" s="55" t="s">
        <v>176</v>
      </c>
      <c r="C33" s="74">
        <v>8</v>
      </c>
      <c r="D33" s="74">
        <v>2</v>
      </c>
      <c r="E33" s="75">
        <v>12</v>
      </c>
      <c r="F33" s="78">
        <f t="shared" si="14"/>
        <v>192</v>
      </c>
      <c r="G33" s="63"/>
      <c r="H33" s="112">
        <f t="shared" si="16"/>
        <v>192</v>
      </c>
      <c r="I33" s="14">
        <v>0</v>
      </c>
      <c r="J33" s="14">
        <v>0</v>
      </c>
      <c r="K33" s="14">
        <v>0</v>
      </c>
      <c r="L33" s="103">
        <v>0</v>
      </c>
      <c r="M33" s="14">
        <v>0</v>
      </c>
      <c r="N33" s="15">
        <f t="shared" si="17"/>
        <v>192</v>
      </c>
    </row>
    <row r="34" spans="1:14" ht="13.5" thickBot="1">
      <c r="A34" s="79" t="s">
        <v>177</v>
      </c>
      <c r="B34" s="55" t="s">
        <v>178</v>
      </c>
      <c r="C34" s="74">
        <v>8</v>
      </c>
      <c r="D34" s="74">
        <v>1</v>
      </c>
      <c r="E34" s="75">
        <v>3</v>
      </c>
      <c r="F34" s="78">
        <f t="shared" si="14"/>
        <v>24</v>
      </c>
      <c r="G34" s="63"/>
      <c r="H34" s="112">
        <f t="shared" si="16"/>
        <v>24</v>
      </c>
      <c r="I34" s="14">
        <v>0</v>
      </c>
      <c r="J34" s="14">
        <v>0</v>
      </c>
      <c r="K34" s="14">
        <v>0</v>
      </c>
      <c r="L34" s="103">
        <v>0</v>
      </c>
      <c r="M34" s="14">
        <v>0</v>
      </c>
      <c r="N34" s="15">
        <f t="shared" si="17"/>
        <v>24</v>
      </c>
    </row>
    <row r="35" spans="1:14" ht="26.25" thickBot="1">
      <c r="A35" s="76">
        <v>2.8</v>
      </c>
      <c r="B35" s="77" t="s">
        <v>179</v>
      </c>
      <c r="C35" s="74"/>
      <c r="D35" s="74"/>
      <c r="E35" s="57"/>
      <c r="F35" s="78"/>
      <c r="G35" s="63"/>
      <c r="H35" s="113"/>
      <c r="I35" s="13"/>
      <c r="J35" s="13"/>
      <c r="K35" s="13"/>
      <c r="L35" s="13"/>
      <c r="M35" s="13"/>
      <c r="N35" s="15"/>
    </row>
    <row r="36" spans="1:14" ht="13.5" thickBot="1">
      <c r="A36" s="97" t="s">
        <v>180</v>
      </c>
      <c r="B36" s="77" t="s">
        <v>181</v>
      </c>
      <c r="C36" s="74"/>
      <c r="D36" s="74"/>
      <c r="E36" s="57"/>
      <c r="F36" s="78"/>
      <c r="G36" s="63"/>
      <c r="H36" s="113"/>
      <c r="I36" s="103"/>
      <c r="J36" s="10"/>
      <c r="K36" s="10"/>
      <c r="L36" s="10"/>
      <c r="M36" s="10"/>
      <c r="N36" s="15"/>
    </row>
    <row r="37" spans="1:14" ht="15.75" thickBot="1">
      <c r="A37" s="79" t="s">
        <v>182</v>
      </c>
      <c r="B37" s="98" t="s">
        <v>183</v>
      </c>
      <c r="C37" s="74">
        <v>2</v>
      </c>
      <c r="D37" s="74">
        <v>100</v>
      </c>
      <c r="E37" s="57">
        <v>0.75</v>
      </c>
      <c r="F37" s="78">
        <f>C37*D37*E37</f>
        <v>150</v>
      </c>
      <c r="G37" s="63"/>
      <c r="H37" s="114">
        <v>0</v>
      </c>
      <c r="I37" s="10">
        <f>F37</f>
        <v>150</v>
      </c>
      <c r="J37" s="14">
        <v>0</v>
      </c>
      <c r="K37" s="14">
        <v>0</v>
      </c>
      <c r="L37" s="14">
        <v>0</v>
      </c>
      <c r="M37" s="14">
        <v>0</v>
      </c>
      <c r="N37" s="15">
        <f t="shared" si="17"/>
        <v>150</v>
      </c>
    </row>
    <row r="38" spans="1:14" ht="13.5" thickBot="1">
      <c r="A38" s="79" t="s">
        <v>184</v>
      </c>
      <c r="B38" s="55" t="s">
        <v>185</v>
      </c>
      <c r="C38" s="74">
        <v>2</v>
      </c>
      <c r="D38" s="74">
        <v>100</v>
      </c>
      <c r="E38" s="57">
        <v>1.2</v>
      </c>
      <c r="F38" s="78">
        <f t="shared" ref="F38:F44" si="18">C38*D38*E38</f>
        <v>240</v>
      </c>
      <c r="G38" s="63"/>
      <c r="H38" s="114">
        <v>0</v>
      </c>
      <c r="I38" s="10">
        <f t="shared" ref="I38:I44" si="19">F38</f>
        <v>240</v>
      </c>
      <c r="J38" s="14">
        <v>0</v>
      </c>
      <c r="K38" s="14">
        <v>0</v>
      </c>
      <c r="L38" s="14">
        <v>0</v>
      </c>
      <c r="M38" s="14">
        <v>0</v>
      </c>
      <c r="N38" s="15">
        <f t="shared" si="17"/>
        <v>240</v>
      </c>
    </row>
    <row r="39" spans="1:14" ht="13.5" thickBot="1">
      <c r="A39" s="79" t="s">
        <v>186</v>
      </c>
      <c r="B39" s="55" t="s">
        <v>187</v>
      </c>
      <c r="C39" s="74">
        <v>2</v>
      </c>
      <c r="D39" s="74">
        <v>100</v>
      </c>
      <c r="E39" s="57">
        <v>1.2</v>
      </c>
      <c r="F39" s="78">
        <f t="shared" si="18"/>
        <v>240</v>
      </c>
      <c r="G39" s="63"/>
      <c r="H39" s="114">
        <v>0</v>
      </c>
      <c r="I39" s="10">
        <f t="shared" si="19"/>
        <v>240</v>
      </c>
      <c r="J39" s="14">
        <v>0</v>
      </c>
      <c r="K39" s="14">
        <v>0</v>
      </c>
      <c r="L39" s="14">
        <v>0</v>
      </c>
      <c r="M39" s="14">
        <v>0</v>
      </c>
      <c r="N39" s="15">
        <f t="shared" si="17"/>
        <v>240</v>
      </c>
    </row>
    <row r="40" spans="1:14" ht="13.5" thickBot="1">
      <c r="A40" s="79" t="s">
        <v>188</v>
      </c>
      <c r="B40" s="55" t="s">
        <v>133</v>
      </c>
      <c r="C40" s="74">
        <v>20</v>
      </c>
      <c r="D40" s="74">
        <v>100</v>
      </c>
      <c r="E40" s="57">
        <v>0.15</v>
      </c>
      <c r="F40" s="78">
        <f t="shared" si="18"/>
        <v>300</v>
      </c>
      <c r="G40" s="63"/>
      <c r="H40" s="114">
        <v>0</v>
      </c>
      <c r="I40" s="10">
        <f t="shared" si="19"/>
        <v>300</v>
      </c>
      <c r="J40" s="14">
        <v>0</v>
      </c>
      <c r="K40" s="14">
        <v>0</v>
      </c>
      <c r="L40" s="14">
        <v>0</v>
      </c>
      <c r="M40" s="14">
        <v>0</v>
      </c>
      <c r="N40" s="15">
        <f t="shared" si="17"/>
        <v>300</v>
      </c>
    </row>
    <row r="41" spans="1:14" ht="13.5" thickBot="1">
      <c r="A41" s="79" t="s">
        <v>189</v>
      </c>
      <c r="B41" s="55" t="s">
        <v>190</v>
      </c>
      <c r="C41" s="74">
        <v>1</v>
      </c>
      <c r="D41" s="74">
        <v>100</v>
      </c>
      <c r="E41" s="57">
        <v>1.3</v>
      </c>
      <c r="F41" s="78">
        <f t="shared" si="18"/>
        <v>130</v>
      </c>
      <c r="G41" s="63"/>
      <c r="H41" s="114">
        <v>0</v>
      </c>
      <c r="I41" s="10">
        <f t="shared" si="19"/>
        <v>130</v>
      </c>
      <c r="J41" s="14">
        <v>0</v>
      </c>
      <c r="K41" s="14">
        <v>0</v>
      </c>
      <c r="L41" s="14">
        <v>0</v>
      </c>
      <c r="M41" s="14">
        <v>0</v>
      </c>
      <c r="N41" s="15">
        <f t="shared" si="17"/>
        <v>130</v>
      </c>
    </row>
    <row r="42" spans="1:14" ht="13.5" thickBot="1">
      <c r="A42" s="79" t="s">
        <v>191</v>
      </c>
      <c r="B42" s="55" t="s">
        <v>192</v>
      </c>
      <c r="C42" s="74">
        <v>1</v>
      </c>
      <c r="D42" s="74">
        <v>100</v>
      </c>
      <c r="E42" s="57">
        <v>4.5</v>
      </c>
      <c r="F42" s="78">
        <f t="shared" si="18"/>
        <v>450</v>
      </c>
      <c r="G42" s="63"/>
      <c r="H42" s="114">
        <v>0</v>
      </c>
      <c r="I42" s="10">
        <f t="shared" si="19"/>
        <v>450</v>
      </c>
      <c r="J42" s="14">
        <v>0</v>
      </c>
      <c r="K42" s="14">
        <v>0</v>
      </c>
      <c r="L42" s="14">
        <v>0</v>
      </c>
      <c r="M42" s="14">
        <v>0</v>
      </c>
      <c r="N42" s="15">
        <f t="shared" si="17"/>
        <v>450</v>
      </c>
    </row>
    <row r="43" spans="1:14" ht="13.5" thickBot="1">
      <c r="A43" s="79" t="s">
        <v>193</v>
      </c>
      <c r="B43" s="55" t="s">
        <v>128</v>
      </c>
      <c r="C43" s="74">
        <v>1</v>
      </c>
      <c r="D43" s="74">
        <v>100</v>
      </c>
      <c r="E43" s="57">
        <v>1</v>
      </c>
      <c r="F43" s="78">
        <f t="shared" si="18"/>
        <v>100</v>
      </c>
      <c r="G43" s="63"/>
      <c r="H43" s="114">
        <v>0</v>
      </c>
      <c r="I43" s="10">
        <f t="shared" si="19"/>
        <v>100</v>
      </c>
      <c r="J43" s="14">
        <v>0</v>
      </c>
      <c r="K43" s="14">
        <v>0</v>
      </c>
      <c r="L43" s="14">
        <v>0</v>
      </c>
      <c r="M43" s="14">
        <v>0</v>
      </c>
      <c r="N43" s="15">
        <f t="shared" si="17"/>
        <v>100</v>
      </c>
    </row>
    <row r="44" spans="1:14" ht="13.5" thickBot="1">
      <c r="A44" s="79" t="s">
        <v>194</v>
      </c>
      <c r="B44" s="55" t="s">
        <v>195</v>
      </c>
      <c r="C44" s="74">
        <v>25</v>
      </c>
      <c r="D44" s="74">
        <v>100</v>
      </c>
      <c r="E44" s="57">
        <v>0.1</v>
      </c>
      <c r="F44" s="78">
        <f t="shared" si="18"/>
        <v>250</v>
      </c>
      <c r="G44" s="63"/>
      <c r="H44" s="114">
        <v>0</v>
      </c>
      <c r="I44" s="10">
        <f t="shared" si="19"/>
        <v>250</v>
      </c>
      <c r="J44" s="14">
        <v>0</v>
      </c>
      <c r="K44" s="14">
        <v>0</v>
      </c>
      <c r="L44" s="14">
        <v>0</v>
      </c>
      <c r="M44" s="14">
        <v>0</v>
      </c>
      <c r="N44" s="15">
        <f t="shared" si="17"/>
        <v>250</v>
      </c>
    </row>
    <row r="45" spans="1:14" ht="26.25" thickBot="1">
      <c r="A45" s="79" t="s">
        <v>196</v>
      </c>
      <c r="B45" s="64" t="s">
        <v>197</v>
      </c>
      <c r="C45" s="74">
        <v>50</v>
      </c>
      <c r="D45" s="74">
        <v>6</v>
      </c>
      <c r="E45" s="57">
        <v>4</v>
      </c>
      <c r="F45" s="78">
        <f t="shared" si="14"/>
        <v>1200</v>
      </c>
      <c r="G45" s="63"/>
      <c r="H45" s="106">
        <v>0</v>
      </c>
      <c r="I45" s="10">
        <v>0</v>
      </c>
      <c r="J45" s="10">
        <v>0</v>
      </c>
      <c r="K45" s="10">
        <v>0</v>
      </c>
      <c r="L45" s="10">
        <v>0</v>
      </c>
      <c r="M45" s="10">
        <f>F45</f>
        <v>1200</v>
      </c>
      <c r="N45" s="15">
        <f t="shared" si="17"/>
        <v>1200</v>
      </c>
    </row>
    <row r="46" spans="1:14" ht="26.25" thickBot="1">
      <c r="A46" s="79" t="s">
        <v>198</v>
      </c>
      <c r="B46" s="62" t="s">
        <v>199</v>
      </c>
      <c r="C46" s="35">
        <v>1</v>
      </c>
      <c r="D46" s="35">
        <v>12</v>
      </c>
      <c r="E46" s="58">
        <v>50</v>
      </c>
      <c r="F46" s="57">
        <f>C46*D46*E46</f>
        <v>600</v>
      </c>
      <c r="G46" s="63"/>
      <c r="H46" s="106">
        <f>F46/6</f>
        <v>100</v>
      </c>
      <c r="I46" s="106">
        <f>F46/6</f>
        <v>100</v>
      </c>
      <c r="J46" s="106">
        <f>F46/6</f>
        <v>100</v>
      </c>
      <c r="K46" s="106">
        <f>F46/6</f>
        <v>100</v>
      </c>
      <c r="L46" s="106">
        <f>F46/6</f>
        <v>100</v>
      </c>
      <c r="M46" s="106">
        <f>F46/6</f>
        <v>100</v>
      </c>
      <c r="N46" s="15">
        <f t="shared" si="17"/>
        <v>600</v>
      </c>
    </row>
    <row r="47" spans="1:14" ht="13.5" thickBot="1">
      <c r="A47" s="68"/>
      <c r="B47" s="326" t="s">
        <v>53</v>
      </c>
      <c r="C47" s="331"/>
      <c r="D47" s="331"/>
      <c r="E47" s="332"/>
      <c r="F47" s="31">
        <f>SUM(F20:F46)</f>
        <v>143176</v>
      </c>
      <c r="G47" s="31">
        <f t="shared" ref="G47:M47" si="20">SUM(G20:G46)</f>
        <v>0</v>
      </c>
      <c r="H47" s="109">
        <f>SUM(H20:H46)</f>
        <v>89349.333333333328</v>
      </c>
      <c r="I47" s="31">
        <f t="shared" si="20"/>
        <v>12793.333333333332</v>
      </c>
      <c r="J47" s="31">
        <f t="shared" si="20"/>
        <v>10933.333333333332</v>
      </c>
      <c r="K47" s="31">
        <f t="shared" si="20"/>
        <v>10933.333333333332</v>
      </c>
      <c r="L47" s="31">
        <f t="shared" si="20"/>
        <v>10933.333333333332</v>
      </c>
      <c r="M47" s="31">
        <f t="shared" si="20"/>
        <v>8233.3333333333339</v>
      </c>
      <c r="N47" s="80">
        <f>SUM(N20:N46)</f>
        <v>143176</v>
      </c>
    </row>
    <row r="48" spans="1:14" ht="13.5" thickBot="1">
      <c r="A48" s="299" t="s">
        <v>54</v>
      </c>
      <c r="B48" s="329"/>
      <c r="C48" s="329"/>
      <c r="D48" s="329"/>
      <c r="E48" s="330"/>
      <c r="F48" s="81">
        <f>F47</f>
        <v>143176</v>
      </c>
      <c r="G48" s="81">
        <f>G47</f>
        <v>0</v>
      </c>
      <c r="H48" s="115">
        <f>H47</f>
        <v>89349.333333333328</v>
      </c>
      <c r="I48" s="82">
        <f t="shared" ref="I48:L48" si="21">I47</f>
        <v>12793.333333333332</v>
      </c>
      <c r="J48" s="82">
        <f t="shared" si="21"/>
        <v>10933.333333333332</v>
      </c>
      <c r="K48" s="82">
        <f t="shared" si="21"/>
        <v>10933.333333333332</v>
      </c>
      <c r="L48" s="82">
        <f t="shared" si="21"/>
        <v>10933.333333333332</v>
      </c>
      <c r="M48" s="82">
        <f>M47</f>
        <v>8233.3333333333339</v>
      </c>
      <c r="N48" s="82">
        <f>N47</f>
        <v>143176</v>
      </c>
    </row>
    <row r="49" spans="1:14" ht="13.5" thickBot="1">
      <c r="A49" s="24" t="s">
        <v>55</v>
      </c>
      <c r="B49" s="302" t="s">
        <v>200</v>
      </c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25"/>
    </row>
    <row r="50" spans="1:14" ht="13.5" thickBot="1">
      <c r="A50" s="30" t="s">
        <v>57</v>
      </c>
      <c r="B50" s="320" t="s">
        <v>201</v>
      </c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2"/>
    </row>
    <row r="51" spans="1:14" ht="26.25" thickBot="1">
      <c r="A51" s="54">
        <v>3.1</v>
      </c>
      <c r="B51" s="83" t="s">
        <v>202</v>
      </c>
      <c r="C51" s="84">
        <v>1</v>
      </c>
      <c r="D51" s="84">
        <v>12</v>
      </c>
      <c r="E51" s="85">
        <f>800</f>
        <v>800</v>
      </c>
      <c r="F51" s="86">
        <f>D51*E51*C51</f>
        <v>9600</v>
      </c>
      <c r="G51" s="87"/>
      <c r="H51" s="14">
        <v>0</v>
      </c>
      <c r="I51" s="14">
        <v>0</v>
      </c>
      <c r="J51" s="14">
        <f>F51/4</f>
        <v>2400</v>
      </c>
      <c r="K51" s="14">
        <f>F51/4</f>
        <v>2400</v>
      </c>
      <c r="L51" s="10">
        <f>F51/4</f>
        <v>2400</v>
      </c>
      <c r="M51" s="13">
        <f>F51/4</f>
        <v>2400</v>
      </c>
      <c r="N51" s="23">
        <f>SUM(H51:M51)</f>
        <v>9600</v>
      </c>
    </row>
    <row r="52" spans="1:14" ht="26.25" thickBot="1">
      <c r="A52" s="54">
        <v>3.2</v>
      </c>
      <c r="B52" s="83" t="s">
        <v>203</v>
      </c>
      <c r="C52" s="84">
        <v>2</v>
      </c>
      <c r="D52" s="84">
        <v>12</v>
      </c>
      <c r="E52" s="85">
        <v>30</v>
      </c>
      <c r="F52" s="86">
        <f>D52*E52*C52</f>
        <v>720</v>
      </c>
      <c r="G52" s="87"/>
      <c r="H52" s="123">
        <v>0</v>
      </c>
      <c r="I52" s="123">
        <v>0</v>
      </c>
      <c r="J52" s="14">
        <f>F52/4</f>
        <v>180</v>
      </c>
      <c r="K52" s="14">
        <f>F52/4</f>
        <v>180</v>
      </c>
      <c r="L52" s="10">
        <f>F52/4</f>
        <v>180</v>
      </c>
      <c r="M52" s="13">
        <f>F52/4</f>
        <v>180</v>
      </c>
      <c r="N52" s="21">
        <f>SUM(H52:M52)</f>
        <v>720</v>
      </c>
    </row>
    <row r="53" spans="1:14" ht="13.5" thickBot="1">
      <c r="A53" s="68"/>
      <c r="B53" s="305" t="s">
        <v>63</v>
      </c>
      <c r="C53" s="306"/>
      <c r="D53" s="306"/>
      <c r="E53" s="307"/>
      <c r="F53" s="88">
        <f>SUM(F51:F52)</f>
        <v>10320</v>
      </c>
      <c r="G53" s="31">
        <f t="shared" ref="G53:N53" si="22">SUM(G51:G52)</f>
        <v>0</v>
      </c>
      <c r="H53" s="109">
        <f t="shared" si="22"/>
        <v>0</v>
      </c>
      <c r="I53" s="31">
        <f t="shared" si="22"/>
        <v>0</v>
      </c>
      <c r="J53" s="31">
        <f>SUM(J51:J52)</f>
        <v>2580</v>
      </c>
      <c r="K53" s="31">
        <f t="shared" si="22"/>
        <v>2580</v>
      </c>
      <c r="L53" s="31">
        <f t="shared" si="22"/>
        <v>2580</v>
      </c>
      <c r="M53" s="31">
        <f t="shared" si="22"/>
        <v>2580</v>
      </c>
      <c r="N53" s="31">
        <f t="shared" si="22"/>
        <v>10320</v>
      </c>
    </row>
    <row r="54" spans="1:14" ht="15.75" customHeight="1" thickBot="1">
      <c r="A54" s="299" t="s">
        <v>64</v>
      </c>
      <c r="B54" s="300"/>
      <c r="C54" s="300"/>
      <c r="D54" s="300"/>
      <c r="E54" s="301"/>
      <c r="F54" s="70">
        <f>F53</f>
        <v>10320</v>
      </c>
      <c r="G54" s="70">
        <f>G53</f>
        <v>0</v>
      </c>
      <c r="H54" s="110">
        <f>H53</f>
        <v>0</v>
      </c>
      <c r="I54" s="70">
        <f t="shared" ref="I54:N54" si="23">I53</f>
        <v>0</v>
      </c>
      <c r="J54" s="70">
        <f>J53</f>
        <v>2580</v>
      </c>
      <c r="K54" s="70">
        <f t="shared" si="23"/>
        <v>2580</v>
      </c>
      <c r="L54" s="70">
        <f>L53</f>
        <v>2580</v>
      </c>
      <c r="M54" s="70">
        <f t="shared" si="23"/>
        <v>2580</v>
      </c>
      <c r="N54" s="70">
        <f t="shared" si="23"/>
        <v>10320</v>
      </c>
    </row>
    <row r="55" spans="1:14" ht="13.5" thickBot="1">
      <c r="A55" s="24" t="s">
        <v>65</v>
      </c>
      <c r="B55" s="302" t="s">
        <v>204</v>
      </c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25"/>
    </row>
    <row r="56" spans="1:14" ht="13.5" thickBot="1">
      <c r="A56" s="30" t="s">
        <v>67</v>
      </c>
      <c r="B56" s="320" t="s">
        <v>205</v>
      </c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2"/>
    </row>
    <row r="57" spans="1:14" ht="26.25" thickBot="1">
      <c r="A57" s="54">
        <v>4.0999999999999996</v>
      </c>
      <c r="B57" s="83" t="s">
        <v>206</v>
      </c>
      <c r="C57" s="84">
        <v>1</v>
      </c>
      <c r="D57" s="84">
        <v>3</v>
      </c>
      <c r="E57" s="85">
        <v>1000</v>
      </c>
      <c r="F57" s="57">
        <f>C57*D57*E57</f>
        <v>3000</v>
      </c>
      <c r="G57" s="87"/>
      <c r="H57" s="123">
        <v>0</v>
      </c>
      <c r="I57" s="123">
        <v>0</v>
      </c>
      <c r="J57" s="123">
        <v>0</v>
      </c>
      <c r="K57" s="123">
        <v>0</v>
      </c>
      <c r="L57" s="123">
        <v>0</v>
      </c>
      <c r="M57" s="122">
        <f>F57</f>
        <v>3000</v>
      </c>
      <c r="N57" s="12">
        <f>SUM(H57:M57)</f>
        <v>3000</v>
      </c>
    </row>
    <row r="58" spans="1:14" ht="13.5" thickBot="1">
      <c r="A58" s="68"/>
      <c r="B58" s="305" t="s">
        <v>70</v>
      </c>
      <c r="C58" s="306"/>
      <c r="D58" s="306"/>
      <c r="E58" s="307"/>
      <c r="F58" s="88">
        <f t="shared" ref="F58:N58" si="24">SUM(F57)</f>
        <v>3000</v>
      </c>
      <c r="G58" s="31">
        <f t="shared" si="24"/>
        <v>0</v>
      </c>
      <c r="H58" s="109">
        <f t="shared" si="24"/>
        <v>0</v>
      </c>
      <c r="I58" s="109">
        <f t="shared" si="24"/>
        <v>0</v>
      </c>
      <c r="J58" s="109">
        <f t="shared" si="24"/>
        <v>0</v>
      </c>
      <c r="K58" s="109">
        <f t="shared" si="24"/>
        <v>0</v>
      </c>
      <c r="L58" s="109">
        <f t="shared" si="24"/>
        <v>0</v>
      </c>
      <c r="M58" s="109">
        <f t="shared" si="24"/>
        <v>3000</v>
      </c>
      <c r="N58" s="109">
        <f t="shared" si="24"/>
        <v>3000</v>
      </c>
    </row>
    <row r="59" spans="1:14" ht="13.5" thickBot="1">
      <c r="A59" s="299" t="s">
        <v>71</v>
      </c>
      <c r="B59" s="329"/>
      <c r="C59" s="329"/>
      <c r="D59" s="329"/>
      <c r="E59" s="330"/>
      <c r="F59" s="82">
        <f>F58</f>
        <v>3000</v>
      </c>
      <c r="G59" s="81">
        <f>G57</f>
        <v>0</v>
      </c>
      <c r="H59" s="115">
        <f t="shared" ref="H59:N59" si="25">H58</f>
        <v>0</v>
      </c>
      <c r="I59" s="115">
        <f t="shared" si="25"/>
        <v>0</v>
      </c>
      <c r="J59" s="115">
        <f t="shared" si="25"/>
        <v>0</v>
      </c>
      <c r="K59" s="115">
        <f t="shared" si="25"/>
        <v>0</v>
      </c>
      <c r="L59" s="115">
        <f t="shared" si="25"/>
        <v>0</v>
      </c>
      <c r="M59" s="115">
        <f t="shared" si="25"/>
        <v>3000</v>
      </c>
      <c r="N59" s="82">
        <f t="shared" si="25"/>
        <v>3000</v>
      </c>
    </row>
    <row r="60" spans="1:14" ht="15.75" customHeight="1" thickBot="1">
      <c r="A60" s="24" t="s">
        <v>72</v>
      </c>
      <c r="B60" s="302" t="s">
        <v>207</v>
      </c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25"/>
    </row>
    <row r="61" spans="1:14" ht="15.75" customHeight="1" thickBot="1">
      <c r="A61" s="25" t="s">
        <v>74</v>
      </c>
      <c r="B61" s="336" t="s">
        <v>75</v>
      </c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8"/>
    </row>
    <row r="62" spans="1:14" s="99" customFormat="1" ht="26.25" thickBot="1">
      <c r="A62" s="64" t="s">
        <v>76</v>
      </c>
      <c r="B62" s="127" t="s">
        <v>208</v>
      </c>
      <c r="C62" s="128">
        <v>1</v>
      </c>
      <c r="D62" s="128">
        <v>6</v>
      </c>
      <c r="E62" s="89">
        <v>200</v>
      </c>
      <c r="F62" s="89">
        <f>E62*D62*C62/2</f>
        <v>600</v>
      </c>
      <c r="G62" s="89">
        <f>C62*E62*D62/2</f>
        <v>600</v>
      </c>
      <c r="H62" s="129">
        <f>F62/2</f>
        <v>300</v>
      </c>
      <c r="I62" s="13">
        <v>0</v>
      </c>
      <c r="J62" s="13">
        <v>0</v>
      </c>
      <c r="K62" s="13">
        <f>F62/2</f>
        <v>300</v>
      </c>
      <c r="L62" s="13">
        <v>0</v>
      </c>
      <c r="M62" s="13">
        <v>0</v>
      </c>
      <c r="N62" s="89">
        <f>SUM(H62:M62)</f>
        <v>600</v>
      </c>
    </row>
    <row r="63" spans="1:14" ht="34.5" customHeight="1" thickBot="1">
      <c r="A63" s="83" t="s">
        <v>78</v>
      </c>
      <c r="B63" s="83" t="s">
        <v>209</v>
      </c>
      <c r="C63" s="84">
        <v>1</v>
      </c>
      <c r="D63" s="84">
        <v>18</v>
      </c>
      <c r="E63" s="86">
        <v>300</v>
      </c>
      <c r="F63" s="86">
        <f>E63*D63*C63/2</f>
        <v>2700</v>
      </c>
      <c r="G63" s="86">
        <f t="shared" ref="G63:G68" si="26">C63*E63*D63/2</f>
        <v>2700</v>
      </c>
      <c r="H63" s="116">
        <f>F63/6</f>
        <v>450</v>
      </c>
      <c r="I63" s="86">
        <f t="shared" ref="I63:I68" si="27">F63/6</f>
        <v>450</v>
      </c>
      <c r="J63" s="86">
        <f t="shared" ref="J63:J68" si="28">F63/6</f>
        <v>450</v>
      </c>
      <c r="K63" s="86">
        <f t="shared" ref="K63:K68" si="29">F63/6</f>
        <v>450</v>
      </c>
      <c r="L63" s="86">
        <f t="shared" ref="L63:L68" si="30">F63/6</f>
        <v>450</v>
      </c>
      <c r="M63" s="86">
        <f t="shared" ref="M63:M68" si="31">F63/6</f>
        <v>450</v>
      </c>
      <c r="N63" s="86">
        <f>SUM(H63:M63)</f>
        <v>2700</v>
      </c>
    </row>
    <row r="64" spans="1:14" s="99" customFormat="1" ht="26.25" thickBot="1">
      <c r="A64" s="83" t="s">
        <v>80</v>
      </c>
      <c r="B64" s="83" t="s">
        <v>210</v>
      </c>
      <c r="C64" s="84">
        <v>1</v>
      </c>
      <c r="D64" s="84">
        <v>18</v>
      </c>
      <c r="E64" s="86">
        <v>300</v>
      </c>
      <c r="F64" s="86">
        <f>E64*D64*C64/2</f>
        <v>2700</v>
      </c>
      <c r="G64" s="86">
        <f t="shared" si="26"/>
        <v>2700</v>
      </c>
      <c r="H64" s="116">
        <f t="shared" ref="H64:H68" si="32">F64/6</f>
        <v>450</v>
      </c>
      <c r="I64" s="86">
        <f t="shared" si="27"/>
        <v>450</v>
      </c>
      <c r="J64" s="86">
        <f t="shared" si="28"/>
        <v>450</v>
      </c>
      <c r="K64" s="86">
        <f t="shared" si="29"/>
        <v>450</v>
      </c>
      <c r="L64" s="86">
        <f t="shared" si="30"/>
        <v>450</v>
      </c>
      <c r="M64" s="86">
        <f t="shared" si="31"/>
        <v>450</v>
      </c>
      <c r="N64" s="86">
        <f>SUM(H64:M64)</f>
        <v>2700</v>
      </c>
    </row>
    <row r="65" spans="1:15" ht="35.25" customHeight="1" thickBot="1">
      <c r="A65" s="83" t="s">
        <v>82</v>
      </c>
      <c r="B65" s="83" t="s">
        <v>211</v>
      </c>
      <c r="C65" s="84">
        <v>1</v>
      </c>
      <c r="D65" s="84">
        <v>18</v>
      </c>
      <c r="E65" s="86">
        <v>300</v>
      </c>
      <c r="F65" s="86">
        <f t="shared" ref="F65:F68" si="33">E65*D65*C65/2</f>
        <v>2700</v>
      </c>
      <c r="G65" s="86">
        <f t="shared" si="26"/>
        <v>2700</v>
      </c>
      <c r="H65" s="116">
        <f t="shared" si="32"/>
        <v>450</v>
      </c>
      <c r="I65" s="86">
        <f t="shared" si="27"/>
        <v>450</v>
      </c>
      <c r="J65" s="86">
        <f t="shared" si="28"/>
        <v>450</v>
      </c>
      <c r="K65" s="86">
        <f t="shared" si="29"/>
        <v>450</v>
      </c>
      <c r="L65" s="86">
        <f t="shared" si="30"/>
        <v>450</v>
      </c>
      <c r="M65" s="86">
        <f t="shared" si="31"/>
        <v>450</v>
      </c>
      <c r="N65" s="86">
        <f t="shared" ref="N65:N68" si="34">SUM(H65:M65)</f>
        <v>2700</v>
      </c>
    </row>
    <row r="66" spans="1:15" ht="35.25" customHeight="1" thickBot="1">
      <c r="A66" s="83" t="s">
        <v>84</v>
      </c>
      <c r="B66" s="83" t="s">
        <v>212</v>
      </c>
      <c r="C66" s="84">
        <v>1</v>
      </c>
      <c r="D66" s="84">
        <v>18</v>
      </c>
      <c r="E66" s="86">
        <v>300</v>
      </c>
      <c r="F66" s="86">
        <f t="shared" si="33"/>
        <v>2700</v>
      </c>
      <c r="G66" s="86">
        <f t="shared" si="26"/>
        <v>2700</v>
      </c>
      <c r="H66" s="116">
        <f t="shared" si="32"/>
        <v>450</v>
      </c>
      <c r="I66" s="86">
        <f t="shared" si="27"/>
        <v>450</v>
      </c>
      <c r="J66" s="86">
        <f t="shared" si="28"/>
        <v>450</v>
      </c>
      <c r="K66" s="86">
        <f t="shared" si="29"/>
        <v>450</v>
      </c>
      <c r="L66" s="86">
        <f t="shared" si="30"/>
        <v>450</v>
      </c>
      <c r="M66" s="86">
        <f t="shared" si="31"/>
        <v>450</v>
      </c>
      <c r="N66" s="86">
        <f t="shared" si="34"/>
        <v>2700</v>
      </c>
    </row>
    <row r="67" spans="1:15" ht="33" customHeight="1" thickBot="1">
      <c r="A67" s="83" t="s">
        <v>86</v>
      </c>
      <c r="B67" s="83" t="s">
        <v>213</v>
      </c>
      <c r="C67" s="84">
        <v>1</v>
      </c>
      <c r="D67" s="84">
        <v>12</v>
      </c>
      <c r="E67" s="86">
        <v>200</v>
      </c>
      <c r="F67" s="86">
        <f t="shared" si="33"/>
        <v>1200</v>
      </c>
      <c r="G67" s="86">
        <f t="shared" si="26"/>
        <v>1200</v>
      </c>
      <c r="H67" s="106">
        <f>F67/4</f>
        <v>300</v>
      </c>
      <c r="I67" s="106">
        <f>F67/4</f>
        <v>300</v>
      </c>
      <c r="J67" s="106">
        <f>F67/4</f>
        <v>300</v>
      </c>
      <c r="K67" s="106">
        <f>F67/4</f>
        <v>300</v>
      </c>
      <c r="L67" s="106">
        <v>0</v>
      </c>
      <c r="M67" s="106">
        <v>0</v>
      </c>
      <c r="N67" s="86">
        <f>SUM(H67:M67)</f>
        <v>1200</v>
      </c>
    </row>
    <row r="68" spans="1:15" ht="35.25" customHeight="1" thickBot="1">
      <c r="A68" s="83" t="s">
        <v>214</v>
      </c>
      <c r="B68" s="83" t="s">
        <v>215</v>
      </c>
      <c r="C68" s="84">
        <v>1</v>
      </c>
      <c r="D68" s="84">
        <v>18</v>
      </c>
      <c r="E68" s="86">
        <v>200</v>
      </c>
      <c r="F68" s="86">
        <f t="shared" si="33"/>
        <v>1800</v>
      </c>
      <c r="G68" s="86">
        <f t="shared" si="26"/>
        <v>1800</v>
      </c>
      <c r="H68" s="116">
        <f t="shared" si="32"/>
        <v>300</v>
      </c>
      <c r="I68" s="86">
        <f t="shared" si="27"/>
        <v>300</v>
      </c>
      <c r="J68" s="86">
        <f t="shared" si="28"/>
        <v>300</v>
      </c>
      <c r="K68" s="86">
        <f t="shared" si="29"/>
        <v>300</v>
      </c>
      <c r="L68" s="86">
        <f t="shared" si="30"/>
        <v>300</v>
      </c>
      <c r="M68" s="86">
        <f t="shared" si="31"/>
        <v>300</v>
      </c>
      <c r="N68" s="86">
        <f t="shared" si="34"/>
        <v>1800</v>
      </c>
    </row>
    <row r="69" spans="1:15" ht="15.75" customHeight="1" thickBot="1">
      <c r="A69" s="100"/>
      <c r="B69" s="339" t="s">
        <v>88</v>
      </c>
      <c r="C69" s="339"/>
      <c r="D69" s="339"/>
      <c r="E69" s="339"/>
      <c r="F69" s="101">
        <f>SUM(F62:F68)</f>
        <v>14400</v>
      </c>
      <c r="G69" s="101">
        <f t="shared" ref="G69:M69" si="35">SUM(G62:G68)</f>
        <v>14400</v>
      </c>
      <c r="H69" s="101">
        <f t="shared" si="35"/>
        <v>2700</v>
      </c>
      <c r="I69" s="101">
        <f t="shared" si="35"/>
        <v>2400</v>
      </c>
      <c r="J69" s="101">
        <f t="shared" si="35"/>
        <v>2400</v>
      </c>
      <c r="K69" s="101">
        <f t="shared" si="35"/>
        <v>2700</v>
      </c>
      <c r="L69" s="101">
        <f t="shared" si="35"/>
        <v>2100</v>
      </c>
      <c r="M69" s="101">
        <f t="shared" si="35"/>
        <v>2100</v>
      </c>
      <c r="N69" s="102">
        <f>SUM(N62:N68)</f>
        <v>14400</v>
      </c>
      <c r="O69" s="37"/>
    </row>
    <row r="70" spans="1:15" ht="15.75" customHeight="1" thickBot="1">
      <c r="A70" s="30" t="s">
        <v>89</v>
      </c>
      <c r="B70" s="320" t="s">
        <v>90</v>
      </c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2"/>
    </row>
    <row r="71" spans="1:15" s="132" customFormat="1" ht="36.75" customHeight="1" thickBot="1">
      <c r="A71" s="26" t="s">
        <v>91</v>
      </c>
      <c r="B71" s="26" t="s">
        <v>216</v>
      </c>
      <c r="C71" s="27">
        <v>1</v>
      </c>
      <c r="D71" s="27">
        <v>12</v>
      </c>
      <c r="E71" s="57">
        <v>600</v>
      </c>
      <c r="F71" s="86">
        <f>D71*E71*C71/2</f>
        <v>3600</v>
      </c>
      <c r="G71" s="86">
        <f>E71*D71*C71/2</f>
        <v>3600</v>
      </c>
      <c r="H71" s="117">
        <f>F71/4</f>
        <v>900</v>
      </c>
      <c r="I71" s="87">
        <f>F71/4</f>
        <v>900</v>
      </c>
      <c r="J71" s="87">
        <f>F71/4</f>
        <v>900</v>
      </c>
      <c r="K71" s="87">
        <f>F71/4</f>
        <v>900</v>
      </c>
      <c r="L71" s="130">
        <v>0</v>
      </c>
      <c r="M71" s="130">
        <v>0</v>
      </c>
      <c r="N71" s="87">
        <f t="shared" ref="N71:N74" si="36">SUM(H71:M71)</f>
        <v>3600</v>
      </c>
      <c r="O71" s="131"/>
    </row>
    <row r="72" spans="1:15" ht="24.75" customHeight="1" thickBot="1">
      <c r="A72" s="26" t="s">
        <v>94</v>
      </c>
      <c r="B72" s="26" t="s">
        <v>217</v>
      </c>
      <c r="C72" s="27">
        <v>3</v>
      </c>
      <c r="D72" s="27">
        <v>9</v>
      </c>
      <c r="E72" s="57">
        <v>1000</v>
      </c>
      <c r="F72" s="86">
        <v>3500</v>
      </c>
      <c r="G72" s="86">
        <f>E72*D72*C72-3500</f>
        <v>23500</v>
      </c>
      <c r="H72" s="117">
        <f t="shared" ref="H72" si="37">F72/6</f>
        <v>583.33333333333337</v>
      </c>
      <c r="I72" s="87">
        <f t="shared" ref="I72" si="38">F72/6</f>
        <v>583.33333333333337</v>
      </c>
      <c r="J72" s="87">
        <f t="shared" ref="J72" si="39">F72/6</f>
        <v>583.33333333333337</v>
      </c>
      <c r="K72" s="87">
        <f t="shared" ref="K72" si="40">F72/6</f>
        <v>583.33333333333337</v>
      </c>
      <c r="L72" s="87">
        <f t="shared" ref="L72" si="41">F72/6</f>
        <v>583.33333333333337</v>
      </c>
      <c r="M72" s="87">
        <f t="shared" ref="M72" si="42">F72/6</f>
        <v>583.33333333333337</v>
      </c>
      <c r="N72" s="87">
        <f t="shared" si="36"/>
        <v>3500.0000000000005</v>
      </c>
    </row>
    <row r="73" spans="1:15" ht="13.5" thickBot="1">
      <c r="A73" s="26" t="s">
        <v>218</v>
      </c>
      <c r="B73" s="26" t="s">
        <v>219</v>
      </c>
      <c r="C73" s="27">
        <v>1500</v>
      </c>
      <c r="D73" s="27">
        <f>18*4</f>
        <v>72</v>
      </c>
      <c r="E73" s="57">
        <v>1</v>
      </c>
      <c r="F73" s="86"/>
      <c r="G73" s="86">
        <f>E73*D73*C73</f>
        <v>108000</v>
      </c>
      <c r="H73" s="117"/>
      <c r="I73" s="117"/>
      <c r="J73" s="117"/>
      <c r="K73" s="117"/>
      <c r="L73" s="117"/>
      <c r="M73" s="117"/>
      <c r="N73" s="87">
        <f t="shared" si="36"/>
        <v>0</v>
      </c>
    </row>
    <row r="74" spans="1:15" ht="30.75" customHeight="1" thickBot="1">
      <c r="A74" s="26" t="s">
        <v>220</v>
      </c>
      <c r="B74" s="26" t="s">
        <v>115</v>
      </c>
      <c r="C74" s="27">
        <v>1</v>
      </c>
      <c r="D74" s="27">
        <v>14</v>
      </c>
      <c r="E74" s="57">
        <v>250</v>
      </c>
      <c r="F74" s="86">
        <f>D74*E74*C74/2</f>
        <v>1750</v>
      </c>
      <c r="G74" s="86">
        <f>E74*D74*C74/2</f>
        <v>1750</v>
      </c>
      <c r="H74" s="117">
        <f>(F74/14)*3</f>
        <v>375</v>
      </c>
      <c r="I74" s="117">
        <f>(F74/14)*3</f>
        <v>375</v>
      </c>
      <c r="J74" s="117">
        <f>(F74/14)*3</f>
        <v>375</v>
      </c>
      <c r="K74" s="117">
        <f>(F74/14)*3</f>
        <v>375</v>
      </c>
      <c r="L74" s="117">
        <f>(F74/14)*2</f>
        <v>250</v>
      </c>
      <c r="M74" s="130">
        <v>0</v>
      </c>
      <c r="N74" s="87">
        <f t="shared" si="36"/>
        <v>1750</v>
      </c>
      <c r="O74" s="37"/>
    </row>
    <row r="75" spans="1:15" ht="15.75" customHeight="1" thickBot="1">
      <c r="A75" s="28"/>
      <c r="B75" s="340" t="s">
        <v>97</v>
      </c>
      <c r="C75" s="340"/>
      <c r="D75" s="340"/>
      <c r="E75" s="314"/>
      <c r="F75" s="31">
        <f>SUM(F71:F74)</f>
        <v>8850</v>
      </c>
      <c r="G75" s="32">
        <f>SUM(G71:G74)</f>
        <v>136850</v>
      </c>
      <c r="H75" s="118">
        <f t="shared" ref="H75:M75" si="43">SUM(H71:H74)</f>
        <v>1858.3333333333335</v>
      </c>
      <c r="I75" s="29">
        <f t="shared" si="43"/>
        <v>1858.3333333333335</v>
      </c>
      <c r="J75" s="29">
        <f t="shared" si="43"/>
        <v>1858.3333333333335</v>
      </c>
      <c r="K75" s="29">
        <f t="shared" si="43"/>
        <v>1858.3333333333335</v>
      </c>
      <c r="L75" s="29">
        <f t="shared" si="43"/>
        <v>833.33333333333337</v>
      </c>
      <c r="M75" s="29">
        <f t="shared" si="43"/>
        <v>583.33333333333337</v>
      </c>
      <c r="N75" s="29">
        <f>SUM(N71:N74)</f>
        <v>8850</v>
      </c>
      <c r="O75" s="37"/>
    </row>
    <row r="76" spans="1:15" ht="15.75" customHeight="1" thickBot="1">
      <c r="A76" s="25" t="s">
        <v>98</v>
      </c>
      <c r="B76" s="333" t="s">
        <v>99</v>
      </c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5"/>
    </row>
    <row r="77" spans="1:15" ht="29.25" customHeight="1" thickBot="1">
      <c r="A77" s="33" t="s">
        <v>100</v>
      </c>
      <c r="B77" s="34" t="s">
        <v>221</v>
      </c>
      <c r="C77" s="35">
        <v>1</v>
      </c>
      <c r="D77" s="35">
        <v>18</v>
      </c>
      <c r="E77" s="57">
        <v>350</v>
      </c>
      <c r="F77" s="87"/>
      <c r="G77" s="89">
        <f>E77*D77*C77</f>
        <v>6300</v>
      </c>
      <c r="H77" s="117"/>
      <c r="I77" s="87"/>
      <c r="J77" s="87"/>
      <c r="K77" s="87"/>
      <c r="L77" s="87"/>
      <c r="M77" s="87"/>
      <c r="N77" s="87">
        <f>SUM(H77:M77)</f>
        <v>0</v>
      </c>
    </row>
    <row r="78" spans="1:15" s="99" customFormat="1" ht="26.25" thickBot="1">
      <c r="A78" s="33" t="s">
        <v>102</v>
      </c>
      <c r="B78" s="34" t="s">
        <v>222</v>
      </c>
      <c r="C78" s="104">
        <v>1</v>
      </c>
      <c r="D78" s="104">
        <v>6</v>
      </c>
      <c r="E78" s="57">
        <v>350</v>
      </c>
      <c r="F78" s="86">
        <f>D78*E78*C78/2</f>
        <v>1050</v>
      </c>
      <c r="G78" s="86">
        <f>E78*D78*C78/2</f>
        <v>1050</v>
      </c>
      <c r="H78" s="117">
        <f>F78/6</f>
        <v>175</v>
      </c>
      <c r="I78" s="117">
        <f>F78/6</f>
        <v>175</v>
      </c>
      <c r="J78" s="117">
        <f>F78/6</f>
        <v>175</v>
      </c>
      <c r="K78" s="117">
        <f>F78/6</f>
        <v>175</v>
      </c>
      <c r="L78" s="117">
        <f>F78/6</f>
        <v>175</v>
      </c>
      <c r="M78" s="117">
        <f>F78/6</f>
        <v>175</v>
      </c>
      <c r="N78" s="87">
        <f>SUM(H78:M78)</f>
        <v>1050</v>
      </c>
    </row>
    <row r="79" spans="1:15" ht="15.75" customHeight="1" thickBot="1">
      <c r="A79" s="28"/>
      <c r="B79" s="340" t="s">
        <v>104</v>
      </c>
      <c r="C79" s="340"/>
      <c r="D79" s="340"/>
      <c r="E79" s="340"/>
      <c r="F79" s="29">
        <f>SUM(F77:F78)</f>
        <v>1050</v>
      </c>
      <c r="G79" s="126">
        <f>SUM(G77:G78)</f>
        <v>7350</v>
      </c>
      <c r="H79" s="109">
        <f>SUM(H77:H78)</f>
        <v>175</v>
      </c>
      <c r="I79" s="109">
        <f t="shared" ref="I79:M79" si="44">SUM(I77:I78)</f>
        <v>175</v>
      </c>
      <c r="J79" s="109">
        <f t="shared" si="44"/>
        <v>175</v>
      </c>
      <c r="K79" s="109">
        <f t="shared" si="44"/>
        <v>175</v>
      </c>
      <c r="L79" s="109">
        <f t="shared" si="44"/>
        <v>175</v>
      </c>
      <c r="M79" s="109">
        <f t="shared" si="44"/>
        <v>175</v>
      </c>
      <c r="N79" s="80">
        <f>SUM(N77:N78)</f>
        <v>1050</v>
      </c>
      <c r="O79" s="37"/>
    </row>
    <row r="80" spans="1:15" ht="15.75" customHeight="1" thickBot="1">
      <c r="A80" s="341" t="s">
        <v>105</v>
      </c>
      <c r="B80" s="342"/>
      <c r="C80" s="342"/>
      <c r="D80" s="342"/>
      <c r="E80" s="343"/>
      <c r="F80" s="36">
        <f>F79+F75+F69</f>
        <v>24300</v>
      </c>
      <c r="G80" s="36">
        <f>G79+G75+G69</f>
        <v>158600</v>
      </c>
      <c r="H80" s="119">
        <f>H79+H75+H69</f>
        <v>4733.3333333333339</v>
      </c>
      <c r="I80" s="36">
        <f t="shared" ref="I80:M80" si="45">I79+I75+I69</f>
        <v>4433.3333333333339</v>
      </c>
      <c r="J80" s="36">
        <f t="shared" si="45"/>
        <v>4433.3333333333339</v>
      </c>
      <c r="K80" s="36">
        <f t="shared" si="45"/>
        <v>4733.3333333333339</v>
      </c>
      <c r="L80" s="36">
        <f t="shared" si="45"/>
        <v>3108.3333333333335</v>
      </c>
      <c r="M80" s="36">
        <f t="shared" si="45"/>
        <v>2858.3333333333335</v>
      </c>
      <c r="N80" s="36">
        <f>N79+N75+N69</f>
        <v>24300</v>
      </c>
    </row>
    <row r="81" spans="1:14" ht="32.25" customHeight="1" thickBot="1">
      <c r="A81" s="311" t="s">
        <v>106</v>
      </c>
      <c r="B81" s="312"/>
      <c r="C81" s="312"/>
      <c r="D81" s="312"/>
      <c r="E81" s="313"/>
      <c r="F81" s="90">
        <f>F17+F54+F48+F80+F59</f>
        <v>188546</v>
      </c>
      <c r="G81" s="90">
        <f>G17+G54+G48+G80+G59</f>
        <v>158600</v>
      </c>
      <c r="H81" s="120">
        <f t="shared" ref="H81:N81" si="46">H17+H48+H54+H59+H80</f>
        <v>94082.666666666657</v>
      </c>
      <c r="I81" s="120">
        <f t="shared" si="46"/>
        <v>24976.666666666664</v>
      </c>
      <c r="J81" s="120">
        <f t="shared" si="46"/>
        <v>17946.666666666664</v>
      </c>
      <c r="K81" s="120">
        <f t="shared" si="46"/>
        <v>18246.666666666664</v>
      </c>
      <c r="L81" s="120">
        <f t="shared" si="46"/>
        <v>16621.666666666664</v>
      </c>
      <c r="M81" s="120">
        <f t="shared" si="46"/>
        <v>16671.666666666668</v>
      </c>
      <c r="N81" s="120">
        <f t="shared" si="46"/>
        <v>188546</v>
      </c>
    </row>
    <row r="82" spans="1:14" ht="27" customHeight="1">
      <c r="A82" s="344"/>
      <c r="B82" s="344"/>
      <c r="C82" s="344"/>
      <c r="D82" s="344"/>
      <c r="E82" s="344"/>
      <c r="F82" s="124"/>
      <c r="G82" s="37"/>
      <c r="H82" s="125"/>
      <c r="I82" s="37"/>
    </row>
    <row r="85" spans="1:14" ht="38.25" customHeight="1">
      <c r="A85" s="345" t="s">
        <v>107</v>
      </c>
      <c r="B85" s="345"/>
      <c r="C85" s="345"/>
      <c r="D85" s="345"/>
      <c r="E85" s="345"/>
      <c r="F85" s="345"/>
      <c r="H85" s="121"/>
    </row>
    <row r="86" spans="1:14">
      <c r="A86" s="91"/>
      <c r="B86" s="92" t="s">
        <v>108</v>
      </c>
      <c r="C86" s="93" t="s">
        <v>7</v>
      </c>
      <c r="D86" s="93" t="s">
        <v>8</v>
      </c>
      <c r="E86" s="94" t="s">
        <v>109</v>
      </c>
      <c r="F86" s="94" t="s">
        <v>110</v>
      </c>
      <c r="H86" s="121"/>
    </row>
    <row r="87" spans="1:14">
      <c r="A87" s="95"/>
      <c r="B87" s="133" t="s">
        <v>16</v>
      </c>
      <c r="C87" s="38"/>
      <c r="D87" s="38"/>
      <c r="E87" s="39">
        <v>0</v>
      </c>
      <c r="F87" s="96">
        <v>0</v>
      </c>
      <c r="H87" s="121"/>
    </row>
    <row r="88" spans="1:14">
      <c r="A88" s="95"/>
      <c r="B88" s="134" t="s">
        <v>29</v>
      </c>
      <c r="C88" s="38"/>
      <c r="D88" s="38"/>
      <c r="E88" s="39">
        <v>0</v>
      </c>
      <c r="F88" s="96">
        <v>0</v>
      </c>
      <c r="H88" s="121"/>
    </row>
    <row r="89" spans="1:14" ht="12.75" customHeight="1">
      <c r="A89" s="95"/>
      <c r="B89" s="134" t="s">
        <v>55</v>
      </c>
      <c r="C89" s="38"/>
      <c r="D89" s="38"/>
      <c r="E89" s="39">
        <v>0</v>
      </c>
      <c r="F89" s="96">
        <v>0</v>
      </c>
      <c r="H89" s="121"/>
    </row>
    <row r="90" spans="1:14">
      <c r="A90" s="95"/>
      <c r="B90" s="134" t="s">
        <v>65</v>
      </c>
      <c r="C90" s="38"/>
      <c r="D90" s="38"/>
      <c r="E90" s="39">
        <v>0</v>
      </c>
      <c r="F90" s="96">
        <v>0</v>
      </c>
      <c r="H90" s="121"/>
    </row>
    <row r="91" spans="1:14">
      <c r="A91" s="95"/>
      <c r="B91" s="134" t="s">
        <v>72</v>
      </c>
      <c r="C91" s="38"/>
      <c r="D91" s="38"/>
      <c r="E91" s="39">
        <v>0</v>
      </c>
      <c r="F91" s="96">
        <v>0</v>
      </c>
      <c r="H91" s="121"/>
    </row>
    <row r="92" spans="1:14" ht="25.5">
      <c r="A92" s="95"/>
      <c r="B92" s="135" t="s">
        <v>208</v>
      </c>
      <c r="C92" s="38">
        <f>C62</f>
        <v>1</v>
      </c>
      <c r="D92" s="38">
        <f>D62</f>
        <v>6</v>
      </c>
      <c r="E92" s="39">
        <f>E62</f>
        <v>200</v>
      </c>
      <c r="F92" s="96">
        <f>G62</f>
        <v>600</v>
      </c>
      <c r="H92" s="121"/>
    </row>
    <row r="93" spans="1:14" ht="25.5">
      <c r="A93" s="95"/>
      <c r="B93" s="135" t="s">
        <v>209</v>
      </c>
      <c r="C93" s="38">
        <f t="shared" ref="C93:E98" si="47">C63</f>
        <v>1</v>
      </c>
      <c r="D93" s="38">
        <f t="shared" si="47"/>
        <v>18</v>
      </c>
      <c r="E93" s="39">
        <f t="shared" si="47"/>
        <v>300</v>
      </c>
      <c r="F93" s="96">
        <f t="shared" ref="F93:F98" si="48">G63</f>
        <v>2700</v>
      </c>
      <c r="H93" s="121"/>
    </row>
    <row r="94" spans="1:14" ht="25.5">
      <c r="A94" s="95"/>
      <c r="B94" s="135" t="s">
        <v>210</v>
      </c>
      <c r="C94" s="38">
        <f t="shared" si="47"/>
        <v>1</v>
      </c>
      <c r="D94" s="38">
        <f t="shared" si="47"/>
        <v>18</v>
      </c>
      <c r="E94" s="39">
        <f t="shared" si="47"/>
        <v>300</v>
      </c>
      <c r="F94" s="96">
        <f t="shared" si="48"/>
        <v>2700</v>
      </c>
      <c r="H94" s="121"/>
    </row>
    <row r="95" spans="1:14" ht="25.5">
      <c r="A95" s="95"/>
      <c r="B95" s="135" t="s">
        <v>211</v>
      </c>
      <c r="C95" s="38">
        <f t="shared" si="47"/>
        <v>1</v>
      </c>
      <c r="D95" s="38">
        <f t="shared" si="47"/>
        <v>18</v>
      </c>
      <c r="E95" s="39">
        <f t="shared" si="47"/>
        <v>300</v>
      </c>
      <c r="F95" s="96">
        <f t="shared" si="48"/>
        <v>2700</v>
      </c>
      <c r="H95" s="121"/>
    </row>
    <row r="96" spans="1:14" ht="25.5">
      <c r="A96" s="95"/>
      <c r="B96" s="135" t="s">
        <v>212</v>
      </c>
      <c r="C96" s="38">
        <f t="shared" si="47"/>
        <v>1</v>
      </c>
      <c r="D96" s="38">
        <f t="shared" si="47"/>
        <v>18</v>
      </c>
      <c r="E96" s="39">
        <f t="shared" si="47"/>
        <v>300</v>
      </c>
      <c r="F96" s="96">
        <f t="shared" si="48"/>
        <v>2700</v>
      </c>
      <c r="H96" s="121"/>
    </row>
    <row r="97" spans="1:8" ht="25.5">
      <c r="A97" s="95"/>
      <c r="B97" s="135" t="s">
        <v>213</v>
      </c>
      <c r="C97" s="38">
        <f t="shared" si="47"/>
        <v>1</v>
      </c>
      <c r="D97" s="38">
        <f t="shared" si="47"/>
        <v>12</v>
      </c>
      <c r="E97" s="39">
        <f t="shared" si="47"/>
        <v>200</v>
      </c>
      <c r="F97" s="96">
        <f t="shared" si="48"/>
        <v>1200</v>
      </c>
      <c r="H97" s="121"/>
    </row>
    <row r="98" spans="1:8" ht="25.5">
      <c r="A98" s="95"/>
      <c r="B98" s="135" t="s">
        <v>215</v>
      </c>
      <c r="C98" s="38">
        <f t="shared" si="47"/>
        <v>1</v>
      </c>
      <c r="D98" s="38">
        <f t="shared" si="47"/>
        <v>18</v>
      </c>
      <c r="E98" s="39">
        <f t="shared" si="47"/>
        <v>200</v>
      </c>
      <c r="F98" s="96">
        <f t="shared" si="48"/>
        <v>1800</v>
      </c>
      <c r="H98" s="121"/>
    </row>
    <row r="99" spans="1:8" ht="25.5">
      <c r="A99" s="95"/>
      <c r="B99" s="136" t="s">
        <v>216</v>
      </c>
      <c r="C99" s="38">
        <f>C71</f>
        <v>1</v>
      </c>
      <c r="D99" s="38">
        <f t="shared" ref="D99" si="49">D71</f>
        <v>12</v>
      </c>
      <c r="E99" s="39">
        <f>E71</f>
        <v>600</v>
      </c>
      <c r="F99" s="96">
        <f>G71</f>
        <v>3600</v>
      </c>
      <c r="H99" s="121"/>
    </row>
    <row r="100" spans="1:8">
      <c r="A100" s="95"/>
      <c r="B100" s="136" t="s">
        <v>217</v>
      </c>
      <c r="C100" s="38">
        <f t="shared" ref="C100:E102" si="50">C72</f>
        <v>3</v>
      </c>
      <c r="D100" s="38">
        <f t="shared" si="50"/>
        <v>9</v>
      </c>
      <c r="E100" s="39">
        <f t="shared" si="50"/>
        <v>1000</v>
      </c>
      <c r="F100" s="96">
        <f t="shared" ref="F100:F102" si="51">G72</f>
        <v>23500</v>
      </c>
      <c r="H100" s="121"/>
    </row>
    <row r="101" spans="1:8">
      <c r="A101" s="95"/>
      <c r="B101" s="136" t="s">
        <v>219</v>
      </c>
      <c r="C101" s="38">
        <f t="shared" si="50"/>
        <v>1500</v>
      </c>
      <c r="D101" s="38">
        <f t="shared" si="50"/>
        <v>72</v>
      </c>
      <c r="E101" s="39">
        <f t="shared" si="50"/>
        <v>1</v>
      </c>
      <c r="F101" s="96">
        <f t="shared" si="51"/>
        <v>108000</v>
      </c>
      <c r="H101" s="121"/>
    </row>
    <row r="102" spans="1:8" ht="25.5">
      <c r="A102" s="95"/>
      <c r="B102" s="136" t="s">
        <v>115</v>
      </c>
      <c r="C102" s="38">
        <f t="shared" si="50"/>
        <v>1</v>
      </c>
      <c r="D102" s="38">
        <f t="shared" si="50"/>
        <v>14</v>
      </c>
      <c r="E102" s="39">
        <f t="shared" si="50"/>
        <v>250</v>
      </c>
      <c r="F102" s="96">
        <f t="shared" si="51"/>
        <v>1750</v>
      </c>
      <c r="H102" s="121"/>
    </row>
    <row r="103" spans="1:8" ht="38.25">
      <c r="A103" s="95"/>
      <c r="B103" s="40" t="s">
        <v>221</v>
      </c>
      <c r="C103" s="38">
        <f t="shared" ref="C103:E104" si="52">C77</f>
        <v>1</v>
      </c>
      <c r="D103" s="38">
        <f t="shared" si="52"/>
        <v>18</v>
      </c>
      <c r="E103" s="39">
        <f t="shared" si="52"/>
        <v>350</v>
      </c>
      <c r="F103" s="96">
        <f>G77</f>
        <v>6300</v>
      </c>
      <c r="H103" s="121"/>
    </row>
    <row r="104" spans="1:8" ht="25.5">
      <c r="A104" s="95"/>
      <c r="B104" s="40" t="s">
        <v>222</v>
      </c>
      <c r="C104" s="38">
        <f t="shared" si="52"/>
        <v>1</v>
      </c>
      <c r="D104" s="38">
        <f t="shared" si="52"/>
        <v>6</v>
      </c>
      <c r="E104" s="39">
        <f t="shared" si="52"/>
        <v>350</v>
      </c>
      <c r="F104" s="96">
        <f>G78</f>
        <v>1050</v>
      </c>
      <c r="H104" s="121"/>
    </row>
    <row r="105" spans="1:8">
      <c r="A105" s="316" t="s">
        <v>117</v>
      </c>
      <c r="B105" s="316"/>
      <c r="C105" s="316"/>
      <c r="D105" s="316"/>
      <c r="E105" s="316"/>
      <c r="F105" s="137">
        <f>SUM(F87:F104)</f>
        <v>158600</v>
      </c>
      <c r="H105" s="121"/>
    </row>
    <row r="106" spans="1:8" ht="13.5" thickBot="1">
      <c r="F106" s="41"/>
    </row>
    <row r="107" spans="1:8" ht="13.5" thickBot="1">
      <c r="B107" s="317" t="s">
        <v>118</v>
      </c>
      <c r="C107" s="318"/>
      <c r="D107" s="319"/>
    </row>
    <row r="108" spans="1:8" ht="13.5" thickBot="1">
      <c r="B108" s="42" t="s">
        <v>119</v>
      </c>
      <c r="C108" s="43">
        <f>F81</f>
        <v>188546</v>
      </c>
      <c r="D108" s="44">
        <f>C108*100/C110</f>
        <v>54.313170827260002</v>
      </c>
    </row>
    <row r="109" spans="1:8" ht="13.5" thickBot="1">
      <c r="B109" s="42" t="s">
        <v>120</v>
      </c>
      <c r="C109" s="43">
        <f>G81</f>
        <v>158600</v>
      </c>
      <c r="D109" s="44">
        <f>C109*100/C110</f>
        <v>45.686829172739998</v>
      </c>
    </row>
    <row r="110" spans="1:8" ht="16.5" customHeight="1" thickBot="1">
      <c r="B110" s="45" t="s">
        <v>14</v>
      </c>
      <c r="C110" s="46">
        <f>C108+C109</f>
        <v>347146</v>
      </c>
      <c r="D110" s="47">
        <f>D108+D109</f>
        <v>100</v>
      </c>
    </row>
  </sheetData>
  <mergeCells count="31">
    <mergeCell ref="B79:E79"/>
    <mergeCell ref="A80:E80"/>
    <mergeCell ref="A81:E81"/>
    <mergeCell ref="A82:E82"/>
    <mergeCell ref="A85:F85"/>
    <mergeCell ref="B60:N60"/>
    <mergeCell ref="B61:N61"/>
    <mergeCell ref="B69:E69"/>
    <mergeCell ref="B70:N70"/>
    <mergeCell ref="B75:E75"/>
    <mergeCell ref="A54:E54"/>
    <mergeCell ref="B55:N55"/>
    <mergeCell ref="B56:N56"/>
    <mergeCell ref="B58:E58"/>
    <mergeCell ref="A59:E59"/>
    <mergeCell ref="A105:E105"/>
    <mergeCell ref="B107:D107"/>
    <mergeCell ref="B50:N50"/>
    <mergeCell ref="A1:N1"/>
    <mergeCell ref="H2:N2"/>
    <mergeCell ref="B7:N7"/>
    <mergeCell ref="B8:N8"/>
    <mergeCell ref="B16:E16"/>
    <mergeCell ref="A17:E17"/>
    <mergeCell ref="B18:N18"/>
    <mergeCell ref="B19:N19"/>
    <mergeCell ref="B47:E47"/>
    <mergeCell ref="A48:E48"/>
    <mergeCell ref="B49:N49"/>
    <mergeCell ref="B76:N76"/>
    <mergeCell ref="B53:E5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69604a-1834-4306-9c37-f82496b500a9" xsi:nil="true"/>
    <lcf76f155ced4ddcb4097134ff3c332f xmlns="fda4afb2-4d4f-41cc-a9a4-1e71eedf35b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070F217378814685F3A211877FBAC6" ma:contentTypeVersion="14" ma:contentTypeDescription="Crear nuevo documento." ma:contentTypeScope="" ma:versionID="2e793524ba129fa969254f55cb153110">
  <xsd:schema xmlns:xsd="http://www.w3.org/2001/XMLSchema" xmlns:xs="http://www.w3.org/2001/XMLSchema" xmlns:p="http://schemas.microsoft.com/office/2006/metadata/properties" xmlns:ns2="bd69604a-1834-4306-9c37-f82496b500a9" xmlns:ns3="fda4afb2-4d4f-41cc-a9a4-1e71eedf35b1" targetNamespace="http://schemas.microsoft.com/office/2006/metadata/properties" ma:root="true" ma:fieldsID="0f9efcfa3422f9a00161f1ace72955c3" ns2:_="" ns3:_="">
    <xsd:import namespace="bd69604a-1834-4306-9c37-f82496b500a9"/>
    <xsd:import namespace="fda4afb2-4d4f-41cc-a9a4-1e71eedf35b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69604a-1834-4306-9c37-f82496b500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3f09c70-ae10-453c-96c2-59af9e10af49}" ma:internalName="TaxCatchAll" ma:showField="CatchAllData" ma:web="bd69604a-1834-4306-9c37-f82496b500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afb2-4d4f-41cc-a9a4-1e71eedf3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30f389b-0124-4e56-be01-bae9578a4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38FF6-A777-433C-AA0F-E67575B283D2}"/>
</file>

<file path=customXml/itemProps2.xml><?xml version="1.0" encoding="utf-8"?>
<ds:datastoreItem xmlns:ds="http://schemas.openxmlformats.org/officeDocument/2006/customXml" ds:itemID="{556F242D-121B-4396-95AD-CED53BAAA34D}"/>
</file>

<file path=customXml/itemProps3.xml><?xml version="1.0" encoding="utf-8"?>
<ds:datastoreItem xmlns:ds="http://schemas.openxmlformats.org/officeDocument/2006/customXml" ds:itemID="{1840ED8C-ED2C-4AD4-8408-9F124D38CB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2021-06-11T17:51:24Z</dcterms:created>
  <dcterms:modified xsi:type="dcterms:W3CDTF">2024-04-08T15:20:12Z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0x01010014070F217378814685F3A211877FBAC6</vt:lpwstr>
  </property>
  <property fmtid="{D5CDD505-2E9C-101B-9397-08002B2CF9AE}" pid="3" name="MediaServiceImageTags">
    <vt:lpwstr/>
  </property>
</Properties>
</file>