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comments26.xml" ContentType="application/vnd.openxmlformats-officedocument.spreadsheetml.comments+xml"/>
  <Override PartName="/xl/comments25.xml" ContentType="application/vnd.openxmlformats-officedocument.spreadsheetml.comments+xml"/>
  <Override PartName="/xl/workbook.xml" ContentType="application/vnd.openxmlformats-officedocument.spreadsheetml.sheet.main+xml"/>
  <Override PartName="/xl/comments23.xml" ContentType="application/vnd.openxmlformats-officedocument.spreadsheetml.comments+xml"/>
  <Override PartName="/xl/comments22.xml" ContentType="application/vnd.openxmlformats-officedocument.spreadsheetml.comments+xml"/>
  <Override PartName="/xl/styles.xml" ContentType="application/vnd.openxmlformats-officedocument.spreadsheetml.styles+xml"/>
  <Override PartName="/xl/comments13.xml" ContentType="application/vnd.openxmlformats-officedocument.spreadsheetml.comments+xml"/>
  <Override PartName="/xl/comments12.xml" ContentType="application/vnd.openxmlformats-officedocument.spreadsheetml.comments+xml"/>
  <Override PartName="/xl/comments49.xml" ContentType="application/vnd.openxmlformats-officedocument.spreadsheetml.comments+xml"/>
  <Override PartName="/xl/comments11.xml" ContentType="application/vnd.openxmlformats-officedocument.spreadsheetml.comments+xml"/>
  <Override PartName="/xl/comments48.xml" ContentType="application/vnd.openxmlformats-officedocument.spreadsheetml.comments+xml"/>
  <Override PartName="/xl/comments17.xml" ContentType="application/vnd.openxmlformats-officedocument.spreadsheetml.comments+xml"/>
  <Override PartName="/xl/comments7.xml" ContentType="application/vnd.openxmlformats-officedocument.spreadsheetml.comments+xml"/>
  <Override PartName="/xl/comments21.xml" ContentType="application/vnd.openxmlformats-officedocument.spreadsheetml.comments+xml"/>
  <Override PartName="/xl/comments19.xml" ContentType="application/vnd.openxmlformats-officedocument.spreadsheetml.comments+xml"/>
  <Override PartName="/xl/worksheets/_rels/sheet30.xml.rels" ContentType="application/vnd.openxmlformats-package.relationships+xml"/>
  <Override PartName="/xl/worksheets/_rels/sheet14.xml.rels" ContentType="application/vnd.openxmlformats-package.relationships+xml"/>
  <Override PartName="/xl/worksheets/_rels/sheet3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32.xml.rels" ContentType="application/vnd.openxmlformats-package.relationships+xml"/>
  <Override PartName="/xl/worksheets/_rels/sheet33.xml.rels" ContentType="application/vnd.openxmlformats-package.relationships+xml"/>
  <Override PartName="/xl/worksheets/_rels/sheet5.xml.rels" ContentType="application/vnd.openxmlformats-package.relationships+xml"/>
  <Override PartName="/xl/worksheets/_rels/sheet34.xml.rels" ContentType="application/vnd.openxmlformats-package.relationships+xml"/>
  <Override PartName="/xl/worksheets/_rels/sheet1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27.xml.rels" ContentType="application/vnd.openxmlformats-package.relationships+xml"/>
  <Override PartName="/xl/worksheets/_rels/sheet16.xml.rels" ContentType="application/vnd.openxmlformats-package.relationships+xml"/>
  <Override PartName="/xl/worksheets/_rels/sheet28.xml.rels" ContentType="application/vnd.openxmlformats-package.relationships+xml"/>
  <Override PartName="/xl/worksheets/_rels/sheet17.xml.rels" ContentType="application/vnd.openxmlformats-package.relationships+xml"/>
  <Override PartName="/xl/worksheets/_rels/sheet29.xml.rels" ContentType="application/vnd.openxmlformats-package.relationships+xml"/>
  <Override PartName="/xl/worksheets/_rels/sheet15.xml.rels" ContentType="application/vnd.openxmlformats-package.relationships+xml"/>
  <Override PartName="/xl/worksheets/_rels/sheet19.xml.rels" ContentType="application/vnd.openxmlformats-package.relationships+xml"/>
  <Override PartName="/xl/worksheets/_rels/sheet4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35.xml.rels" ContentType="application/vnd.openxmlformats-package.relationships+xml"/>
  <Override PartName="/xl/worksheets/_rels/sheet6.xml.rels" ContentType="application/vnd.openxmlformats-package.relationships+xml"/>
  <Override PartName="/xl/worksheets/_rels/sheet36.xml.rels" ContentType="application/vnd.openxmlformats-package.relationships+xml"/>
  <Override PartName="/xl/worksheets/_rels/sheet7.xml.rels" ContentType="application/vnd.openxmlformats-package.relationships+xml"/>
  <Override PartName="/xl/worksheets/_rels/sheet37.xml.rels" ContentType="application/vnd.openxmlformats-package.relationships+xml"/>
  <Override PartName="/xl/worksheets/_rels/sheet8.xml.rels" ContentType="application/vnd.openxmlformats-package.relationships+xml"/>
  <Override PartName="/xl/worksheets/_rels/sheet38.xml.rels" ContentType="application/vnd.openxmlformats-package.relationships+xml"/>
  <Override PartName="/xl/worksheets/_rels/sheet40.xml.rels" ContentType="application/vnd.openxmlformats-package.relationships+xml"/>
  <Override PartName="/xl/worksheets/_rels/sheet9.xml.rels" ContentType="application/vnd.openxmlformats-package.relationships+xml"/>
  <Override PartName="/xl/worksheets/_rels/sheet41.xml.rels" ContentType="application/vnd.openxmlformats-package.relationships+xml"/>
  <Override PartName="/xl/worksheets/_rels/sheet39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7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comments44.xml" ContentType="application/vnd.openxmlformats-officedocument.spreadsheetml.comments+xml"/>
  <Override PartName="/xl/comments9.xml" ContentType="application/vnd.openxmlformats-officedocument.spreadsheetml.comments+xml"/>
  <Override PartName="/xl/comments50.xml" ContentType="application/vnd.openxmlformats-officedocument.spreadsheetml.comments+xml"/>
  <Override PartName="/xl/sharedStrings.xml" ContentType="application/vnd.openxmlformats-officedocument.spreadsheetml.sharedStrings+xml"/>
  <Override PartName="/xl/comments8.xml" ContentType="application/vnd.openxmlformats-officedocument.spreadsheetml.comments+xml"/>
  <Override PartName="/xl/comments10.xml" ContentType="application/vnd.openxmlformats-officedocument.spreadsheetml.comments+xml"/>
  <Override PartName="/xl/comments47.xml" ContentType="application/vnd.openxmlformats-officedocument.spreadsheetml.comments+xml"/>
  <Override PartName="/xl/comments14.xml" ContentType="application/vnd.openxmlformats-officedocument.spreadsheetml.comments+xml"/>
  <Override PartName="/xl/comments32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_rels/workbook.xml.rels" ContentType="application/vnd.openxmlformats-package.relationships+xml"/>
  <Override PartName="/xl/comments38.xml" ContentType="application/vnd.openxmlformats-officedocument.spreadsheetml.comments+xml"/>
  <Override PartName="/xl/comments40.xml" ContentType="application/vnd.openxmlformats-officedocument.spreadsheetml.comments+xml"/>
  <Override PartName="/xl/comments39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33.xml" ContentType="application/vnd.openxmlformats-officedocument.spreadsheetml.comments+xml"/>
  <Override PartName="/xl/comments45.xml" ContentType="application/vnd.openxmlformats-officedocument.spreadsheetml.comments+xml"/>
  <Override PartName="/xl/comments34.xml" ContentType="application/vnd.openxmlformats-officedocument.spreadsheetml.comments+xml"/>
  <Override PartName="/xl/comments46.xml" ContentType="application/vnd.openxmlformats-officedocument.spreadsheetml.comments+xml"/>
  <Override PartName="/xl/comments31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28.xml" ContentType="application/vnd.openxmlformats-officedocument.spreadsheetml.comments+xml"/>
  <Override PartName="/xl/comments27.xml" ContentType="application/vnd.openxmlformats-officedocument.spreadsheetml.comments+xml"/>
  <Override PartName="/xl/theme/theme1.xml" ContentType="application/vnd.openxmlformats-officedocument.theme+xml"/>
  <Override PartName="/xl/comments18.xml" ContentType="application/vnd.openxmlformats-officedocument.spreadsheetml.comments+xml"/>
  <Override PartName="/xl/comments20.xml" ContentType="application/vnd.openxmlformats-officedocument.spreadsheetml.comments+xml"/>
  <Override PartName="/xl/comments6.xml" ContentType="application/vnd.openxmlformats-officedocument.spreadsheetml.comments+xml"/>
  <Override PartName="/xl/comments16.xml" ContentType="application/vnd.openxmlformats-officedocument.spreadsheetml.comment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41.xml" ContentType="application/vnd.openxmlformats-officedocument.spreadsheetml.comments+xml"/>
  <Override PartName="/xl/drawings/vmlDrawing29.vml" ContentType="application/vnd.openxmlformats-officedocument.vmlDrawing"/>
  <Override PartName="/xl/drawings/vmlDrawing28.vml" ContentType="application/vnd.openxmlformats-officedocument.vmlDrawing"/>
  <Override PartName="/xl/drawings/vmlDrawing27.vml" ContentType="application/vnd.openxmlformats-officedocument.vmlDrawing"/>
  <Override PartName="/xl/drawings/vmlDrawing26.vml" ContentType="application/vnd.openxmlformats-officedocument.vmlDrawing"/>
  <Override PartName="/xl/drawings/vmlDrawing25.vml" ContentType="application/vnd.openxmlformats-officedocument.vmlDrawing"/>
  <Override PartName="/xl/drawings/vmlDrawing24.vml" ContentType="application/vnd.openxmlformats-officedocument.vmlDrawing"/>
  <Override PartName="/xl/drawings/vmlDrawing23.vml" ContentType="application/vnd.openxmlformats-officedocument.vmlDrawing"/>
  <Override PartName="/xl/drawings/vmlDrawing22.vml" ContentType="application/vnd.openxmlformats-officedocument.vmlDrawing"/>
  <Override PartName="/xl/drawings/vmlDrawing21.vml" ContentType="application/vnd.openxmlformats-officedocument.vmlDrawing"/>
  <Override PartName="/xl/drawings/vmlDrawing19.vml" ContentType="application/vnd.openxmlformats-officedocument.vmlDrawing"/>
  <Override PartName="/xl/drawings/vmlDrawing20.vml" ContentType="application/vnd.openxmlformats-officedocument.vmlDrawing"/>
  <Override PartName="/xl/drawings/vmlDrawing18.vml" ContentType="application/vnd.openxmlformats-officedocument.vmlDrawing"/>
  <Override PartName="/xl/drawings/vmlDrawing17.vml" ContentType="application/vnd.openxmlformats-officedocument.vmlDrawing"/>
  <Override PartName="/xl/drawings/vmlDrawing16.vml" ContentType="application/vnd.openxmlformats-officedocument.vmlDrawing"/>
  <Override PartName="/xl/drawings/vmlDrawing15.vml" ContentType="application/vnd.openxmlformats-officedocument.vmlDrawing"/>
  <Override PartName="/xl/drawings/vmlDrawing9.vml" ContentType="application/vnd.openxmlformats-officedocument.vmlDrawing"/>
  <Override PartName="/xl/drawings/vmlDrawing14.vml" ContentType="application/vnd.openxmlformats-officedocument.vmlDrawing"/>
  <Override PartName="/xl/drawings/vmlDrawing8.vml" ContentType="application/vnd.openxmlformats-officedocument.vmlDrawing"/>
  <Override PartName="/xl/drawings/vmlDrawing32.vml" ContentType="application/vnd.openxmlformats-officedocument.vmlDrawing"/>
  <Override PartName="/xl/drawings/vmlDrawing33.vml" ContentType="application/vnd.openxmlformats-officedocument.vmlDrawing"/>
  <Override PartName="/xl/drawings/vmlDrawing34.vml" ContentType="application/vnd.openxmlformats-officedocument.vmlDrawing"/>
  <Override PartName="/xl/drawings/vmlDrawing35.vml" ContentType="application/vnd.openxmlformats-officedocument.vmlDrawing"/>
  <Override PartName="/xl/drawings/vmlDrawing36.vml" ContentType="application/vnd.openxmlformats-officedocument.vmlDrawing"/>
  <Override PartName="/xl/drawings/vmlDrawing37.vml" ContentType="application/vnd.openxmlformats-officedocument.vmlDrawing"/>
  <Override PartName="/xl/drawings/vmlDrawing38.vml" ContentType="application/vnd.openxmlformats-officedocument.vmlDrawing"/>
  <Override PartName="/xl/drawings/vmlDrawing40.vml" ContentType="application/vnd.openxmlformats-officedocument.vmlDrawing"/>
  <Override PartName="/xl/drawings/vmlDrawing39.vml" ContentType="application/vnd.openxmlformats-officedocument.vmlDrawing"/>
  <Override PartName="/xl/drawings/vmlDrawing41.vml" ContentType="application/vnd.openxmlformats-officedocument.vmlDrawing"/>
  <Override PartName="/xl/drawings/vmlDrawing42.vml" ContentType="application/vnd.openxmlformats-officedocument.vmlDrawing"/>
  <Override PartName="/xl/drawings/vmlDrawing31.vml" ContentType="application/vnd.openxmlformats-officedocument.vmlDrawing"/>
  <Override PartName="/xl/drawings/vmlDrawing43.vml" ContentType="application/vnd.openxmlformats-officedocument.vmlDrawing"/>
  <Override PartName="/xl/drawings/vmlDrawing30.vml" ContentType="application/vnd.openxmlformats-officedocument.vmlDrawing"/>
  <Override PartName="/xl/drawings/vmlDrawing7.vml" ContentType="application/vnd.openxmlformats-officedocument.vmlDrawing"/>
  <Override PartName="/xl/drawings/vmlDrawing13.vml" ContentType="application/vnd.openxmlformats-officedocument.vmlDrawing"/>
  <Override PartName="/xl/drawings/vmlDrawing6.vml" ContentType="application/vnd.openxmlformats-officedocument.vmlDrawing"/>
  <Override PartName="/xl/drawings/vmlDrawing12.vml" ContentType="application/vnd.openxmlformats-officedocument.vmlDrawing"/>
  <Override PartName="/xl/drawings/vmlDrawing5.vml" ContentType="application/vnd.openxmlformats-officedocument.vmlDrawing"/>
  <Override PartName="/xl/drawings/vmlDrawing11.vml" ContentType="application/vnd.openxmlformats-officedocument.vmlDrawing"/>
  <Override PartName="/xl/drawings/vmlDrawing3.vml" ContentType="application/vnd.openxmlformats-officedocument.vmlDrawing"/>
  <Override PartName="/xl/drawings/vmlDrawing46.vml" ContentType="application/vnd.openxmlformats-officedocument.vmlDrawing"/>
  <Override PartName="/xl/drawings/vmlDrawing4.vml" ContentType="application/vnd.openxmlformats-officedocument.vmlDrawing"/>
  <Override PartName="/xl/drawings/vmlDrawing47.vml" ContentType="application/vnd.openxmlformats-officedocument.vmlDrawing"/>
  <Override PartName="/xl/drawings/vmlDrawing10.vml" ContentType="application/vnd.openxmlformats-officedocument.vmlDrawing"/>
  <Override PartName="/xl/drawings/vmlDrawing2.vml" ContentType="application/vnd.openxmlformats-officedocument.vmlDrawing"/>
  <Override PartName="/xl/drawings/vmlDrawing45.vml" ContentType="application/vnd.openxmlformats-officedocument.vmlDrawing"/>
  <Override PartName="/xl/drawings/vmlDrawing1.vml" ContentType="application/vnd.openxmlformats-officedocument.vmlDrawing"/>
  <Override PartName="/xl/drawings/vmlDrawing44.vml" ContentType="application/vnd.openxmlformats-officedocument.vmlDrawing"/>
  <Override PartName="/xl/comments24.xml" ContentType="application/vnd.openxmlformats-officedocument.spreadsheetml.comment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30" firstSheet="0" activeTab="7"/>
  </bookViews>
  <sheets>
    <sheet name="JR คำนวณ 45-90" sheetId="1" state="visible" r:id="rId3"/>
    <sheet name="BI-FOLD" sheetId="2" state="visible" r:id="rId4"/>
    <sheet name="อ้างอิง" sheetId="3" state="visible" r:id="rId5"/>
    <sheet name="240_2Panel(L)" sheetId="4" state="visible" r:id="rId6"/>
    <sheet name="240_2Panel(R)" sheetId="5" state="visible" r:id="rId7"/>
    <sheet name="240_3Panel(2L1R)" sheetId="6" state="visible" r:id="rId8"/>
    <sheet name="240_3Panel(1L2R)" sheetId="7" state="visible" r:id="rId9"/>
    <sheet name="240_3Panel(L)" sheetId="8" state="visible" r:id="rId10"/>
    <sheet name="240_3Panel(R)" sheetId="9" state="visible" r:id="rId11"/>
    <sheet name="240_4Panel(1L3R)" sheetId="10" state="visible" r:id="rId12"/>
    <sheet name="240_4Panel(2L2R)" sheetId="11" state="visible" r:id="rId13"/>
    <sheet name="240_4Panel(2L2R) (แบ่งบาน)" sheetId="12" state="visible" r:id="rId14"/>
    <sheet name="240_4Panel(3L1R)" sheetId="13" state="visible" r:id="rId15"/>
    <sheet name="240_4Panel(4L)" sheetId="14" state="visible" r:id="rId16"/>
    <sheet name="240_4Panel(4R)" sheetId="15" state="visible" r:id="rId17"/>
    <sheet name="240_5Panel(1L4R)" sheetId="16" state="visible" r:id="rId18"/>
    <sheet name="240_5Panel(2L3R)" sheetId="17" state="visible" r:id="rId19"/>
    <sheet name="240_5Panel(3L2R)" sheetId="18" state="visible" r:id="rId20"/>
    <sheet name="240_5Panel(4L1R)" sheetId="19" state="visible" r:id="rId21"/>
    <sheet name="240_5Panel(5L)" sheetId="20" state="visible" r:id="rId22"/>
    <sheet name="240_5Panel(5R)" sheetId="21" state="visible" r:id="rId23"/>
    <sheet name="240_6Panel(1L5R)" sheetId="22" state="visible" r:id="rId24"/>
    <sheet name="240_6Panel(3L3R)" sheetId="23" state="visible" r:id="rId25"/>
    <sheet name="240_6Panel(3L3R) (แบ่งบาน)" sheetId="24" state="visible" r:id="rId26"/>
    <sheet name="240_6Panel(5L1R)" sheetId="25" state="visible" r:id="rId27"/>
    <sheet name="240_6Panel(6L)" sheetId="26" state="visible" r:id="rId28"/>
    <sheet name="240_6Panel(6R)" sheetId="27" state="visible" r:id="rId29"/>
    <sheet name="240_7Panel(1L6R)" sheetId="28" state="visible" r:id="rId30"/>
    <sheet name="240_7Panel(2L5R)" sheetId="29" state="visible" r:id="rId31"/>
    <sheet name="240_7Panel(3L4R)" sheetId="30" state="visible" r:id="rId32"/>
    <sheet name="240_7Panel(4L3R)" sheetId="31" state="visible" r:id="rId33"/>
    <sheet name="240_7Panel(5L2R)" sheetId="32" state="visible" r:id="rId34"/>
    <sheet name="240_7Panel(6L1R)" sheetId="33" state="visible" r:id="rId35"/>
    <sheet name="240_7Panel(7L)" sheetId="34" state="visible" r:id="rId36"/>
    <sheet name="240_7Panel(7R)" sheetId="35" state="visible" r:id="rId37"/>
    <sheet name="240_8Panel(8R)" sheetId="36" state="visible" r:id="rId38"/>
    <sheet name="240_8Panel(3L5R)" sheetId="37" state="visible" r:id="rId39"/>
    <sheet name="240_8Panel(4L4R)" sheetId="38" state="visible" r:id="rId40"/>
    <sheet name="240_8Panel(5L3R)" sheetId="39" state="visible" r:id="rId41"/>
    <sheet name="240_9Panel(3L6R)" sheetId="40" state="visible" r:id="rId42"/>
    <sheet name="240_9Panel(4L5R)" sheetId="41" state="visible" r:id="rId43"/>
    <sheet name="240_9Panel(5L4R)" sheetId="42" state="visible" r:id="rId44"/>
    <sheet name="240_9Panel(6L3R)" sheetId="43" state="visible" r:id="rId45"/>
    <sheet name="240_10Panel(5L5R)" sheetId="44" state="visible" r:id="rId46"/>
    <sheet name="240_11Panel(5L6R)" sheetId="45" state="visible" r:id="rId47"/>
    <sheet name="240_11Panel(6L5R)" sheetId="46" state="visible" r:id="rId48"/>
    <sheet name="240_12Panel(5L7R)" sheetId="47" state="visible" r:id="rId49"/>
    <sheet name="240_12Panel(6L6R)" sheetId="48" state="visible" r:id="rId50"/>
    <sheet name="240_14Panel(7L7R)" sheetId="49" state="visible" r:id="rId51"/>
    <sheet name="240_15Panel(7L8R)" sheetId="50" state="visible" r:id="rId52"/>
  </sheets>
  <definedNames>
    <definedName function="false" hidden="false" localSheetId="43" name="_xlnm.Print_Area" vbProcedure="false">'240_10Panel(5L5R)'!$A$1:$J$526</definedName>
    <definedName function="false" hidden="false" localSheetId="44" name="_xlnm.Print_Area" vbProcedure="false">'240_11Panel(5L6R)'!$A$1:$J$525</definedName>
    <definedName function="false" hidden="false" localSheetId="45" name="_xlnm.Print_Area" vbProcedure="false">'240_11Panel(6L5R)'!$A$1:$J$526</definedName>
    <definedName function="false" hidden="false" localSheetId="46" name="_xlnm.Print_Area" vbProcedure="false">'240_12Panel(5L7R)'!$A$1:$J$526</definedName>
    <definedName function="false" hidden="false" localSheetId="47" name="_xlnm.Print_Area" vbProcedure="false">'240_12Panel(6L6R)'!$A$1:$J$526</definedName>
    <definedName function="false" hidden="false" localSheetId="48" name="_xlnm.Print_Area" vbProcedure="false">'240_14Panel(7L7R)'!$A$1:$J$526</definedName>
    <definedName function="false" hidden="false" localSheetId="49" name="_xlnm.Print_Area" vbProcedure="false">'240_15Panel(7L8R)'!$A$1:$J$525</definedName>
    <definedName function="false" hidden="false" localSheetId="3" name="_xlnm.Print_Area" vbProcedure="false">'240_2Panel(L)'!$A$1:$J$524</definedName>
    <definedName function="false" hidden="false" localSheetId="4" name="_xlnm.Print_Area" vbProcedure="false">'240_2Panel(R)'!$A$1:$J$524</definedName>
    <definedName function="false" hidden="false" localSheetId="6" name="_xlnm.Print_Area" vbProcedure="false">'240_3Panel(1L2R)'!$A$1:$J$527</definedName>
    <definedName function="false" hidden="false" localSheetId="5" name="_xlnm.Print_Area" vbProcedure="false">'240_3Panel(2L1R)'!$A$1:$J$527</definedName>
    <definedName function="false" hidden="false" localSheetId="7" name="_xlnm.Print_Area" vbProcedure="false">'240_3Panel(L)'!$A$1:$J$526</definedName>
    <definedName function="false" hidden="false" localSheetId="8" name="_xlnm.Print_Area" vbProcedure="false">'240_3Panel(R)'!$A$1:$J$526</definedName>
    <definedName function="false" hidden="false" localSheetId="9" name="_xlnm.Print_Area" vbProcedure="false">'240_4Panel(1L3R)'!$A$1:$J$527</definedName>
    <definedName function="false" hidden="false" localSheetId="10" name="_xlnm.Print_Area" vbProcedure="false">'240_4Panel(2L2R)'!$A$1:$J$526</definedName>
    <definedName function="false" hidden="false" localSheetId="11" name="_xlnm.Print_Area" vbProcedure="false">'240_4Panel(2L2R) (แบ่งบาน)'!$A$1:$J$527</definedName>
    <definedName function="false" hidden="false" localSheetId="12" name="_xlnm.Print_Area" vbProcedure="false">'240_4Panel(3L1R)'!$A$1:$J$526</definedName>
    <definedName function="false" hidden="false" localSheetId="13" name="_xlnm.Print_Area" vbProcedure="false">'240_4Panel(4L)'!$A$1:$J$526</definedName>
    <definedName function="false" hidden="false" localSheetId="14" name="_xlnm.Print_Area" vbProcedure="false">'240_4Panel(4R)'!$A$1:$J$525</definedName>
    <definedName function="false" hidden="false" localSheetId="15" name="_xlnm.Print_Area" vbProcedure="false">'240_5Panel(1L4R)'!$A$1:$J$527</definedName>
    <definedName function="false" hidden="false" localSheetId="16" name="_xlnm.Print_Area" vbProcedure="false">'240_5Panel(2L3R)'!$A$1:$J$527</definedName>
    <definedName function="false" hidden="false" localSheetId="17" name="_xlnm.Print_Area" vbProcedure="false">'240_5Panel(3L2R)'!$A$1:$J$527</definedName>
    <definedName function="false" hidden="false" localSheetId="18" name="_xlnm.Print_Area" vbProcedure="false">'240_5Panel(4L1R)'!$A$1:$J$527</definedName>
    <definedName function="false" hidden="false" localSheetId="19" name="_xlnm.Print_Area" vbProcedure="false">'240_5Panel(5L)'!$A$1:$J$526</definedName>
    <definedName function="false" hidden="false" localSheetId="20" name="_xlnm.Print_Area" vbProcedure="false">'240_5Panel(5R)'!$A$1:$J$525</definedName>
    <definedName function="false" hidden="false" localSheetId="21" name="_xlnm.Print_Area" vbProcedure="false">'240_6Panel(1L5R)'!$A$1:$J$527</definedName>
    <definedName function="false" hidden="false" localSheetId="22" name="_xlnm.Print_Area" vbProcedure="false">'240_6Panel(3L3R)'!$A$1:$J$526</definedName>
    <definedName function="false" hidden="false" localSheetId="23" name="_xlnm.Print_Area" vbProcedure="false">'240_6Panel(3L3R) (แบ่งบาน)'!$A$1:$J$526</definedName>
    <definedName function="false" hidden="false" localSheetId="24" name="_xlnm.Print_Area" vbProcedure="false">'240_6Panel(5L1R)'!$A$1:$J$527</definedName>
    <definedName function="false" hidden="false" localSheetId="25" name="_xlnm.Print_Area" vbProcedure="false">'240_6Panel(6L)'!$A$1:$J$526</definedName>
    <definedName function="false" hidden="false" localSheetId="26" name="_xlnm.Print_Area" vbProcedure="false">'240_6Panel(6R)'!$A$1:$J$526</definedName>
    <definedName function="false" hidden="false" localSheetId="27" name="_xlnm.Print_Area" vbProcedure="false">'240_7Panel(1L6R)'!$A$1:$J$526</definedName>
    <definedName function="false" hidden="false" localSheetId="28" name="_xlnm.Print_Area" vbProcedure="false">'240_7Panel(2L5R)'!$A$1:$J$526</definedName>
    <definedName function="false" hidden="false" localSheetId="29" name="_xlnm.Print_Area" vbProcedure="false">'240_7Panel(3L4R)'!$A$1:$J$526</definedName>
    <definedName function="false" hidden="false" localSheetId="30" name="_xlnm.Print_Area" vbProcedure="false">'240_7Panel(4L3R)'!$A$1:$J$526</definedName>
    <definedName function="false" hidden="false" localSheetId="31" name="_xlnm.Print_Area" vbProcedure="false">'240_7Panel(5L2R)'!$A$1:$J$527</definedName>
    <definedName function="false" hidden="false" localSheetId="32" name="_xlnm.Print_Area" vbProcedure="false">'240_7Panel(6L1R)'!$A$1:$J$526</definedName>
    <definedName function="false" hidden="false" localSheetId="33" name="_xlnm.Print_Area" vbProcedure="false">'240_7Panel(7L)'!$A$1:$J$526</definedName>
    <definedName function="false" hidden="false" localSheetId="34" name="_xlnm.Print_Area" vbProcedure="false">'240_7Panel(7R)'!$A$1:$J$526</definedName>
    <definedName function="false" hidden="false" localSheetId="36" name="_xlnm.Print_Area" vbProcedure="false">'240_8Panel(3L5R)'!$A$1:$J$527</definedName>
    <definedName function="false" hidden="false" localSheetId="37" name="_xlnm.Print_Area" vbProcedure="false">'240_8Panel(4L4R)'!$A$1:$J$526</definedName>
    <definedName function="false" hidden="false" localSheetId="38" name="_xlnm.Print_Area" vbProcedure="false">'240_8Panel(5L3R)'!$A$1:$J$526</definedName>
    <definedName function="false" hidden="false" localSheetId="35" name="_xlnm.Print_Area" vbProcedure="false">'240_8Panel(8R)'!$A$1:$J$525</definedName>
    <definedName function="false" hidden="false" localSheetId="39" name="_xlnm.Print_Area" vbProcedure="false">'240_9Panel(3L6R)'!$A$1:$J$526</definedName>
    <definedName function="false" hidden="false" localSheetId="40" name="_xlnm.Print_Area" vbProcedure="false">'240_9Panel(4L5R)'!$A$1:$J$527</definedName>
    <definedName function="false" hidden="false" localSheetId="41" name="_xlnm.Print_Area" vbProcedure="false">'240_9Panel(5L4R)'!$A$1:$J$525</definedName>
    <definedName function="false" hidden="false" localSheetId="42" name="_xlnm.Print_Area" vbProcedure="false">'240_9Panel(6L3R)'!$A$1:$J$526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2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2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2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2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2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2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2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2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2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2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  <comment ref="D129" authorId="0">
      <text>
        <r>
          <rPr>
            <sz val="10"/>
            <rFont val="FreeSans"/>
            <family val="2"/>
          </rPr>
          <t xml:space="preserve">เลือกยางเฟรมกันน้ำ</t>
        </r>
      </text>
    </comment>
  </commentList>
</comments>
</file>

<file path=xl/comments3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3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3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3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3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3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3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3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3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3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4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4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4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4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4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4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4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4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4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4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comments5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3" authorId="0">
      <text>
        <r>
          <rPr>
            <sz val="10"/>
            <rFont val="FreeSans"/>
            <family val="2"/>
          </rPr>
          <t xml:space="preserve">เลือกสีผิวงาน</t>
        </r>
      </text>
    </comment>
    <comment ref="D127" authorId="0">
      <text>
        <r>
          <rPr>
            <sz val="10"/>
            <rFont val="FreeSans"/>
            <family val="2"/>
          </rPr>
          <t xml:space="preserve">เลือกขนาดกระจก</t>
        </r>
      </text>
    </comment>
  </commentList>
</comments>
</file>

<file path=xl/sharedStrings.xml><?xml version="1.0" encoding="utf-8"?>
<sst xmlns="http://schemas.openxmlformats.org/spreadsheetml/2006/main" count="19481" uniqueCount="830">
  <si>
    <t xml:space="preserve">JR ALUMINIUM &amp; GLASS  —  เฟี้ยม SMS (240 Bi-Fold) · หน้าคำนวณ  ·  ซม.</t>
  </si>
  <si>
    <t xml:space="preserve">รูปแบบ</t>
  </si>
  <si>
    <t xml:space="preserve">N</t>
  </si>
  <si>
    <t xml:space="preserve">sym</t>
  </si>
  <si>
    <t xml:space="preserve">05-004</t>
  </si>
  <si>
    <t xml:space="preserve">05-005</t>
  </si>
  <si>
    <t xml:space="preserve">05-006</t>
  </si>
  <si>
    <t xml:space="preserve">05-007</t>
  </si>
  <si>
    <t xml:space="preserve">05-008</t>
  </si>
  <si>
    <t xml:space="preserve">05-009</t>
  </si>
  <si>
    <t xml:space="preserve">05-010</t>
  </si>
  <si>
    <t xml:space="preserve">05-011</t>
  </si>
  <si>
    <t xml:space="preserve">05-014</t>
  </si>
  <si>
    <r>
      <rPr>
        <sz val="11"/>
        <color theme="1"/>
        <rFont val="Calibri"/>
        <family val="2"/>
        <charset val="222"/>
      </rPr>
      <t xml:space="preserve">2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(L)</t>
    </r>
  </si>
  <si>
    <t xml:space="preserve">① กรอก + ดรอปดาว (เหลือง)</t>
  </si>
  <si>
    <r>
      <rPr>
        <sz val="11"/>
        <color theme="1"/>
        <rFont val="Calibri"/>
        <family val="2"/>
        <charset val="222"/>
      </rPr>
      <t xml:space="preserve">2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(R)</t>
    </r>
  </si>
  <si>
    <t xml:space="preserve">กว้างช่องปูน</t>
  </si>
  <si>
    <t xml:space="preserve">รูปแบบบาน →</t>
  </si>
  <si>
    <t xml:space="preserve">4 บาน (2L2R)</t>
  </si>
  <si>
    <r>
      <rPr>
        <sz val="11"/>
        <color theme="1"/>
        <rFont val="Calibri"/>
        <family val="2"/>
        <charset val="222"/>
      </rPr>
      <t xml:space="preserve">3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(2L1R)</t>
    </r>
  </si>
  <si>
    <t xml:space="preserve">สูงช่องปูน</t>
  </si>
  <si>
    <t xml:space="preserve">สีอุปกรณ์ →</t>
  </si>
  <si>
    <t xml:space="preserve">ดำ</t>
  </si>
  <si>
    <r>
      <rPr>
        <sz val="11"/>
        <color theme="1"/>
        <rFont val="Calibri"/>
        <family val="2"/>
        <charset val="222"/>
      </rPr>
      <t xml:space="preserve">3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(1L2R)</t>
    </r>
  </si>
  <si>
    <t xml:space="preserve">จำนวนบาน</t>
  </si>
  <si>
    <t xml:space="preserve">← อัตโนมัติจากรูปแบบ</t>
  </si>
  <si>
    <r>
      <rPr>
        <sz val="11"/>
        <color theme="1"/>
        <rFont val="Calibri"/>
        <family val="2"/>
        <charset val="222"/>
      </rPr>
      <t xml:space="preserve">3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(L)</t>
    </r>
  </si>
  <si>
    <t xml:space="preserve">แบ่งบาน</t>
  </si>
  <si>
    <r>
      <rPr>
        <sz val="11"/>
        <color theme="1"/>
        <rFont val="Calibri"/>
        <family val="2"/>
        <charset val="222"/>
      </rPr>
      <t xml:space="preserve">3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(R)</t>
    </r>
  </si>
  <si>
    <t xml:space="preserve">มุมตัด</t>
  </si>
  <si>
    <t xml:space="preserve">45°</t>
  </si>
  <si>
    <r>
      <rPr>
        <sz val="11"/>
        <color theme="1"/>
        <rFont val="Calibri"/>
        <family val="2"/>
        <charset val="222"/>
      </rPr>
      <t xml:space="preserve">4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(1L3R)</t>
    </r>
  </si>
  <si>
    <t xml:space="preserve">② คำนวณอัตโนมัติ</t>
  </si>
  <si>
    <r>
      <rPr>
        <sz val="11"/>
        <color theme="1"/>
        <rFont val="Calibri"/>
        <family val="2"/>
        <charset val="222"/>
      </rPr>
      <t xml:space="preserve">4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(2L2R)</t>
    </r>
  </si>
  <si>
    <t xml:space="preserve">สมมาตร?(1)</t>
  </si>
  <si>
    <r>
      <rPr>
        <sz val="11"/>
        <color theme="1"/>
        <rFont val="Calibri"/>
        <family val="2"/>
        <charset val="222"/>
      </rPr>
      <t xml:space="preserve">4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(2L2R) </t>
    </r>
    <r>
      <rPr>
        <sz val="11"/>
        <color theme="1"/>
        <rFont val="FreeSans"/>
        <family val="2"/>
      </rPr>
      <t xml:space="preserve">แบ่งบาน</t>
    </r>
  </si>
  <si>
    <t xml:space="preserve">ขวาง ต่อบาน</t>
  </si>
  <si>
    <r>
      <rPr>
        <sz val="11"/>
        <color theme="1"/>
        <rFont val="Calibri"/>
        <family val="2"/>
        <charset val="222"/>
      </rPr>
      <t xml:space="preserve">4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(3L1R)</t>
    </r>
  </si>
  <si>
    <r>
      <rPr>
        <sz val="11"/>
        <color theme="1"/>
        <rFont val="Calibri"/>
        <family val="2"/>
        <charset val="222"/>
      </rPr>
      <t xml:space="preserve">4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(4L)</t>
    </r>
  </si>
  <si>
    <t xml:space="preserve">#</t>
  </si>
  <si>
    <t xml:space="preserve">โปรไฟล์ (ไทย / EN)</t>
  </si>
  <si>
    <t xml:space="preserve">รหัส</t>
  </si>
  <si>
    <t xml:space="preserve">ยาวตัด (ซม.)</t>
  </si>
  <si>
    <t xml:space="preserve">จำนวน</t>
  </si>
  <si>
    <t xml:space="preserve">หมายเหตุ</t>
  </si>
  <si>
    <r>
      <rPr>
        <sz val="11"/>
        <color theme="1"/>
        <rFont val="Calibri"/>
        <family val="2"/>
        <charset val="222"/>
      </rPr>
      <t xml:space="preserve">4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(4R)</t>
    </r>
  </si>
  <si>
    <t xml:space="preserve">เฟรมบน (HEAD)</t>
  </si>
  <si>
    <t xml:space="preserve">B24001</t>
  </si>
  <si>
    <t xml:space="preserve">1</t>
  </si>
  <si>
    <t xml:space="preserve">กว้าง−6</t>
  </si>
  <si>
    <r>
      <rPr>
        <sz val="11"/>
        <color theme="1"/>
        <rFont val="Calibri"/>
        <family val="2"/>
        <charset val="222"/>
      </rPr>
      <t xml:space="preserve">5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(1L4R)</t>
    </r>
  </si>
  <si>
    <t xml:space="preserve">บังใบบน (STOP HEAD)</t>
  </si>
  <si>
    <t xml:space="preserve">B24002</t>
  </si>
  <si>
    <t xml:space="preserve">กว้าง−8.6</t>
  </si>
  <si>
    <r>
      <rPr>
        <sz val="11"/>
        <color theme="1"/>
        <rFont val="Calibri"/>
        <family val="2"/>
        <charset val="222"/>
      </rPr>
      <t xml:space="preserve">5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(2L3R)</t>
    </r>
  </si>
  <si>
    <t xml:space="preserve">เฟรมล่าง (SILL)</t>
  </si>
  <si>
    <t xml:space="preserve">B24003</t>
  </si>
  <si>
    <r>
      <rPr>
        <sz val="11"/>
        <color theme="1"/>
        <rFont val="Calibri"/>
        <family val="2"/>
        <charset val="222"/>
      </rPr>
      <t xml:space="preserve">5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(3L2R)</t>
    </r>
  </si>
  <si>
    <t xml:space="preserve">ตัวตับธรณี (STOP SILL)</t>
  </si>
  <si>
    <t xml:space="preserve">B24004</t>
  </si>
  <si>
    <r>
      <rPr>
        <sz val="11"/>
        <color theme="1"/>
        <rFont val="Calibri"/>
        <family val="2"/>
        <charset val="222"/>
      </rPr>
      <t xml:space="preserve">5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(4L1R)</t>
    </r>
  </si>
  <si>
    <t xml:space="preserve">เฟรมข้าง ซ้าย (JAMB L)</t>
  </si>
  <si>
    <t xml:space="preserve">B24005</t>
  </si>
  <si>
    <t xml:space="preserve">สูง</t>
  </si>
  <si>
    <r>
      <rPr>
        <sz val="11"/>
        <color theme="1"/>
        <rFont val="Calibri"/>
        <family val="2"/>
        <charset val="222"/>
      </rPr>
      <t xml:space="preserve">5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(5L)</t>
    </r>
  </si>
  <si>
    <t xml:space="preserve">เฟรมข้าง ขวา (JAMB R)</t>
  </si>
  <si>
    <r>
      <rPr>
        <sz val="11"/>
        <color theme="1"/>
        <rFont val="Calibri"/>
        <family val="2"/>
        <charset val="222"/>
      </rPr>
      <t xml:space="preserve">5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(5R)</t>
    </r>
  </si>
  <si>
    <t xml:space="preserve">บังใบข้าง ซ้าย</t>
  </si>
  <si>
    <t xml:space="preserve">B24006</t>
  </si>
  <si>
    <t xml:space="preserve">สูง−9.6</t>
  </si>
  <si>
    <r>
      <rPr>
        <sz val="11"/>
        <color theme="1"/>
        <rFont val="Calibri"/>
        <family val="2"/>
        <charset val="222"/>
      </rPr>
      <t xml:space="preserve">6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(1L5R)</t>
    </r>
  </si>
  <si>
    <t xml:space="preserve">บังใบข้าง ขวา</t>
  </si>
  <si>
    <r>
      <rPr>
        <sz val="11"/>
        <color theme="1"/>
        <rFont val="Calibri"/>
        <family val="2"/>
        <charset val="222"/>
      </rPr>
      <t xml:space="preserve">6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(3L3R)</t>
    </r>
  </si>
  <si>
    <t xml:space="preserve">ขวางบน (SASH Hor T)</t>
  </si>
  <si>
    <t xml:space="preserve">B24007</t>
  </si>
  <si>
    <t xml:space="preserve">ตาม มุมตัด/แบ่งบาน</t>
  </si>
  <si>
    <r>
      <rPr>
        <sz val="11"/>
        <color theme="1"/>
        <rFont val="Calibri"/>
        <family val="2"/>
        <charset val="222"/>
      </rPr>
      <t xml:space="preserve">6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(3L3R) </t>
    </r>
    <r>
      <rPr>
        <sz val="11"/>
        <color theme="1"/>
        <rFont val="FreeSans"/>
        <family val="2"/>
      </rPr>
      <t xml:space="preserve">แบ่งบาน</t>
    </r>
  </si>
  <si>
    <t xml:space="preserve">ขวางล่าง (SASH Hor B)</t>
  </si>
  <si>
    <r>
      <rPr>
        <sz val="11"/>
        <color theme="1"/>
        <rFont val="Calibri"/>
        <family val="2"/>
        <charset val="222"/>
      </rPr>
      <t xml:space="preserve">6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(5L1R)</t>
    </r>
  </si>
  <si>
    <t xml:space="preserve">เสา (SASH Ver)</t>
  </si>
  <si>
    <t xml:space="preserve">สูง−9.2</t>
  </si>
  <si>
    <r>
      <rPr>
        <sz val="11"/>
        <color theme="1"/>
        <rFont val="Calibri"/>
        <family val="2"/>
        <charset val="222"/>
      </rPr>
      <t xml:space="preserve">6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(6L)</t>
    </r>
  </si>
  <si>
    <t xml:space="preserve">เสากุญแจ (SASH Ver Lock)</t>
  </si>
  <si>
    <r>
      <rPr>
        <sz val="11"/>
        <color theme="1"/>
        <rFont val="Calibri"/>
        <family val="2"/>
        <charset val="222"/>
      </rPr>
      <t xml:space="preserve">6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(6R)</t>
    </r>
  </si>
  <si>
    <r>
      <rPr>
        <sz val="11"/>
        <color theme="1"/>
        <rFont val="Calibri"/>
        <family val="2"/>
        <charset val="222"/>
      </rPr>
      <t xml:space="preserve">7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(1L6R)</t>
    </r>
  </si>
  <si>
    <t xml:space="preserve">③ กระดานคำนวณ ขวาง 45° (ฟ้า=สด เขียว=ผล)</t>
  </si>
  <si>
    <r>
      <rPr>
        <sz val="11"/>
        <color theme="1"/>
        <rFont val="Calibri"/>
        <family val="2"/>
        <charset val="222"/>
      </rPr>
      <t xml:space="preserve">7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(2L5R)</t>
    </r>
  </si>
  <si>
    <t xml:space="preserve">กรณี</t>
  </si>
  <si>
    <t xml:space="preserve">ฐาน(กว้าง)</t>
  </si>
  <si>
    <t xml:space="preserve">− เฟรม</t>
  </si>
  <si>
    <t xml:space="preserve">− ยาง</t>
  </si>
  <si>
    <t xml:space="preserve">÷ บาน</t>
  </si>
  <si>
    <t xml:space="preserve">ยาวตัด</t>
  </si>
  <si>
    <r>
      <rPr>
        <sz val="11"/>
        <color theme="1"/>
        <rFont val="Calibri"/>
        <family val="2"/>
        <charset val="222"/>
      </rPr>
      <t xml:space="preserve">7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(3L4R)</t>
    </r>
  </si>
  <si>
    <t xml:space="preserve">ปกติ (คิดรวม)</t>
  </si>
  <si>
    <r>
      <rPr>
        <sz val="11"/>
        <color theme="1"/>
        <rFont val="Calibri"/>
        <family val="2"/>
        <charset val="222"/>
      </rPr>
      <t xml:space="preserve">7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(4L3R)</t>
    </r>
  </si>
  <si>
    <t xml:space="preserve">สมมาตร (แยกฝั่ง)</t>
  </si>
  <si>
    <r>
      <rPr>
        <sz val="11"/>
        <color theme="1"/>
        <rFont val="Calibri"/>
        <family val="2"/>
        <charset val="222"/>
      </rPr>
      <t xml:space="preserve">7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(5L2R)</t>
    </r>
  </si>
  <si>
    <t xml:space="preserve">→ ที่ใช้จริง (ตาม มุมตัด + แบ่งบาน)</t>
  </si>
  <si>
    <r>
      <rPr>
        <sz val="11"/>
        <color theme="1"/>
        <rFont val="Calibri"/>
        <family val="2"/>
        <charset val="222"/>
      </rPr>
      <t xml:space="preserve">7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(6L1R)</t>
    </r>
  </si>
  <si>
    <r>
      <rPr>
        <sz val="11"/>
        <color theme="1"/>
        <rFont val="Calibri"/>
        <family val="2"/>
        <charset val="222"/>
      </rPr>
      <t xml:space="preserve">7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(7L)</t>
    </r>
  </si>
  <si>
    <r>
      <rPr>
        <sz val="11"/>
        <color theme="1"/>
        <rFont val="Calibri"/>
        <family val="2"/>
        <charset val="222"/>
      </rPr>
      <t xml:space="preserve">7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(7R)</t>
    </r>
  </si>
  <si>
    <t xml:space="preserve">④ แผงแก้สูตร — ตัวหักลบ (เหลือง)</t>
  </si>
  <si>
    <r>
      <rPr>
        <sz val="11"/>
        <color theme="1"/>
        <rFont val="Calibri"/>
        <family val="2"/>
        <charset val="222"/>
      </rPr>
      <t xml:space="preserve">8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(8R)</t>
    </r>
  </si>
  <si>
    <t xml:space="preserve">ความหมาย</t>
  </si>
  <si>
    <t xml:space="preserve">ค่า</t>
  </si>
  <si>
    <r>
      <rPr>
        <sz val="11"/>
        <color theme="1"/>
        <rFont val="Calibri"/>
        <family val="2"/>
        <charset val="222"/>
      </rPr>
      <t xml:space="preserve">8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(3L5R)</t>
    </r>
  </si>
  <si>
    <t xml:space="preserve">เฟรมบน/ล่าง/ตับธรณี — หัก</t>
  </si>
  <si>
    <r>
      <rPr>
        <sz val="11"/>
        <color theme="1"/>
        <rFont val="Calibri"/>
        <family val="2"/>
        <charset val="222"/>
      </rPr>
      <t xml:space="preserve">8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(4L4R)</t>
    </r>
  </si>
  <si>
    <t xml:space="preserve">บังใบบน — หัก</t>
  </si>
  <si>
    <r>
      <rPr>
        <sz val="11"/>
        <color theme="1"/>
        <rFont val="Calibri"/>
        <family val="2"/>
        <charset val="222"/>
      </rPr>
      <t xml:space="preserve">8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(5L3R)</t>
    </r>
  </si>
  <si>
    <t xml:space="preserve">บังใบข้าง — หัก</t>
  </si>
  <si>
    <r>
      <rPr>
        <sz val="11"/>
        <color theme="1"/>
        <rFont val="Calibri"/>
        <family val="2"/>
        <charset val="222"/>
      </rPr>
      <t xml:space="preserve">9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(3L6R)</t>
    </r>
  </si>
  <si>
    <t xml:space="preserve">เสา/เสากุญแจ — หัก</t>
  </si>
  <si>
    <r>
      <rPr>
        <sz val="11"/>
        <color theme="1"/>
        <rFont val="Calibri"/>
        <family val="2"/>
        <charset val="222"/>
      </rPr>
      <t xml:space="preserve">9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(4L5R)</t>
    </r>
  </si>
  <si>
    <t xml:space="preserve">ขวาง 45° — หักเฟรม 2 ข้าง</t>
  </si>
  <si>
    <r>
      <rPr>
        <sz val="11"/>
        <color theme="1"/>
        <rFont val="Calibri"/>
        <family val="2"/>
        <charset val="222"/>
      </rPr>
      <t xml:space="preserve">9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(5L4R)</t>
    </r>
  </si>
  <si>
    <t xml:space="preserve">ขวาง 45° — ยางคั่นต่อช่อง</t>
  </si>
  <si>
    <r>
      <rPr>
        <sz val="11"/>
        <color theme="1"/>
        <rFont val="Calibri"/>
        <family val="2"/>
        <charset val="222"/>
      </rPr>
      <t xml:space="preserve">9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(6L3R)</t>
    </r>
  </si>
  <si>
    <t xml:space="preserve">ขวาง 90° — หักเฟรม+เสา 2 ข้าง</t>
  </si>
  <si>
    <r>
      <rPr>
        <sz val="11"/>
        <color theme="1"/>
        <rFont val="Calibri"/>
        <family val="2"/>
        <charset val="222"/>
      </rPr>
      <t xml:space="preserve">10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(5L5R)</t>
    </r>
  </si>
  <si>
    <t xml:space="preserve">ขวาง 90° — หักต่อรอยต่อ ×(บาน−1)</t>
  </si>
  <si>
    <r>
      <rPr>
        <sz val="11"/>
        <color theme="1"/>
        <rFont val="Calibri"/>
        <family val="2"/>
        <charset val="222"/>
      </rPr>
      <t xml:space="preserve">11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(5L6R)</t>
    </r>
  </si>
  <si>
    <r>
      <rPr>
        <sz val="11"/>
        <color theme="1"/>
        <rFont val="Calibri"/>
        <family val="2"/>
        <charset val="222"/>
      </rPr>
      <t xml:space="preserve">11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(6L5R)</t>
    </r>
  </si>
  <si>
    <t xml:space="preserve">⑤ อุปกรณ์ (เลือกรูปแบบ+สี ด้านบน → จำนวนขึ้นเอง · ดึงจากไฟล์ร้าน 47 แบบ)</t>
  </si>
  <si>
    <r>
      <rPr>
        <sz val="11"/>
        <color theme="1"/>
        <rFont val="Calibri"/>
        <family val="2"/>
        <charset val="222"/>
      </rPr>
      <t xml:space="preserve">12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(5L7R)</t>
    </r>
  </si>
  <si>
    <t xml:space="preserve">อุปกรณ์</t>
  </si>
  <si>
    <t xml:space="preserve">รหัสร้าน</t>
  </si>
  <si>
    <t xml:space="preserve">รหัส JR</t>
  </si>
  <si>
    <t xml:space="preserve">หน่วย</t>
  </si>
  <si>
    <r>
      <rPr>
        <sz val="11"/>
        <color theme="1"/>
        <rFont val="Calibri"/>
        <family val="2"/>
        <charset val="222"/>
      </rPr>
      <t xml:space="preserve">12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(6L6R)</t>
    </r>
  </si>
  <si>
    <t xml:space="preserve">ชุดบานพับ (ระดับเดียว)</t>
  </si>
  <si>
    <t xml:space="preserve">ชุด</t>
  </si>
  <si>
    <r>
      <rPr>
        <sz val="11"/>
        <color theme="1"/>
        <rFont val="Calibri"/>
        <family val="2"/>
        <charset val="222"/>
      </rPr>
      <t xml:space="preserve">14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(7L7R)</t>
    </r>
  </si>
  <si>
    <t xml:space="preserve">ชุดบานพับ (ต่างระดับ)</t>
  </si>
  <si>
    <r>
      <rPr>
        <sz val="11"/>
        <color theme="1"/>
        <rFont val="Calibri"/>
        <family val="2"/>
        <charset val="222"/>
      </rPr>
      <t xml:space="preserve">15 </t>
    </r>
    <r>
      <rPr>
        <sz val="11"/>
        <color theme="1"/>
        <rFont val="FreeSans"/>
        <family val="2"/>
      </rPr>
      <t xml:space="preserve">บาน </t>
    </r>
    <r>
      <rPr>
        <sz val="11"/>
        <color theme="1"/>
        <rFont val="Calibri"/>
        <family val="2"/>
        <charset val="222"/>
      </rPr>
      <t xml:space="preserve">(7L8R)</t>
    </r>
  </si>
  <si>
    <t xml:space="preserve">ล้อแขวนบานตาย ซ้าย</t>
  </si>
  <si>
    <t xml:space="preserve">ล้อแขวนบานตาย ขวา</t>
  </si>
  <si>
    <t xml:space="preserve">ล้อแขวนปลาย ซ้าย</t>
  </si>
  <si>
    <t xml:space="preserve">ล้อแขวนปลาย ขวา</t>
  </si>
  <si>
    <t xml:space="preserve">ล้อแขวนบานกลาง (Meeting)</t>
  </si>
  <si>
    <t xml:space="preserve">ล้อแขวนบานกลาง (Inter)</t>
  </si>
  <si>
    <t xml:space="preserve">ชุดสลักล็อค (Twin Bolt)</t>
  </si>
  <si>
    <t xml:space="preserve">JR00563</t>
  </si>
  <si>
    <t xml:space="preserve">ยางเฟรม (บน+ล่าง+ข้าง×2)</t>
  </si>
  <si>
    <t xml:space="preserve">—</t>
  </si>
  <si>
    <t xml:space="preserve">JR00804</t>
  </si>
  <si>
    <t xml:space="preserve">ม.</t>
  </si>
  <si>
    <t xml:space="preserve">ยางกรอบบาน (วน 2 รอบ/บาน)</t>
  </si>
  <si>
    <t xml:space="preserve">JR00805</t>
  </si>
  <si>
    <t xml:space="preserve">240 BI-FOLD DOOR TYPE</t>
  </si>
  <si>
    <r>
      <rPr>
        <b val="true"/>
        <sz val="14"/>
        <color rgb="FF000000"/>
        <rFont val="Noto Sans CJK SC"/>
        <family val="2"/>
      </rPr>
      <t xml:space="preserve">【</t>
    </r>
    <r>
      <rPr>
        <b val="true"/>
        <sz val="14"/>
        <color rgb="FF000000"/>
        <rFont val="Tahoma"/>
        <family val="2"/>
        <charset val="1"/>
      </rPr>
      <t xml:space="preserve">2 Panel</t>
    </r>
    <r>
      <rPr>
        <b val="true"/>
        <sz val="14"/>
        <color rgb="FF000000"/>
        <rFont val="Noto Sans CJK SC"/>
        <family val="2"/>
      </rPr>
      <t xml:space="preserve">】</t>
    </r>
  </si>
  <si>
    <r>
      <rPr>
        <b val="true"/>
        <sz val="14"/>
        <color rgb="FF000000"/>
        <rFont val="Noto Sans CJK SC"/>
        <family val="2"/>
      </rPr>
      <t xml:space="preserve">【</t>
    </r>
    <r>
      <rPr>
        <b val="true"/>
        <sz val="14"/>
        <color rgb="FF000000"/>
        <rFont val="Tahoma"/>
        <family val="2"/>
        <charset val="1"/>
      </rPr>
      <t xml:space="preserve">3 Panel</t>
    </r>
    <r>
      <rPr>
        <b val="true"/>
        <sz val="14"/>
        <color rgb="FF000000"/>
        <rFont val="Noto Sans CJK SC"/>
        <family val="2"/>
      </rPr>
      <t xml:space="preserve">】</t>
    </r>
  </si>
  <si>
    <r>
      <rPr>
        <b val="true"/>
        <sz val="14"/>
        <color rgb="FF000000"/>
        <rFont val="Noto Sans CJK SC"/>
        <family val="2"/>
      </rPr>
      <t xml:space="preserve">【</t>
    </r>
    <r>
      <rPr>
        <b val="true"/>
        <sz val="14"/>
        <color rgb="FF000000"/>
        <rFont val="Tahoma"/>
        <family val="2"/>
        <charset val="1"/>
      </rPr>
      <t xml:space="preserve">4 Panel</t>
    </r>
    <r>
      <rPr>
        <b val="true"/>
        <sz val="14"/>
        <color rgb="FF000000"/>
        <rFont val="Noto Sans CJK SC"/>
        <family val="2"/>
      </rPr>
      <t xml:space="preserve">】</t>
    </r>
  </si>
  <si>
    <r>
      <rPr>
        <b val="true"/>
        <sz val="14"/>
        <color rgb="FF000000"/>
        <rFont val="Noto Sans CJK SC"/>
        <family val="2"/>
      </rPr>
      <t xml:space="preserve">【</t>
    </r>
    <r>
      <rPr>
        <b val="true"/>
        <sz val="14"/>
        <color rgb="FF000000"/>
        <rFont val="Tahoma"/>
        <family val="2"/>
        <charset val="1"/>
      </rPr>
      <t xml:space="preserve">5 Panel</t>
    </r>
    <r>
      <rPr>
        <b val="true"/>
        <sz val="14"/>
        <color rgb="FF000000"/>
        <rFont val="Noto Sans CJK SC"/>
        <family val="2"/>
      </rPr>
      <t xml:space="preserve">】</t>
    </r>
  </si>
  <si>
    <r>
      <rPr>
        <b val="true"/>
        <sz val="14"/>
        <color rgb="FF000000"/>
        <rFont val="Noto Sans CJK SC"/>
        <family val="2"/>
      </rPr>
      <t xml:space="preserve">【</t>
    </r>
    <r>
      <rPr>
        <b val="true"/>
        <sz val="14"/>
        <color rgb="FF000000"/>
        <rFont val="Tahoma"/>
        <family val="2"/>
        <charset val="1"/>
      </rPr>
      <t xml:space="preserve">6 Panel</t>
    </r>
    <r>
      <rPr>
        <b val="true"/>
        <sz val="14"/>
        <color rgb="FF000000"/>
        <rFont val="Noto Sans CJK SC"/>
        <family val="2"/>
      </rPr>
      <t xml:space="preserve">】</t>
    </r>
  </si>
  <si>
    <r>
      <rPr>
        <b val="true"/>
        <sz val="14"/>
        <color rgb="FF000000"/>
        <rFont val="Noto Sans CJK SC"/>
        <family val="2"/>
      </rPr>
      <t xml:space="preserve">【</t>
    </r>
    <r>
      <rPr>
        <b val="true"/>
        <sz val="14"/>
        <color rgb="FF000000"/>
        <rFont val="Tahoma"/>
        <family val="2"/>
        <charset val="1"/>
      </rPr>
      <t xml:space="preserve">7 Panel</t>
    </r>
    <r>
      <rPr>
        <b val="true"/>
        <sz val="14"/>
        <color rgb="FF000000"/>
        <rFont val="Noto Sans CJK SC"/>
        <family val="2"/>
      </rPr>
      <t xml:space="preserve">】</t>
    </r>
  </si>
  <si>
    <r>
      <rPr>
        <b val="true"/>
        <sz val="14"/>
        <color rgb="FF000000"/>
        <rFont val="Noto Sans CJK SC"/>
        <family val="2"/>
      </rPr>
      <t xml:space="preserve">【</t>
    </r>
    <r>
      <rPr>
        <b val="true"/>
        <sz val="14"/>
        <color rgb="FF000000"/>
        <rFont val="Tahoma"/>
        <family val="2"/>
        <charset val="1"/>
      </rPr>
      <t xml:space="preserve">8 Panel</t>
    </r>
    <r>
      <rPr>
        <b val="true"/>
        <sz val="14"/>
        <color rgb="FF000000"/>
        <rFont val="Noto Sans CJK SC"/>
        <family val="2"/>
      </rPr>
      <t xml:space="preserve">】</t>
    </r>
  </si>
  <si>
    <r>
      <rPr>
        <b val="true"/>
        <sz val="14"/>
        <color rgb="FF000000"/>
        <rFont val="Noto Sans CJK SC"/>
        <family val="2"/>
      </rPr>
      <t xml:space="preserve">【</t>
    </r>
    <r>
      <rPr>
        <b val="true"/>
        <sz val="14"/>
        <color rgb="FF000000"/>
        <rFont val="Tahoma"/>
        <family val="2"/>
        <charset val="1"/>
      </rPr>
      <t xml:space="preserve">9 Panel</t>
    </r>
    <r>
      <rPr>
        <b val="true"/>
        <sz val="14"/>
        <color rgb="FF000000"/>
        <rFont val="Noto Sans CJK SC"/>
        <family val="2"/>
      </rPr>
      <t xml:space="preserve">】</t>
    </r>
  </si>
  <si>
    <r>
      <rPr>
        <b val="true"/>
        <sz val="14"/>
        <color rgb="FF000000"/>
        <rFont val="Noto Sans CJK SC"/>
        <family val="2"/>
      </rPr>
      <t xml:space="preserve">【</t>
    </r>
    <r>
      <rPr>
        <b val="true"/>
        <sz val="14"/>
        <color rgb="FF000000"/>
        <rFont val="Tahoma"/>
        <family val="2"/>
        <charset val="1"/>
      </rPr>
      <t xml:space="preserve">10 Panel</t>
    </r>
    <r>
      <rPr>
        <b val="true"/>
        <sz val="14"/>
        <color rgb="FF000000"/>
        <rFont val="Noto Sans CJK SC"/>
        <family val="2"/>
      </rPr>
      <t xml:space="preserve">】</t>
    </r>
  </si>
  <si>
    <r>
      <rPr>
        <b val="true"/>
        <sz val="14"/>
        <color rgb="FF000000"/>
        <rFont val="Noto Sans CJK SC"/>
        <family val="2"/>
      </rPr>
      <t xml:space="preserve">【</t>
    </r>
    <r>
      <rPr>
        <b val="true"/>
        <sz val="14"/>
        <color rgb="FF000000"/>
        <rFont val="Tahoma"/>
        <family val="2"/>
        <charset val="1"/>
      </rPr>
      <t xml:space="preserve">11 Panel</t>
    </r>
    <r>
      <rPr>
        <b val="true"/>
        <sz val="14"/>
        <color rgb="FF000000"/>
        <rFont val="Noto Sans CJK SC"/>
        <family val="2"/>
      </rPr>
      <t xml:space="preserve">】</t>
    </r>
  </si>
  <si>
    <r>
      <rPr>
        <b val="true"/>
        <sz val="14"/>
        <color rgb="FF000000"/>
        <rFont val="Noto Sans CJK SC"/>
        <family val="2"/>
      </rPr>
      <t xml:space="preserve">【</t>
    </r>
    <r>
      <rPr>
        <b val="true"/>
        <sz val="14"/>
        <color rgb="FF000000"/>
        <rFont val="Tahoma"/>
        <family val="2"/>
        <charset val="1"/>
      </rPr>
      <t xml:space="preserve">12 Panel</t>
    </r>
    <r>
      <rPr>
        <b val="true"/>
        <sz val="14"/>
        <color rgb="FF000000"/>
        <rFont val="Noto Sans CJK SC"/>
        <family val="2"/>
      </rPr>
      <t xml:space="preserve">】</t>
    </r>
  </si>
  <si>
    <r>
      <rPr>
        <b val="true"/>
        <sz val="14"/>
        <color rgb="FF000000"/>
        <rFont val="Noto Sans CJK SC"/>
        <family val="2"/>
      </rPr>
      <t xml:space="preserve">【</t>
    </r>
    <r>
      <rPr>
        <b val="true"/>
        <sz val="14"/>
        <color rgb="FF000000"/>
        <rFont val="Tahoma"/>
        <family val="2"/>
        <charset val="1"/>
      </rPr>
      <t xml:space="preserve">14 Panel</t>
    </r>
    <r>
      <rPr>
        <b val="true"/>
        <sz val="14"/>
        <color rgb="FF000000"/>
        <rFont val="Noto Sans CJK SC"/>
        <family val="2"/>
      </rPr>
      <t xml:space="preserve">】</t>
    </r>
  </si>
  <si>
    <r>
      <rPr>
        <b val="true"/>
        <sz val="14"/>
        <color rgb="FF000000"/>
        <rFont val="Noto Sans CJK SC"/>
        <family val="2"/>
      </rPr>
      <t xml:space="preserve">【</t>
    </r>
    <r>
      <rPr>
        <b val="true"/>
        <sz val="14"/>
        <color rgb="FF000000"/>
        <rFont val="Tahoma"/>
        <family val="2"/>
        <charset val="1"/>
      </rPr>
      <t xml:space="preserve">15 Panel</t>
    </r>
    <r>
      <rPr>
        <b val="true"/>
        <sz val="14"/>
        <color rgb="FF000000"/>
        <rFont val="Noto Sans CJK SC"/>
        <family val="2"/>
      </rPr>
      <t xml:space="preserve">】</t>
    </r>
  </si>
  <si>
    <r>
      <rPr>
        <b val="true"/>
        <sz val="20"/>
        <color theme="0"/>
        <rFont val="Calibri"/>
        <family val="2"/>
        <charset val="1"/>
      </rPr>
      <t xml:space="preserve">REFERENCE (</t>
    </r>
    <r>
      <rPr>
        <b val="true"/>
        <sz val="20"/>
        <color theme="0"/>
        <rFont val="FreeSans"/>
        <family val="2"/>
      </rPr>
      <t xml:space="preserve">เอกสารอ้างอิงของซีรี่ย์ </t>
    </r>
    <r>
      <rPr>
        <b val="true"/>
        <sz val="20"/>
        <color theme="0"/>
        <rFont val="Calibri"/>
        <family val="2"/>
        <charset val="1"/>
      </rPr>
      <t xml:space="preserve">240 </t>
    </r>
    <r>
      <rPr>
        <b val="true"/>
        <sz val="20"/>
        <color theme="0"/>
        <rFont val="FreeSans"/>
        <family val="2"/>
      </rPr>
      <t xml:space="preserve">ประตูบานเฟี๊ยม</t>
    </r>
    <r>
      <rPr>
        <b val="true"/>
        <sz val="20"/>
        <color theme="0"/>
        <rFont val="Calibri"/>
        <family val="2"/>
        <charset val="1"/>
      </rPr>
      <t xml:space="preserve">)</t>
    </r>
  </si>
  <si>
    <t xml:space="preserve">ข้อมูลแม่พิมพ์</t>
  </si>
  <si>
    <t xml:space="preserve">DIE NO.</t>
  </si>
  <si>
    <t xml:space="preserve">IMAGE</t>
  </si>
  <si>
    <t xml:space="preserve">DESCRIPTION</t>
  </si>
  <si>
    <t xml:space="preserve">THICKNESS(mm.)</t>
  </si>
  <si>
    <t xml:space="preserve">WEIGHT(Kg./m.)</t>
  </si>
  <si>
    <t xml:space="preserve">B24001-18</t>
  </si>
  <si>
    <t xml:space="preserve">HEAD / เฟรมบน</t>
  </si>
  <si>
    <t xml:space="preserve">B24002-14</t>
  </si>
  <si>
    <t xml:space="preserve">DOOR STOP HEAD / บังใบบน</t>
  </si>
  <si>
    <t xml:space="preserve">B24003-15</t>
  </si>
  <si>
    <t xml:space="preserve">SILL / เฟรมล่าง</t>
  </si>
  <si>
    <t xml:space="preserve">B24004-14</t>
  </si>
  <si>
    <t xml:space="preserve">DOOR STOP SILL / ตัวตบธรณี</t>
  </si>
  <si>
    <t xml:space="preserve">B24005-15</t>
  </si>
  <si>
    <t xml:space="preserve">JAMB / เฟรมข้าง</t>
  </si>
  <si>
    <t xml:space="preserve">B24006-12</t>
  </si>
  <si>
    <t xml:space="preserve">DOOR STOP JAMB / บังใบข้าง</t>
  </si>
  <si>
    <t xml:space="preserve">  </t>
  </si>
  <si>
    <t xml:space="preserve">B24007-15</t>
  </si>
  <si>
    <t xml:space="preserve">SASH STILE / กรอบบานกระจก(แนวนอน)</t>
  </si>
  <si>
    <t xml:space="preserve">B24008-12</t>
  </si>
  <si>
    <t xml:space="preserve">GLAZING BEAD / คิ้วตบกระจก 5-6 มิลลิเมตร</t>
  </si>
  <si>
    <t xml:space="preserve">B24016-12</t>
  </si>
  <si>
    <t xml:space="preserve">GLAZING BEAD / คิ้วตบกระจก 8-12 มิลลิเมตร</t>
  </si>
  <si>
    <t xml:space="preserve">B24013-12</t>
  </si>
  <si>
    <t xml:space="preserve">GLAZING BEAD / คิ้วตบกระจก 14-20 มิลลิเมตร</t>
  </si>
  <si>
    <t xml:space="preserve">B24009-12</t>
  </si>
  <si>
    <t xml:space="preserve">SASH STOP / คิ้วบานประตูเปิดคู่</t>
  </si>
  <si>
    <t xml:space="preserve">B24017-15</t>
  </si>
  <si>
    <t xml:space="preserve">BIFOLD ROLLER / รางยู</t>
  </si>
  <si>
    <t xml:space="preserve">B25006-15</t>
  </si>
  <si>
    <t xml:space="preserve">DOOR MIDDLE / ซอยลูกฟัก</t>
  </si>
  <si>
    <t xml:space="preserve">ข้อมูลฮาร์ดแวร์</t>
  </si>
  <si>
    <t xml:space="preserve">CODE SMS.</t>
  </si>
  <si>
    <t xml:space="preserve">GROUP</t>
  </si>
  <si>
    <t xml:space="preserve">00-024-BL</t>
  </si>
  <si>
    <t xml:space="preserve">STAINLESS STEEL MORTISE LOCK-HANDLE / มือจับ</t>
  </si>
  <si>
    <t xml:space="preserve">มือจับสแตนเลสประตูบานเปิด(ด้ามจับทรงโค้ง)-สีดำ</t>
  </si>
  <si>
    <t xml:space="preserve">00-024-SL</t>
  </si>
  <si>
    <t xml:space="preserve">มือจับสแตนเลสประตูบานเปิด(ด้ามจับทรงโค้ง)-สีเงิน</t>
  </si>
  <si>
    <t xml:space="preserve">00-024-WH</t>
  </si>
  <si>
    <t xml:space="preserve">มือจับสแตนเลสประตูบานเปิด(ด้ามจับทรงโค้ง)-สีขาว</t>
  </si>
  <si>
    <t xml:space="preserve"> </t>
  </si>
  <si>
    <t xml:space="preserve">00-027-BL</t>
  </si>
  <si>
    <t xml:space="preserve">มือจับสแตนเลสประตูบานเปิด(ด้ามจับทรงเหลี่ยม)-สีดำ</t>
  </si>
  <si>
    <t xml:space="preserve">00-027-SL</t>
  </si>
  <si>
    <t xml:space="preserve">มือจับสแตนเลสประตูบานเปิด(ด้ามจับทรงเหลี่ยม)-สีเงิน</t>
  </si>
  <si>
    <t xml:space="preserve">00-027-WH</t>
  </si>
  <si>
    <t xml:space="preserve">มือจับสแตนเลสประตูบานเปิด(ด้ามจับทรงเหลี่ยม)-สีขาว</t>
  </si>
  <si>
    <t xml:space="preserve">00-020-25</t>
  </si>
  <si>
    <t xml:space="preserve">CONCEALED FLUSH BOLT / ชุดล็อค</t>
  </si>
  <si>
    <t xml:space="preserve">กลอนสวิง ขนาด 25เซนติเมตร</t>
  </si>
  <si>
    <t xml:space="preserve">00-020-50</t>
  </si>
  <si>
    <t xml:space="preserve">กลอนสวิง ขนาด 50เซนติเมตร</t>
  </si>
  <si>
    <t xml:space="preserve">00-020-90</t>
  </si>
  <si>
    <t xml:space="preserve">กลอนสวิง ขนาด 90เซนติเมตร</t>
  </si>
  <si>
    <t xml:space="preserve">02-015</t>
  </si>
  <si>
    <t xml:space="preserve">FRAME SEAL / แผ่นประเก็นกันน้ำ</t>
  </si>
  <si>
    <t xml:space="preserve">ประเก็นกันน้ำ เฟรมบนบานเฟี๊ยม B24001 HEAD</t>
  </si>
  <si>
    <t xml:space="preserve">02-016</t>
  </si>
  <si>
    <t xml:space="preserve">ประเก็นกันน้ำ เฟรมล่างบานเฟี๊ยม B24003 SILL</t>
  </si>
  <si>
    <t xml:space="preserve">02-022</t>
  </si>
  <si>
    <t xml:space="preserve">GASKET / ยาง</t>
  </si>
  <si>
    <t xml:space="preserve">(5 mm GLASS) INSERT GLAZING / 5mm ยางรอง</t>
  </si>
  <si>
    <t xml:space="preserve">02-026</t>
  </si>
  <si>
    <t xml:space="preserve">FRAME SEAL-FOAM / ยางวงกบบานเฟี๊ยม ชนิดโฟม</t>
  </si>
  <si>
    <t xml:space="preserve">02-031</t>
  </si>
  <si>
    <t xml:space="preserve">SASH SEAL FOAM/ยางขอบกรอบบาน(วัสดุโฟม)</t>
  </si>
  <si>
    <t xml:space="preserve">02-032</t>
  </si>
  <si>
    <t xml:space="preserve">(6 mm GLASS) INSERT GLAZING / 6mm ยางรอง</t>
  </si>
  <si>
    <t xml:space="preserve">02-033</t>
  </si>
  <si>
    <t xml:space="preserve">ROLL IN WEDGE FOR GLASS 5 mm  /5mm ยางอัด</t>
  </si>
  <si>
    <t xml:space="preserve">02-034</t>
  </si>
  <si>
    <t xml:space="preserve">ROLL IN WEDGE FOR GLASS 6 mm  /6mm ยางอัด</t>
  </si>
  <si>
    <t xml:space="preserve">02-045</t>
  </si>
  <si>
    <t xml:space="preserve">ROLL IN WEDGE FOR GLASS 14 mm  /14mm ยางอัด</t>
  </si>
  <si>
    <t xml:space="preserve">00-040</t>
  </si>
  <si>
    <t xml:space="preserve">CYLINDER / ชุดล็อค-ไส้กุญแจ</t>
  </si>
  <si>
    <t xml:space="preserve">ชุดล็อค กุญแจนอกบ้าน-ลูกบิดในบ้าน </t>
  </si>
  <si>
    <t xml:space="preserve">00-041</t>
  </si>
  <si>
    <t xml:space="preserve">ชุดล็อค กุญแจนอกบ้าน-ในบ้าน</t>
  </si>
  <si>
    <t xml:space="preserve">05-001</t>
  </si>
  <si>
    <t xml:space="preserve">BIFOLD HARDWARE / อุปกรณ์ชุดบานเฟี๊ยม</t>
  </si>
  <si>
    <t xml:space="preserve">STANDARD HINGE ONLY / บานพับระดับเดียวกัน</t>
  </si>
  <si>
    <t xml:space="preserve">05-002</t>
  </si>
  <si>
    <t xml:space="preserve">OFFSET HINGE ONLY / บานพับต่างระดับ</t>
  </si>
  <si>
    <t xml:space="preserve">05-003</t>
  </si>
  <si>
    <t xml:space="preserve">STANDARD HINGE SET-NO HANDLE / ชุดบานพับระดับเดียวกัน</t>
  </si>
  <si>
    <t xml:space="preserve">STANDARD HINGE SET-WITH HANDLE / ชุดบานพับระดับเดียวกันและบานพับมือจับ</t>
  </si>
  <si>
    <t xml:space="preserve">OFFSET HINGE SET-WITH HANDLE / ชุดบานพับต่างระดับและบานพับมือจับ</t>
  </si>
  <si>
    <t xml:space="preserve">LEFT HAND PIVOT SET / แกนหมุนบานพับข้างซ้าย</t>
  </si>
  <si>
    <t xml:space="preserve">RIGHT HAND PIVOT SET / แกนหมุนบานพับข้างขวา</t>
  </si>
  <si>
    <t xml:space="preserve">LEFT HAND CARRIER SET / ชุดล้อบนและไกด์บานเปิดซ้าย</t>
  </si>
  <si>
    <t xml:space="preserve">RIGHT HAND CARRIER SET / ชุดล้อบนและไกด์บานเปิดขวา</t>
  </si>
  <si>
    <t xml:space="preserve">MEETING SET / ชุดล้อบนและไกด์บานเปิดกลาง</t>
  </si>
  <si>
    <t xml:space="preserve">INTERMEDIATE SET / ชุดล้อบน, บานพับ และไกด์บานกลาง</t>
  </si>
  <si>
    <t xml:space="preserve">05-012</t>
  </si>
  <si>
    <t xml:space="preserve">STANDARD HINGE ONLY-WITH HANDLE / บานพับมือจับสแตนดาร์ด</t>
  </si>
  <si>
    <t xml:space="preserve">05-013</t>
  </si>
  <si>
    <t xml:space="preserve">OFFSET HINGE ONLY-WITH HANDLE / บานพับมือจับเยื้อง</t>
  </si>
  <si>
    <t xml:space="preserve">TWIN BOLT / มือจับกลอนมัลติพอยท์-ล็อค</t>
  </si>
  <si>
    <t xml:space="preserve">02-037</t>
  </si>
  <si>
    <t xml:space="preserve">ACCESSORIES / อุปกรณ์เสริม</t>
  </si>
  <si>
    <t xml:space="preserve">GLASS SETTING BLOCK 6X10-ยางรองกระจก</t>
  </si>
  <si>
    <t xml:space="preserve">04-003</t>
  </si>
  <si>
    <r>
      <rPr>
        <sz val="11"/>
        <color theme="1"/>
        <rFont val="Calibri"/>
        <family val="2"/>
        <charset val="222"/>
      </rPr>
      <t xml:space="preserve">FLUSH BOLT GUIDE-</t>
    </r>
    <r>
      <rPr>
        <sz val="11"/>
        <color theme="1"/>
        <rFont val="FreeSans"/>
        <family val="2"/>
      </rPr>
      <t xml:space="preserve">ไกด์บานเฟี๊ยม กลอนยาว</t>
    </r>
    <r>
      <rPr>
        <sz val="11"/>
        <color theme="1"/>
        <rFont val="Calibri"/>
        <family val="2"/>
        <charset val="222"/>
      </rPr>
      <t xml:space="preserve">(</t>
    </r>
    <r>
      <rPr>
        <sz val="11"/>
        <color theme="1"/>
        <rFont val="FreeSans"/>
        <family val="2"/>
      </rPr>
      <t xml:space="preserve">แกนกลม</t>
    </r>
    <r>
      <rPr>
        <sz val="11"/>
        <color theme="1"/>
        <rFont val="Calibri"/>
        <family val="2"/>
        <charset val="222"/>
      </rPr>
      <t xml:space="preserve">)</t>
    </r>
  </si>
  <si>
    <t xml:space="preserve">04-004</t>
  </si>
  <si>
    <t xml:space="preserve">TRACK INSERT / ปิดร่องเฟรมบน</t>
  </si>
  <si>
    <t xml:space="preserve">04-009</t>
  </si>
  <si>
    <r>
      <rPr>
        <sz val="11"/>
        <color theme="1"/>
        <rFont val="Calibri"/>
        <family val="2"/>
        <charset val="222"/>
      </rPr>
      <t xml:space="preserve">FLUSH BOLT GUIDE-</t>
    </r>
    <r>
      <rPr>
        <sz val="11"/>
        <color theme="1"/>
        <rFont val="FreeSans"/>
        <family val="2"/>
      </rPr>
      <t xml:space="preserve">ไกด์บานเฟี๊ยม กลอนยาวคู่</t>
    </r>
    <r>
      <rPr>
        <sz val="11"/>
        <color theme="1"/>
        <rFont val="Calibri"/>
        <family val="2"/>
        <charset val="222"/>
      </rPr>
      <t xml:space="preserve">(</t>
    </r>
    <r>
      <rPr>
        <sz val="11"/>
        <color theme="1"/>
        <rFont val="FreeSans"/>
        <family val="2"/>
      </rPr>
      <t xml:space="preserve">แกนเหลี่ยม</t>
    </r>
    <r>
      <rPr>
        <sz val="11"/>
        <color theme="1"/>
        <rFont val="Calibri"/>
        <family val="2"/>
        <charset val="222"/>
      </rPr>
      <t xml:space="preserve">)</t>
    </r>
  </si>
  <si>
    <t xml:space="preserve">04-016</t>
  </si>
  <si>
    <t xml:space="preserve">FLUSH BOLT RECEIVER BI-FOLD-ฝาปิดรูกลอน บานเฟี๊ยม</t>
  </si>
  <si>
    <t xml:space="preserve">HOMELIFE</t>
  </si>
  <si>
    <t xml:space="preserve">Fabricators Guide</t>
  </si>
  <si>
    <t xml:space="preserve">240 Series Bi Fold Door </t>
  </si>
  <si>
    <t xml:space="preserve"> 101.6 x 35mm FRAME - 300 PASCAL SILL</t>
  </si>
  <si>
    <t xml:space="preserve">240-2 Panel (L)</t>
  </si>
  <si>
    <t xml:space="preserve">Outside Bi Fold Door </t>
  </si>
  <si>
    <t xml:space="preserve">FG-240-2PL-1</t>
  </si>
  <si>
    <t xml:space="preserve">101.6 x35mm Frame 300 Pascal sill</t>
  </si>
  <si>
    <t xml:space="preserve">Project Name :</t>
  </si>
  <si>
    <t xml:space="preserve">Mini Mockup</t>
  </si>
  <si>
    <t xml:space="preserve">Glass size</t>
  </si>
  <si>
    <t xml:space="preserve">FRAME SEAL</t>
  </si>
  <si>
    <t xml:space="preserve">Finish</t>
  </si>
  <si>
    <t xml:space="preserve">ชื่อโครงการ   </t>
  </si>
  <si>
    <t xml:space="preserve">Quantity
จำนวน</t>
  </si>
  <si>
    <t xml:space="preserve">Standard (มาตรฐาน)</t>
  </si>
  <si>
    <t xml:space="preserve">Mill Finish</t>
  </si>
  <si>
    <t xml:space="preserve">Frame Thickness :</t>
  </si>
  <si>
    <t xml:space="preserve">Soumdproof</t>
  </si>
  <si>
    <t xml:space="preserve">Natural Anodise</t>
  </si>
  <si>
    <t xml:space="preserve">ความหนาเฟรม   </t>
  </si>
  <si>
    <t xml:space="preserve">SMS White</t>
  </si>
  <si>
    <t xml:space="preserve">Finish :</t>
  </si>
  <si>
    <t xml:space="preserve">Grey sahara</t>
  </si>
  <si>
    <t xml:space="preserve">Height
ความสูง</t>
  </si>
  <si>
    <t xml:space="preserve">SMS Black</t>
  </si>
  <si>
    <t xml:space="preserve">สีอลูมิเนียม   </t>
  </si>
  <si>
    <t xml:space="preserve">Black Anodise</t>
  </si>
  <si>
    <t xml:space="preserve">Hardware colour :</t>
  </si>
  <si>
    <t xml:space="preserve">Silver</t>
  </si>
  <si>
    <t xml:space="preserve">Grey Sahara</t>
  </si>
  <si>
    <t xml:space="preserve">สีฮาร์ดแวร์   </t>
  </si>
  <si>
    <t xml:space="preserve">Width
ความกว้าง</t>
  </si>
  <si>
    <t xml:space="preserve">Aztec Grey</t>
  </si>
  <si>
    <t xml:space="preserve">Glass :</t>
  </si>
  <si>
    <t xml:space="preserve">Golden Teak Wood Grain</t>
  </si>
  <si>
    <t xml:space="preserve">กระจก   </t>
  </si>
  <si>
    <t xml:space="preserve">Custom Colours</t>
  </si>
  <si>
    <t xml:space="preserve">Frame Seal :</t>
  </si>
  <si>
    <t xml:space="preserve">ยางเฟรม </t>
  </si>
  <si>
    <t xml:space="preserve">PARTS LIST EXTRUSIONS</t>
  </si>
  <si>
    <t xml:space="preserve">ITEM</t>
  </si>
  <si>
    <t xml:space="preserve">THAI</t>
  </si>
  <si>
    <t xml:space="preserve">KG/m</t>
  </si>
  <si>
    <t xml:space="preserve">BAR 
DRAWING</t>
  </si>
  <si>
    <t xml:space="preserve">QTY</t>
  </si>
  <si>
    <t xml:space="preserve">CUTTING 
FORMULA</t>
  </si>
  <si>
    <t xml:space="preserve">CUTTING
(mm)</t>
  </si>
  <si>
    <t xml:space="preserve">QTY/SET</t>
  </si>
  <si>
    <t xml:space="preserve">GLAZING BEAD</t>
  </si>
  <si>
    <t xml:space="preserve">เฟรมบน</t>
  </si>
  <si>
    <t xml:space="preserve">HEAD</t>
  </si>
  <si>
    <t xml:space="preserve">B24001-002</t>
  </si>
  <si>
    <t xml:space="preserve">W-60</t>
  </si>
  <si>
    <t xml:space="preserve">H</t>
  </si>
  <si>
    <t xml:space="preserve">5-6mm คิ้วตบกระจกแนวนอน</t>
  </si>
  <si>
    <t xml:space="preserve">5-6mm GLAZING BEAD HORIZONTAL</t>
  </si>
  <si>
    <t xml:space="preserve">B24008</t>
  </si>
  <si>
    <t xml:space="preserve">B24008-001</t>
  </si>
  <si>
    <t xml:space="preserve">(W-182-113.25)/2</t>
  </si>
  <si>
    <t xml:space="preserve">บังใบบน</t>
  </si>
  <si>
    <t xml:space="preserve">DOOR STOP HEAD</t>
  </si>
  <si>
    <t xml:space="preserve">B24002-001</t>
  </si>
  <si>
    <t xml:space="preserve">W-86</t>
  </si>
  <si>
    <t xml:space="preserve">8-12mm คิ้วตบกระจกแนวนอน</t>
  </si>
  <si>
    <t xml:space="preserve">8-12mm GLAZING BEAD HORIZONTAL</t>
  </si>
  <si>
    <t xml:space="preserve">B24016</t>
  </si>
  <si>
    <t xml:space="preserve">B24016-001</t>
  </si>
  <si>
    <t xml:space="preserve">เฟรมล่าง </t>
  </si>
  <si>
    <t xml:space="preserve">SILL</t>
  </si>
  <si>
    <t xml:space="preserve">B24003-001</t>
  </si>
  <si>
    <t xml:space="preserve">14-22mm คิ้วตบกระจกแนวนอน</t>
  </si>
  <si>
    <t xml:space="preserve">14-22mm GLAZING BEAD HORIZONTAL</t>
  </si>
  <si>
    <t xml:space="preserve">B24013</t>
  </si>
  <si>
    <t xml:space="preserve">B24013-001</t>
  </si>
  <si>
    <t xml:space="preserve">ตัวตับธรณี</t>
  </si>
  <si>
    <t xml:space="preserve">DOOR STOP SILL</t>
  </si>
  <si>
    <t xml:space="preserve">B24004-001</t>
  </si>
  <si>
    <t xml:space="preserve">V</t>
  </si>
  <si>
    <t xml:space="preserve">5-6mm คิ้วตบกระจกแนวตั้ง</t>
  </si>
  <si>
    <t xml:space="preserve">5-6mm GLAZING BEAD VERTICAL</t>
  </si>
  <si>
    <t xml:space="preserve">B24008-002</t>
  </si>
  <si>
    <t xml:space="preserve">H-242</t>
  </si>
  <si>
    <t xml:space="preserve">เฟรมข้าง (ซ้าย)</t>
  </si>
  <si>
    <t xml:space="preserve">JAMB (L)</t>
  </si>
  <si>
    <t xml:space="preserve">B24005-001L</t>
  </si>
  <si>
    <t xml:space="preserve">8-12mm คิ้วตบกระจกแนวตั้ง</t>
  </si>
  <si>
    <t xml:space="preserve">8-12mm GLAZING BEAD VERTICAL</t>
  </si>
  <si>
    <t xml:space="preserve">B24016-002</t>
  </si>
  <si>
    <t xml:space="preserve">เฟรมข้าง (ขวา)</t>
  </si>
  <si>
    <t xml:space="preserve">JAMB (R)</t>
  </si>
  <si>
    <t xml:space="preserve">B24005-002R</t>
  </si>
  <si>
    <t xml:space="preserve">14-22mm คิ้วตบกระจกแนวตั้ง</t>
  </si>
  <si>
    <t xml:space="preserve">14-22mm GLAZING BEAD VERTICAL</t>
  </si>
  <si>
    <t xml:space="preserve">B24013-002</t>
  </si>
  <si>
    <t xml:space="preserve">บังใบข้าง (ซ้าย)</t>
  </si>
  <si>
    <t xml:space="preserve">DOOR STOP JAMB (L)</t>
  </si>
  <si>
    <t xml:space="preserve">B24006-001L</t>
  </si>
  <si>
    <t xml:space="preserve">H-96</t>
  </si>
  <si>
    <t xml:space="preserve">บังใบข้าง (ขวา)</t>
  </si>
  <si>
    <t xml:space="preserve">DOOR STOP JAMB (R)</t>
  </si>
  <si>
    <t xml:space="preserve">B24006-002R</t>
  </si>
  <si>
    <t xml:space="preserve">ขวางบน</t>
  </si>
  <si>
    <t xml:space="preserve">SASH (Hor) (T)</t>
  </si>
  <si>
    <t xml:space="preserve">B24007-001</t>
  </si>
  <si>
    <t xml:space="preserve">45° (W-60-(2+1)×4)/2</t>
  </si>
  <si>
    <t xml:space="preserve">ขวางล่าง</t>
  </si>
  <si>
    <t xml:space="preserve">SASH (Hor) (B)</t>
  </si>
  <si>
    <t xml:space="preserve">เสา</t>
  </si>
  <si>
    <t xml:space="preserve">SASH (Ver) </t>
  </si>
  <si>
    <t xml:space="preserve">B24007-002</t>
  </si>
  <si>
    <t xml:space="preserve">H-92</t>
  </si>
  <si>
    <t xml:space="preserve">เสากุญแจ</t>
  </si>
  <si>
    <t xml:space="preserve">SASH (Ver) LOCK </t>
  </si>
  <si>
    <t xml:space="preserve">B24007-006R</t>
  </si>
  <si>
    <t xml:space="preserve">TOTAL
LENGTH/SET(mm)</t>
  </si>
  <si>
    <t xml:space="preserve">LENGTH/SET(m)</t>
  </si>
  <si>
    <t xml:space="preserve">TAKE OFF/6.4M</t>
  </si>
  <si>
    <t xml:space="preserve">PARTS LIST HARDWARE &amp; ACCESSORIES</t>
  </si>
  <si>
    <t xml:space="preserve">PART NO.</t>
  </si>
  <si>
    <t xml:space="preserve">DRAWING</t>
  </si>
  <si>
    <t xml:space="preserve">PER</t>
  </si>
  <si>
    <t xml:space="preserve">QUANTITY</t>
  </si>
  <si>
    <t xml:space="preserve">Pack QTY</t>
  </si>
  <si>
    <t xml:space="preserve">TOTAL</t>
  </si>
  <si>
    <t xml:space="preserve">ตัวรับกลอน</t>
  </si>
  <si>
    <t xml:space="preserve">FLUSH BOLT RECEIVER </t>
  </si>
  <si>
    <t xml:space="preserve">PC</t>
  </si>
  <si>
    <t xml:space="preserve">5,6,18</t>
  </si>
  <si>
    <t xml:space="preserve">5,6,18 mm ยางรองกระจก</t>
  </si>
  <si>
    <t xml:space="preserve">5,6,18 mm CAPTIVE WEDGE</t>
  </si>
  <si>
    <t xml:space="preserve">M</t>
  </si>
  <si>
    <t xml:space="preserve">หมอนรองกระจก</t>
  </si>
  <si>
    <t xml:space="preserve">SETTING BLOCK</t>
  </si>
  <si>
    <t xml:space="preserve">12,20</t>
  </si>
  <si>
    <t xml:space="preserve">12,20 mm ยางรองกระจก</t>
  </si>
  <si>
    <t xml:space="preserve">12,20 mm CAPTIVE WEDGE</t>
  </si>
  <si>
    <t xml:space="preserve">ประเก็นเฟรมบน</t>
  </si>
  <si>
    <t xml:space="preserve">FRAME SEAL BI-FOLD HEAD (L/R)</t>
  </si>
  <si>
    <t xml:space="preserve">5,8,10,12,18</t>
  </si>
  <si>
    <t xml:space="preserve">5,8,10,12,18 mmยางอัดกระจก</t>
  </si>
  <si>
    <t xml:space="preserve">5,8,10,12,18 mm ROLL IN WEDGE</t>
  </si>
  <si>
    <t xml:space="preserve">ประเก็นเฟรมล่าง</t>
  </si>
  <si>
    <t xml:space="preserve">FRAME SEAL BI-FOLD SILL (L/R)</t>
  </si>
  <si>
    <t xml:space="preserve">6,20</t>
  </si>
  <si>
    <t xml:space="preserve">6,20 mm ยางอัดกระจก</t>
  </si>
  <si>
    <t xml:space="preserve">6,20 mm ROLL IN WEDGE</t>
  </si>
  <si>
    <t xml:space="preserve">สกรู × 38</t>
  </si>
  <si>
    <t xml:space="preserve">#8x38 mm. SS PH SELF TAPPING SCREW</t>
  </si>
  <si>
    <t xml:space="preserve">8,14</t>
  </si>
  <si>
    <t xml:space="preserve">8,14 mm ยางอัดกระจก</t>
  </si>
  <si>
    <t xml:space="preserve">8,14 mm ROLL IN WEDGE</t>
  </si>
  <si>
    <t xml:space="preserve">สกรู × 12</t>
  </si>
  <si>
    <t xml:space="preserve">#8x12 mm. CSK SELF TAPPING SCREW</t>
  </si>
  <si>
    <t xml:space="preserve">ชุดล้อแขวนบานตายซ้าย</t>
  </si>
  <si>
    <t xml:space="preserve">Left Hand Pivot Set</t>
  </si>
  <si>
    <t xml:space="preserve">SET</t>
  </si>
  <si>
    <t xml:space="preserve">ชุดล้อแขวนบานสุดท้าย</t>
  </si>
  <si>
    <t xml:space="preserve">Right Hand End Carriert Set</t>
  </si>
  <si>
    <t xml:space="preserve">ชุดบานพับมีมือจับ</t>
  </si>
  <si>
    <t xml:space="preserve">Standard Hinge Handle Set</t>
  </si>
  <si>
    <t xml:space="preserve">ชุดสลักล็อค</t>
  </si>
  <si>
    <t xml:space="preserve">Twin Bolt + Rods</t>
  </si>
  <si>
    <t xml:space="preserve">ตัวประคองสลักล็อค</t>
  </si>
  <si>
    <t xml:space="preserve">Guide twin Bolt Rods</t>
  </si>
  <si>
    <t xml:space="preserve">รางเสริมเปลี่ยนล้อ</t>
  </si>
  <si>
    <t xml:space="preserve">35 SERIES TRACK INSERT</t>
  </si>
  <si>
    <t xml:space="preserve">ธรรมดา</t>
  </si>
  <si>
    <t xml:space="preserve">ยางเฟรมกันน้ำ (ธรรมดา)</t>
  </si>
  <si>
    <t xml:space="preserve">FRAME SEAL (Standard)</t>
  </si>
  <si>
    <t xml:space="preserve">กันเสียง</t>
  </si>
  <si>
    <t xml:space="preserve">ยางเฟรมกันน้ำ (กันเสียง)</t>
  </si>
  <si>
    <t xml:space="preserve">FRAME SEAL (Soumdproof)</t>
  </si>
  <si>
    <t xml:space="preserve">02-025</t>
  </si>
  <si>
    <t xml:space="preserve">ยางแซชกันน้ำ (ธรรมดา)</t>
  </si>
  <si>
    <t xml:space="preserve">SASH SEAL FOAM (Standard)</t>
  </si>
  <si>
    <t xml:space="preserve">ยางแซชกันน้ำ (กันเสียง)</t>
  </si>
  <si>
    <t xml:space="preserve">SASH SEAL FOAM (Soumdproof)</t>
  </si>
  <si>
    <t xml:space="preserve">02-035</t>
  </si>
  <si>
    <t xml:space="preserve">QUICK REFERENCE FORMULA</t>
  </si>
  <si>
    <t xml:space="preserve">                          Head</t>
  </si>
  <si>
    <t xml:space="preserve">                          = Frame Width -60.00</t>
  </si>
  <si>
    <t xml:space="preserve">                          ความกว้าง(วงกบ) - 60.00</t>
  </si>
  <si>
    <t xml:space="preserve">                          Door Stop Head</t>
  </si>
  <si>
    <t xml:space="preserve">                          = Frame Width -86</t>
  </si>
  <si>
    <t xml:space="preserve">                          ความกว้าง(วงกบ) - 86</t>
  </si>
  <si>
    <t xml:space="preserve">                          Sill</t>
  </si>
  <si>
    <t xml:space="preserve">                          Door Stop Sill</t>
  </si>
  <si>
    <t xml:space="preserve">                          JAMB</t>
  </si>
  <si>
    <t xml:space="preserve">                                  = FAME HIGHT</t>
  </si>
  <si>
    <t xml:space="preserve">                          ความสูง (วงกบ)</t>
  </si>
  <si>
    <t xml:space="preserve">                          Door Stop Jamb</t>
  </si>
  <si>
    <t xml:space="preserve">                          = FAME HIGHT - 96</t>
  </si>
  <si>
    <t xml:space="preserve">                          ความสูง (วงกบ) - 96</t>
  </si>
  <si>
    <t xml:space="preserve">                          Sash</t>
  </si>
  <si>
    <t xml:space="preserve">                          = ((Frame Width - 182-113.25)/2</t>
  </si>
  <si>
    <t xml:space="preserve">                          ((ความกว้าง (วงกบ) - 182-113.25)/2</t>
  </si>
  <si>
    <t xml:space="preserve">                          = FAME HIGHT - 92.00</t>
  </si>
  <si>
    <t xml:space="preserve">                          ความสูง (วงกบ) - 92.00</t>
  </si>
  <si>
    <t xml:space="preserve">                          Glazing Bead</t>
  </si>
  <si>
    <t xml:space="preserve">                          = FAME HIGHT - 242.00</t>
  </si>
  <si>
    <t xml:space="preserve">                          ความสูง (วงกบ) - 242.00</t>
  </si>
  <si>
    <t xml:space="preserve">OUTSIDE FRAME ASSEMBLY</t>
  </si>
  <si>
    <t xml:space="preserve">INSIDE SASH ASSEMBLY</t>
  </si>
  <si>
    <t xml:space="preserve">GLASS</t>
  </si>
  <si>
    <t xml:space="preserve">HEIGHT</t>
  </si>
  <si>
    <t xml:space="preserve">FORMULA</t>
  </si>
  <si>
    <t xml:space="preserve">WIDTH</t>
  </si>
  <si>
    <t xml:space="preserve">-</t>
  </si>
  <si>
    <t xml:space="preserve">Height - 215</t>
  </si>
  <si>
    <t xml:space="preserve">((W-182-113.25)/2)-13</t>
  </si>
  <si>
    <t xml:space="preserve">กระจก 5 mm (สูง) (กว้าง)</t>
  </si>
  <si>
    <t xml:space="preserve">GLASS thk.5 mm (H) (W)</t>
  </si>
  <si>
    <t xml:space="preserve">กระจก 6 mm (สูง) (กว้าง)</t>
  </si>
  <si>
    <t xml:space="preserve">GLASS thk.6 mm (H) (W)</t>
  </si>
  <si>
    <t xml:space="preserve">กระจก 8 mm (สูง) (กว้าง)</t>
  </si>
  <si>
    <t xml:space="preserve">GLASS thk.8 mm (H) (W)</t>
  </si>
  <si>
    <t xml:space="preserve">กระจก 10 mm (สูง) (กว้าง)</t>
  </si>
  <si>
    <t xml:space="preserve">GLASS thk.10 mm (H) (W)</t>
  </si>
  <si>
    <t xml:space="preserve">กระจก 12 mm (สูง) (กว้าง)</t>
  </si>
  <si>
    <t xml:space="preserve">GLASS thk.12 mm (H) (W)</t>
  </si>
  <si>
    <t xml:space="preserve">กระจก 14 mm (สูง) (กว้าง)</t>
  </si>
  <si>
    <t xml:space="preserve">GLASS thk.14 mm (H) (W)</t>
  </si>
  <si>
    <t xml:space="preserve">กระจก 18 mm (สูง) (กว้าง)</t>
  </si>
  <si>
    <t xml:space="preserve">GLASS thk.18 mm (H) (W)</t>
  </si>
  <si>
    <t xml:space="preserve">กระจก 20 mm (สูง) (กว้าง)</t>
  </si>
  <si>
    <t xml:space="preserve">GLASS thk.20 mm (H) (W)</t>
  </si>
  <si>
    <t xml:space="preserve">กระจก 22 mm (สูง) (กว้าง)</t>
  </si>
  <si>
    <t xml:space="preserve">GLASS thk.22 mm (H) (W)</t>
  </si>
  <si>
    <t xml:space="preserve">240-2 Panel (R)</t>
  </si>
  <si>
    <t xml:space="preserve">FG-240-2PR-01</t>
  </si>
  <si>
    <t xml:space="preserve">Standard</t>
  </si>
  <si>
    <t xml:space="preserve">Black</t>
  </si>
  <si>
    <t xml:space="preserve">Frame Seal:</t>
  </si>
  <si>
    <t xml:space="preserve">ชุดล้อแขวนบานตายขวา</t>
  </si>
  <si>
    <t xml:space="preserve">Right Hand Pivot Set</t>
  </si>
  <si>
    <t xml:space="preserve">ชุดล้อแขวนบานเปิด</t>
  </si>
  <si>
    <t xml:space="preserve">Left Hand End Carrier Set</t>
  </si>
  <si>
    <t xml:space="preserve">                   Head</t>
  </si>
  <si>
    <t xml:space="preserve">                   Door Stop Head</t>
  </si>
  <si>
    <t xml:space="preserve">                          ความกว้างวงกบ - 86</t>
  </si>
  <si>
    <t xml:space="preserve">                   Sill</t>
  </si>
  <si>
    <t xml:space="preserve">                   Door Stop Sill</t>
  </si>
  <si>
    <t xml:space="preserve">                    JAMB</t>
  </si>
  <si>
    <t xml:space="preserve">                          = FAME HIGHT</t>
  </si>
  <si>
    <t xml:space="preserve">                   Door Stop Jamb</t>
  </si>
  <si>
    <t xml:space="preserve">                   Sash</t>
  </si>
  <si>
    <t xml:space="preserve">                   Glazing Bead</t>
  </si>
  <si>
    <t xml:space="preserve">240-3 Panel (2L1R)</t>
  </si>
  <si>
    <t xml:space="preserve">FG-240-3P2L1R-01</t>
  </si>
  <si>
    <t xml:space="preserve">(W-182-(113.25 × 2))/3</t>
  </si>
  <si>
    <t xml:space="preserve">B24005-004R</t>
  </si>
  <si>
    <t xml:space="preserve">45° (W-60-(3+1)×4)/3</t>
  </si>
  <si>
    <t xml:space="preserve">เสากุญแจมือจับ</t>
  </si>
  <si>
    <t xml:space="preserve">SASH (Ver) LOCK HANDLE</t>
  </si>
  <si>
    <t xml:space="preserve">B24007-003L</t>
  </si>
  <si>
    <t xml:space="preserve">บังใบ</t>
  </si>
  <si>
    <t xml:space="preserve">SASH STOP</t>
  </si>
  <si>
    <t xml:space="preserve">B24009</t>
  </si>
  <si>
    <t xml:space="preserve">B24009-001</t>
  </si>
  <si>
    <t xml:space="preserve">SASH STOP </t>
  </si>
  <si>
    <t xml:space="preserve">B24009-002</t>
  </si>
  <si>
    <t xml:space="preserve">ชุดมือจับล็อค</t>
  </si>
  <si>
    <t xml:space="preserve">Stainless steel mortise lock,handle,cylinder</t>
  </si>
  <si>
    <t xml:space="preserve">00-024 or 00-027</t>
  </si>
  <si>
    <t xml:space="preserve">Sash Stop</t>
  </si>
  <si>
    <t xml:space="preserve">= FAME HIGHT - 92.00</t>
  </si>
  <si>
    <t xml:space="preserve">ความสูง (วงกบ) - 92.00</t>
  </si>
  <si>
    <t xml:space="preserve">                          = ((Frame Width - 182-(113.25 × 2))/3</t>
  </si>
  <si>
    <t xml:space="preserve">                          ((ความกว้าง (วงกบ) - 182-(113.25 × 2))/3</t>
  </si>
  <si>
    <t xml:space="preserve">((W-182-(113.25 × 2)/3)-13</t>
  </si>
  <si>
    <t xml:space="preserve">240-3 Panel (1L2R)</t>
  </si>
  <si>
    <t xml:space="preserve">FG-240-3P1L2R-01</t>
  </si>
  <si>
    <t xml:space="preserve">240-3 Panel (L)</t>
  </si>
  <si>
    <t xml:space="preserve">FG-240-3PL-01</t>
  </si>
  <si>
    <t xml:space="preserve">Mini Mockup KC</t>
  </si>
  <si>
    <t xml:space="preserve">ชุดล้อแขวนบานกลาง</t>
  </si>
  <si>
    <t xml:space="preserve">Intermediate Carrier Set</t>
  </si>
  <si>
    <t xml:space="preserve">ชุดบานพับต่างระดับมีมือจับ</t>
  </si>
  <si>
    <t xml:space="preserve">offset Hinge Handle Set</t>
  </si>
  <si>
    <t xml:space="preserve">240-3 Panel (R)</t>
  </si>
  <si>
    <t xml:space="preserve">FG-240-3PR-01</t>
  </si>
  <si>
    <t xml:space="preserve">D5 บาน3-3-0 R</t>
  </si>
  <si>
    <t xml:space="preserve">B24001-001</t>
  </si>
  <si>
    <t xml:space="preserve">B24005-003L</t>
  </si>
  <si>
    <t xml:space="preserve">B24007-005L</t>
  </si>
  <si>
    <t xml:space="preserve">B24007-004R</t>
  </si>
  <si>
    <t xml:space="preserve">                    Head</t>
  </si>
  <si>
    <t xml:space="preserve">                    Door Stop Head</t>
  </si>
  <si>
    <t xml:space="preserve">                    Door Stop Sill</t>
  </si>
  <si>
    <t xml:space="preserve">                          ((ความกว้างวงกบ - 182-(113.25 × 2))/3</t>
  </si>
  <si>
    <t xml:space="preserve">240-4 Panel (1L3R)</t>
  </si>
  <si>
    <t xml:space="preserve">FG-240-4P1L3R-1</t>
  </si>
  <si>
    <t xml:space="preserve">สร้างสรรค์</t>
  </si>
  <si>
    <t xml:space="preserve">(W-185-(113.25 × 3))/4</t>
  </si>
  <si>
    <t xml:space="preserve">(W-185-(113.25 × 3))/5</t>
  </si>
  <si>
    <t xml:space="preserve">(W-185-(113.25 × 3))/6</t>
  </si>
  <si>
    <t xml:space="preserve">45° (W-60-(4+1)×4)/4</t>
  </si>
  <si>
    <t xml:space="preserve">04-015</t>
  </si>
  <si>
    <t xml:space="preserve">กลอนสวิง 250 มม.</t>
  </si>
  <si>
    <t xml:space="preserve">Surface mounted flush bolt</t>
  </si>
  <si>
    <t xml:space="preserve">กลอนสวิง 900 มม.</t>
  </si>
  <si>
    <t xml:space="preserve">สักหลาดบังใบ</t>
  </si>
  <si>
    <t xml:space="preserve">MOHAIR FOR SASH STOP</t>
  </si>
  <si>
    <t xml:space="preserve">02-028</t>
  </si>
  <si>
    <t xml:space="preserve">สักหลาดเสา</t>
  </si>
  <si>
    <t xml:space="preserve">MOHAIR FOR SASH (Ver)</t>
  </si>
  <si>
    <t xml:space="preserve">02-036</t>
  </si>
  <si>
    <t xml:space="preserve">                   JAMB</t>
  </si>
  <si>
    <t xml:space="preserve">                         = FAME HIGHT</t>
  </si>
  <si>
    <t xml:space="preserve">                    Door Stop Jamb</t>
  </si>
  <si>
    <t xml:space="preserve">                          = ((Frame Width - 185-(113.25 × 3))/4</t>
  </si>
  <si>
    <t xml:space="preserve">                          ((ความกว้าง (วงกบ) - 185-(113.25 × 3))/4</t>
  </si>
  <si>
    <t xml:space="preserve">                   Sash Stop</t>
  </si>
  <si>
    <t xml:space="preserve">((W-185-(113.25 × 3)/4)-13</t>
  </si>
  <si>
    <t xml:space="preserve">ส</t>
  </si>
  <si>
    <t xml:space="preserve">240-4 Panel (2L2R)</t>
  </si>
  <si>
    <t xml:space="preserve">FG-240-4P2L2R-01</t>
  </si>
  <si>
    <t xml:space="preserve">D3 บาน 4-2-2</t>
  </si>
  <si>
    <t xml:space="preserve">POWDER COAT</t>
  </si>
  <si>
    <t xml:space="preserve">45°แยกฝั่ง (W/2-60-(2+1)×4)/2</t>
  </si>
  <si>
    <t xml:space="preserve">Aluminum Cost/per unit</t>
  </si>
  <si>
    <t xml:space="preserve">Total price</t>
  </si>
  <si>
    <t xml:space="preserve">Hardware Cost/per unit</t>
  </si>
  <si>
    <t xml:space="preserve">Paa</t>
  </si>
  <si>
    <t xml:space="preserve">ชุดบานพับระดับเดียวกัน</t>
  </si>
  <si>
    <t xml:space="preserve">Meetimg Set</t>
  </si>
  <si>
    <t xml:space="preserve">                          ((ความกว้างวงกบ - 185-(113.25 × 3))/4</t>
  </si>
  <si>
    <t xml:space="preserve">Profilo</t>
  </si>
  <si>
    <t xml:space="preserve">P1</t>
  </si>
  <si>
    <t xml:space="preserve">P2</t>
  </si>
  <si>
    <t xml:space="preserve">5-6mm GLAZING BEAD VERTICAL P1</t>
  </si>
  <si>
    <t xml:space="preserve">SASH -P1-P2-112.5</t>
  </si>
  <si>
    <t xml:space="preserve">8-12mm GLAZING BEAD VERTICAL P1</t>
  </si>
  <si>
    <t xml:space="preserve">14-22mm GLAZING BEAD VERTICAL P1</t>
  </si>
  <si>
    <t xml:space="preserve">5-6mm GLAZING BEAD VERTICAL P2</t>
  </si>
  <si>
    <t xml:space="preserve">SASH -(2P1)-75</t>
  </si>
  <si>
    <t xml:space="preserve">8-12mm GLAZING BEAD VERTICAL P2</t>
  </si>
  <si>
    <t xml:space="preserve">14-22mm GLAZING BEAD VERTICAL P2</t>
  </si>
  <si>
    <t xml:space="preserve">B24007-007</t>
  </si>
  <si>
    <t xml:space="preserve">B24007-008</t>
  </si>
  <si>
    <t xml:space="preserve">B24007-009</t>
  </si>
  <si>
    <t xml:space="preserve">ตัวแบ่งบาน</t>
  </si>
  <si>
    <t xml:space="preserve">Door Middle</t>
  </si>
  <si>
    <t xml:space="preserve">B25006</t>
  </si>
  <si>
    <t xml:space="preserve">B25006-001</t>
  </si>
  <si>
    <t xml:space="preserve">= ((Frame Width - 185-(113.25 × 3))/4</t>
  </si>
  <si>
    <t xml:space="preserve"> ((ความกว้างวงกบ - 185-(113.25 × 3))/4</t>
  </si>
  <si>
    <t xml:space="preserve">PANEL 1 Height - 85.5</t>
  </si>
  <si>
    <t xml:space="preserve">PANEL 2 Height - 48</t>
  </si>
  <si>
    <t xml:space="preserve">240-4 Panel (3L1R)</t>
  </si>
  <si>
    <t xml:space="preserve">FG-240-4P3L1R-01</t>
  </si>
  <si>
    <t xml:space="preserve">                    Glazing Bead</t>
  </si>
  <si>
    <t xml:space="preserve">240-4 Panel (4L)</t>
  </si>
  <si>
    <t xml:space="preserve">FG-240-4P4L-01</t>
  </si>
  <si>
    <t xml:space="preserve">บางใหญ่</t>
  </si>
  <si>
    <t xml:space="preserve">POWDER COATED</t>
  </si>
  <si>
    <t xml:space="preserve">(W-182-(113.25 × 3))/4</t>
  </si>
  <si>
    <t xml:space="preserve">                          = ((Frame Width - 182-(113.25 × 3))/4</t>
  </si>
  <si>
    <t xml:space="preserve">                          ((ความกว้าง (วงกบ) - 182-(113.25 × 3))/4</t>
  </si>
  <si>
    <t xml:space="preserve">((W-182-(113.25 × 3)/4)-13</t>
  </si>
  <si>
    <t xml:space="preserve">240-4 Panel (4R)</t>
  </si>
  <si>
    <t xml:space="preserve">FG-240-4P4R-01</t>
  </si>
  <si>
    <t xml:space="preserve">                    Sill</t>
  </si>
  <si>
    <t xml:space="preserve">240-5 Panel (1L4R)</t>
  </si>
  <si>
    <t xml:space="preserve">FG-240-5P1L4R-01</t>
  </si>
  <si>
    <t xml:space="preserve">(W-185-(113.25 × 4))/5</t>
  </si>
  <si>
    <t xml:space="preserve">45° (W-60-(5+1)×4)/5</t>
  </si>
  <si>
    <t xml:space="preserve">                          = ((Frame Width - 185-(113.25 × 4))/5</t>
  </si>
  <si>
    <t xml:space="preserve">                          ((ความกว้าง (วงกบ) - 185-(113.25 × 4))/5</t>
  </si>
  <si>
    <t xml:space="preserve">((W-185-(113.25 × 4)/5)-13</t>
  </si>
  <si>
    <t xml:space="preserve">240-5 Panel (2L3R)</t>
  </si>
  <si>
    <t xml:space="preserve">FG-240-5P2L3R-01</t>
  </si>
  <si>
    <t xml:space="preserve">D1 พี่หน่อย</t>
  </si>
  <si>
    <t xml:space="preserve">B24009-01</t>
  </si>
  <si>
    <t xml:space="preserve">B24009-02</t>
  </si>
  <si>
    <t xml:space="preserve">240-5 Panel (3L2R)</t>
  </si>
  <si>
    <t xml:space="preserve">FG-240-5P3L2R-01</t>
  </si>
  <si>
    <t xml:space="preserve">SASH (Ver) LOCK  </t>
  </si>
  <si>
    <t xml:space="preserve">02-029</t>
  </si>
  <si>
    <t xml:space="preserve">02-030</t>
  </si>
  <si>
    <t xml:space="preserve">240-5 Panel (4L1R)</t>
  </si>
  <si>
    <t xml:space="preserve">FG-240-5P4L1R-01</t>
  </si>
  <si>
    <t xml:space="preserve">SASH (Ver) LOCK</t>
  </si>
  <si>
    <t xml:space="preserve">240-5 Panel (5L)</t>
  </si>
  <si>
    <t xml:space="preserve">FG-240-5P5L-01</t>
  </si>
  <si>
    <t xml:space="preserve">Test Roller SMS</t>
  </si>
  <si>
    <t xml:space="preserve">(W-182-(113.25 × 4))/5</t>
  </si>
  <si>
    <t xml:space="preserve">                          = ((Frame Width - 182-(113.25 × 4))/5</t>
  </si>
  <si>
    <t xml:space="preserve">                          ((ความกว้าง (วงกบ) - 182-(113.25 × 4))/5</t>
  </si>
  <si>
    <t xml:space="preserve">((W-182-(113.25 × 4)/5)-13</t>
  </si>
  <si>
    <t xml:space="preserve">240-5 Panel (5R)</t>
  </si>
  <si>
    <t xml:space="preserve">FG-240-5P5R-01</t>
  </si>
  <si>
    <t xml:space="preserve">D1</t>
  </si>
  <si>
    <t xml:space="preserve">240-6 Panel (1L5R)</t>
  </si>
  <si>
    <t xml:space="preserve">FG-240-6P1L5R-01</t>
  </si>
  <si>
    <t xml:space="preserve">(W-185-(113.25 × 5))/6</t>
  </si>
  <si>
    <t xml:space="preserve">45° (W-60-(6+1)×4)/6</t>
  </si>
  <si>
    <t xml:space="preserve">                    Sash</t>
  </si>
  <si>
    <t xml:space="preserve">                          = ((Frame Width - 185-(113.25 × 5))/6</t>
  </si>
  <si>
    <t xml:space="preserve">                          ((ความกว้าง (วงกบ) - 185-(113.25 × 5))/6</t>
  </si>
  <si>
    <t xml:space="preserve">                    Sash Stop</t>
  </si>
  <si>
    <t xml:space="preserve">((W-185-(113.25 × 5)/6)-13</t>
  </si>
  <si>
    <t xml:space="preserve">240-6 Panel (3L3R)</t>
  </si>
  <si>
    <t xml:space="preserve">FG-240-6P3L3R-01</t>
  </si>
  <si>
    <t xml:space="preserve">D1 ฮวดเจริญ</t>
  </si>
  <si>
    <t xml:space="preserve">45°แยกฝั่ง (W/2-60-(3+1)×4)/3</t>
  </si>
  <si>
    <t xml:space="preserve">                          = ((Frame Width - 185)-(113.25 × 5))/6</t>
  </si>
  <si>
    <t xml:space="preserve">                         ( (ความกว้างวงกบ - 185)-(113.25 × 5))/6</t>
  </si>
  <si>
    <t xml:space="preserve">                          = (Frame Width - 185)-(113.25 × 5))/6</t>
  </si>
  <si>
    <t xml:space="preserve">                          ((ความกว้างวงกบ - 185)-(113.25 × 5))/6</t>
  </si>
  <si>
    <t xml:space="preserve">บานพับต่างระดับมีมือจับ</t>
  </si>
  <si>
    <t xml:space="preserve">Offset Hinge Only With Handle</t>
  </si>
  <si>
    <t xml:space="preserve">00-24 or 00-027</t>
  </si>
  <si>
    <t xml:space="preserve">= ((Frame Width - 185)-(113.25 × 5))/6</t>
  </si>
  <si>
    <t xml:space="preserve">( (ความกว้างวงกบ - 185)-(113.25 × 5))/6</t>
  </si>
  <si>
    <t xml:space="preserve">240-6 Panel (5L1R)</t>
  </si>
  <si>
    <t xml:space="preserve">FG-240-6P5L1R-01</t>
  </si>
  <si>
    <t xml:space="preserve">                  JAMB</t>
  </si>
  <si>
    <t xml:space="preserve">240-6 Panel (6L)</t>
  </si>
  <si>
    <t xml:space="preserve">FG-240-6P6L-01</t>
  </si>
  <si>
    <t xml:space="preserve">Back</t>
  </si>
  <si>
    <t xml:space="preserve">(W-182-(113.25 × 5))/6</t>
  </si>
  <si>
    <t xml:space="preserve">                          = ((Frame Width - 182-(113.25 × 5))/6</t>
  </si>
  <si>
    <t xml:space="preserve">                          ((ความกว้าง (วงกบ) - 182-(113.25 × 5))/6</t>
  </si>
  <si>
    <t xml:space="preserve">((W-182-(113.25 × 5)/6)-13</t>
  </si>
  <si>
    <t xml:space="preserve">240-6 Panel (6R)</t>
  </si>
  <si>
    <t xml:space="preserve">FG-240-6P6R-01</t>
  </si>
  <si>
    <t xml:space="preserve">                          ((ความกว้างวงกบ - 182-(113.25 × 5))/6</t>
  </si>
  <si>
    <t xml:space="preserve">240-7 Panel (1L6R)</t>
  </si>
  <si>
    <t xml:space="preserve">FG-240-7P1L6R-01</t>
  </si>
  <si>
    <t xml:space="preserve">(W-185-(113.25 × 6))/7</t>
  </si>
  <si>
    <t xml:space="preserve">45° (W-60-(7+1)×4)/7</t>
  </si>
  <si>
    <t xml:space="preserve">                          = ((Frame Width - 185-(113.25 × 6))/7</t>
  </si>
  <si>
    <t xml:space="preserve">                          ((ความกว้าง (วงกบ) - 185-(113.25 × 6))/7</t>
  </si>
  <si>
    <t xml:space="preserve">((W-185-(113.25 × 6)/7)-13</t>
  </si>
  <si>
    <t xml:space="preserve">240-7 Panel (2L5R)</t>
  </si>
  <si>
    <t xml:space="preserve">FG-240-7P2L5R-01</t>
  </si>
  <si>
    <t xml:space="preserve">                         ((ความกว้าง (วงกบ) - 185-(113.25 × 6))/7</t>
  </si>
  <si>
    <t xml:space="preserve">240-7 Panel (3L4R)</t>
  </si>
  <si>
    <t xml:space="preserve">FG-240-7P3L4R-01</t>
  </si>
  <si>
    <t xml:space="preserve">240-7 Panel (4L3R)</t>
  </si>
  <si>
    <t xml:space="preserve">FG-240-7P4L3R-01</t>
  </si>
  <si>
    <t xml:space="preserve">ฮวดเจริญ D1</t>
  </si>
  <si>
    <t xml:space="preserve">                          = ((Frame Width - 2185-(113.25 × 6))/7</t>
  </si>
  <si>
    <t xml:space="preserve">240-7 Panel (5L2R)</t>
  </si>
  <si>
    <t xml:space="preserve">FG-240-7P5L2R-01</t>
  </si>
  <si>
    <t xml:space="preserve">240-7 Panel (6L1R)</t>
  </si>
  <si>
    <t xml:space="preserve">FG-240-7P6L1R-01</t>
  </si>
  <si>
    <t xml:space="preserve">240-7 Panel (7L)</t>
  </si>
  <si>
    <t xml:space="preserve">FG-240-7P7L-01</t>
  </si>
  <si>
    <t xml:space="preserve">D1 ชมพู</t>
  </si>
  <si>
    <t xml:space="preserve">240-7 Panel (7R)</t>
  </si>
  <si>
    <t xml:space="preserve">FG-240-7P7R-01</t>
  </si>
  <si>
    <t xml:space="preserve">240-8 Panel (8R)</t>
  </si>
  <si>
    <t xml:space="preserve">FG-240-8P8R-01</t>
  </si>
  <si>
    <t xml:space="preserve">5-6-8mm คิ้วตบกระจกแนวนอน</t>
  </si>
  <si>
    <t xml:space="preserve">5-6-8mm GLAZING BEAD HORIZONTAL</t>
  </si>
  <si>
    <t xml:space="preserve">(W-185-(113.25 × 7))/8</t>
  </si>
  <si>
    <t xml:space="preserve">5-6-8mm คิ้วตบกระจกแนวตั้ง</t>
  </si>
  <si>
    <t xml:space="preserve">5-6-8mm GLAZING BEAD VERTICAL</t>
  </si>
  <si>
    <t xml:space="preserve">45° (W-60-(8+1)×4)/8</t>
  </si>
  <si>
    <t xml:space="preserve">ชุดล้อและไกด์บานเปิดซ้าย</t>
  </si>
  <si>
    <t xml:space="preserve">Left Hand carrier Set</t>
  </si>
  <si>
    <t xml:space="preserve">                          = ((Frame Width - 185-(113.25 × 7))/8</t>
  </si>
  <si>
    <t xml:space="preserve">                          ((ความกว้าง (วงกบ) - 185-(113.25 × 7))/8</t>
  </si>
  <si>
    <t xml:space="preserve">                          Sash Stop</t>
  </si>
  <si>
    <t xml:space="preserve">((W-185-(113.25 × 7)/8)-13</t>
  </si>
  <si>
    <t xml:space="preserve">240-8 Panel (3L5R)</t>
  </si>
  <si>
    <t xml:space="preserve">FG-240-8P3L5R-01</t>
  </si>
  <si>
    <t xml:space="preserve">บ้านคุณราเมศ</t>
  </si>
  <si>
    <t xml:space="preserve">240-8 Panel (4L4R)</t>
  </si>
  <si>
    <t xml:space="preserve">FG-240-8P4L4R-01</t>
  </si>
  <si>
    <t xml:space="preserve">AD5</t>
  </si>
  <si>
    <t xml:space="preserve">45°แยกฝั่ง (W/2-60-(4+1)×4)/4</t>
  </si>
  <si>
    <t xml:space="preserve">                          = (Frame Width - 185-(113.25 × 7))/8</t>
  </si>
  <si>
    <t xml:space="preserve">                          (ความกว้าง (วงกบ) - 185-(113.25 × 7))/8</t>
  </si>
  <si>
    <t xml:space="preserve">240-8 Panel (5L3R)</t>
  </si>
  <si>
    <t xml:space="preserve">FG-240-8P5L3R-01</t>
  </si>
  <si>
    <t xml:space="preserve">บ้านคุณพีรดา</t>
  </si>
  <si>
    <t xml:space="preserve">240-9 Panel (3L6R)</t>
  </si>
  <si>
    <t xml:space="preserve">FG-240-9P3L6R-01</t>
  </si>
  <si>
    <t xml:space="preserve">(W-185-(113.25 × 8))/9</t>
  </si>
  <si>
    <t xml:space="preserve">45° (W-60-(9+1)×4)/9</t>
  </si>
  <si>
    <t xml:space="preserve">Left Hand End Carriert Set</t>
  </si>
  <si>
    <t xml:space="preserve">                          = ((Frame Width - 185-(113.25 × 8))/9</t>
  </si>
  <si>
    <t xml:space="preserve">                          ((ความกว้าง (วงกบ) - 185-(113.25 × 8))/9</t>
  </si>
  <si>
    <t xml:space="preserve">((W-185-(113.25 × 8)/9)-13</t>
  </si>
  <si>
    <t xml:space="preserve">240-9 Panel (4L5R)</t>
  </si>
  <si>
    <t xml:space="preserve">FG-240-9P4L5R-01</t>
  </si>
  <si>
    <t xml:space="preserve">Right Hand End Carrier Set</t>
  </si>
  <si>
    <t xml:space="preserve">บานพับต่างระดับมีมือจับ(ขวา)</t>
  </si>
  <si>
    <t xml:space="preserve">Offset Hinge Only With Handle (R)</t>
  </si>
  <si>
    <t xml:space="preserve">บานพับต่างระดับมีมือจับ(ซ้าย)</t>
  </si>
  <si>
    <t xml:space="preserve">Offset Hinge Only With Handle (L)</t>
  </si>
  <si>
    <t xml:space="preserve">240-9 Panel (5L4R)</t>
  </si>
  <si>
    <t xml:space="preserve">FG-240-9P5L4R-01</t>
  </si>
  <si>
    <t xml:space="preserve">240-9 Panel (6L3R)</t>
  </si>
  <si>
    <t xml:space="preserve">FG-240-9P6L3R-01</t>
  </si>
  <si>
    <t xml:space="preserve">แผ่นรับล็อค</t>
  </si>
  <si>
    <t xml:space="preserve">LOCK STRIKER</t>
  </si>
  <si>
    <t xml:space="preserve">04-024</t>
  </si>
  <si>
    <t xml:space="preserve">240-10 Panel (5L5R)</t>
  </si>
  <si>
    <t xml:space="preserve">FG-240-10P5L5R-01</t>
  </si>
  <si>
    <t xml:space="preserve">Scope Green pop up Gallery</t>
  </si>
  <si>
    <t xml:space="preserve">(W-185-(113.25 × 9))/10</t>
  </si>
  <si>
    <t xml:space="preserve">45°แยกฝั่ง (W/2-60-(5+1)×4)/5</t>
  </si>
  <si>
    <t xml:space="preserve">                          = ((Frame Width - 185-(113.25 × 9))/10</t>
  </si>
  <si>
    <t xml:space="preserve">                          ((ความกว้าง (วงกบ) - 185-(113.25 × 9))/10</t>
  </si>
  <si>
    <t xml:space="preserve">                          ((ความกว้างวงกบ - 185-(113.25 × 9))/10</t>
  </si>
  <si>
    <t xml:space="preserve">((W-185-(113.25 × 9)/10)-13</t>
  </si>
  <si>
    <t xml:space="preserve">240-11 Panel (5L6R)</t>
  </si>
  <si>
    <t xml:space="preserve">FG-240-11P5L6R-01</t>
  </si>
  <si>
    <t xml:space="preserve">(W-185-(113.25 × 10))/11</t>
  </si>
  <si>
    <t xml:space="preserve">45° (W-60-(11+1)×4)/11</t>
  </si>
  <si>
    <t xml:space="preserve">                          = ((Frame Width - 185-(113.25 × 10))/11</t>
  </si>
  <si>
    <t xml:space="preserve">                          ((ความกว้าง (วงกบ) - 185-(113.25 × 10))/11</t>
  </si>
  <si>
    <t xml:space="preserve">                          ((ความกว้างวงกบ - 185-(113.25 × 10))/11</t>
  </si>
  <si>
    <t xml:space="preserve">((W-185-(113.25 × 10)/11)-13</t>
  </si>
  <si>
    <t xml:space="preserve">240-11 Panel (6L5R)</t>
  </si>
  <si>
    <t xml:space="preserve">FG-240-11P6L5R-01</t>
  </si>
  <si>
    <t xml:space="preserve">240-12 Panel (5L7R)</t>
  </si>
  <si>
    <t xml:space="preserve">FG-240-12P5L7R-01</t>
  </si>
  <si>
    <t xml:space="preserve">(W-185-(113.25 × 11))/12</t>
  </si>
  <si>
    <t xml:space="preserve">45° (W-60-(12+1)×4)/12</t>
  </si>
  <si>
    <t xml:space="preserve">                          = ((Frame Width - 185-(113.25 × 11))/12</t>
  </si>
  <si>
    <t xml:space="preserve">                          ((ความกว้างวงกบ - 185-(113.25 × 11))/12</t>
  </si>
  <si>
    <t xml:space="preserve">                          ((ความกว้าง (วงกบ) - 185-(113.25 × 11))/12</t>
  </si>
  <si>
    <t xml:space="preserve">((W-185-(113.25 × 11)/12)-13</t>
  </si>
  <si>
    <t xml:space="preserve">240-12 Panel (6L6R)</t>
  </si>
  <si>
    <t xml:space="preserve">FG-240-12P6L6R-01</t>
  </si>
  <si>
    <t xml:space="preserve">เปรียว 02</t>
  </si>
  <si>
    <t xml:space="preserve">Powder Coat</t>
  </si>
  <si>
    <t xml:space="preserve">45°แยกฝั่ง (W/2-60-(6+1)×4)/6</t>
  </si>
  <si>
    <t xml:space="preserve">240-14 Panel (7L7R)</t>
  </si>
  <si>
    <t xml:space="preserve">FG-240-14P7L7R-01</t>
  </si>
  <si>
    <t xml:space="preserve">(W-185-(113.25 × 13))/14</t>
  </si>
  <si>
    <t xml:space="preserve">45°แยกฝั่ง (W/2-60-(7+1)×4)/7</t>
  </si>
  <si>
    <t xml:space="preserve">                          = ((Frame Width - 185-(113.25 × 13))/14</t>
  </si>
  <si>
    <t xml:space="preserve">                          ((ความกว้างวงกบ - 185-(113.25 × 13))/14</t>
  </si>
  <si>
    <t xml:space="preserve">((W-185-(113.25 × 13)/14)-13</t>
  </si>
  <si>
    <t xml:space="preserve">240-15 Panel (7L8R)</t>
  </si>
  <si>
    <t xml:space="preserve">FG-240-15P7L8R-01</t>
  </si>
  <si>
    <t xml:space="preserve">(W-185-(113.25 × 14))/15</t>
  </si>
  <si>
    <t xml:space="preserve">45° (W-60-(15+1)×4)/15</t>
  </si>
  <si>
    <t xml:space="preserve">                          ความกว้างวงกบ - 60.00</t>
  </si>
  <si>
    <t xml:space="preserve">                          ความสูงวงกบ</t>
  </si>
  <si>
    <t xml:space="preserve">                          = ((Frame Width - 185-(113.25 × 14))/15</t>
  </si>
  <si>
    <t xml:space="preserve">                          ((ความกว้างวงกบ - 185-(113.25 × 14))/15</t>
  </si>
  <si>
    <t xml:space="preserve">                          ความสูงวงกบ - 92.00</t>
  </si>
  <si>
    <t xml:space="preserve">                          ความสูงวงกบ - 242.00</t>
  </si>
  <si>
    <t xml:space="preserve">((W-185-(113.25 × 14)/15)-13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</si>
</sst>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0.0"/>
    <numFmt numFmtId="166" formatCode="General"/>
    <numFmt numFmtId="167" formatCode="0"/>
    <numFmt numFmtId="168" formatCode="0.000"/>
    <numFmt numFmtId="169" formatCode="0.00"/>
    <numFmt numFmtId="170" formatCode="#,##0.0&quot; mm&quot;"/>
    <numFmt numFmtId="171" formatCode="#,###"/>
    <numFmt numFmtId="172" formatCode="#,###;#,###"/>
    <numFmt numFmtId="173" formatCode="#,##0&quot; M&quot;"/>
    <numFmt numFmtId="174" formatCode="#,##0&quot; Roll&quot;"/>
    <numFmt numFmtId="175" formatCode="&quot;L = &quot;###0.0&quot; mm&quot;"/>
    <numFmt numFmtId="176" formatCode="#&quot; PCS&quot;"/>
    <numFmt numFmtId="177" formatCode="#,###.000;#,###.000"/>
    <numFmt numFmtId="178" formatCode="_-[$฿-41E]* #,##0.00_-;\-[$฿-41E]* #,##0.00_-;_-[$฿-41E]* \-??_-;_-@_-"/>
    <numFmt numFmtId="179" formatCode="0%"/>
    <numFmt numFmtId="180" formatCode="#,##0.0&quot; M&quot;"/>
    <numFmt numFmtId="181" formatCode="#&quot; )&quot;"/>
    <numFmt numFmtId="182" formatCode="#,##0.0"/>
  </numFmts>
  <fonts count="46">
    <font>
      <sz val="11"/>
      <color theme="1"/>
      <name val="Calibri"/>
      <family val="2"/>
      <charset val="22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Tahoma"/>
      <family val="0"/>
      <charset val="1"/>
    </font>
    <font>
      <sz val="11"/>
      <color theme="1"/>
      <name val="FreeSans"/>
      <family val="2"/>
    </font>
    <font>
      <b val="true"/>
      <sz val="10"/>
      <name val="Tahoma"/>
      <family val="0"/>
      <charset val="1"/>
    </font>
    <font>
      <b val="true"/>
      <sz val="11"/>
      <color rgb="FFFFFFFF"/>
      <name val="Tahoma"/>
      <family val="0"/>
      <charset val="1"/>
    </font>
    <font>
      <sz val="8"/>
      <color rgb="FF808080"/>
      <name val="Tahoma"/>
      <family val="0"/>
      <charset val="1"/>
    </font>
    <font>
      <sz val="10"/>
      <name val="Tahoma"/>
      <family val="0"/>
      <charset val="1"/>
    </font>
    <font>
      <sz val="9"/>
      <name val="Tahoma"/>
      <family val="0"/>
      <charset val="1"/>
    </font>
    <font>
      <b val="true"/>
      <sz val="28"/>
      <color theme="1"/>
      <name val="Calibri"/>
      <family val="2"/>
      <charset val="1"/>
    </font>
    <font>
      <b val="true"/>
      <sz val="14"/>
      <color rgb="FF000000"/>
      <name val="Noto Sans CJK SC"/>
      <family val="2"/>
    </font>
    <font>
      <b val="true"/>
      <sz val="14"/>
      <color rgb="FF000000"/>
      <name val="Tahoma"/>
      <family val="2"/>
      <charset val="1"/>
    </font>
    <font>
      <sz val="11"/>
      <color rgb="FFFF0000"/>
      <name val="Calibri"/>
      <family val="2"/>
      <charset val="222"/>
    </font>
    <font>
      <b val="true"/>
      <sz val="20"/>
      <color theme="0"/>
      <name val="Calibri"/>
      <family val="2"/>
      <charset val="1"/>
    </font>
    <font>
      <b val="true"/>
      <sz val="20"/>
      <color theme="0"/>
      <name val="FreeSans"/>
      <family val="2"/>
    </font>
    <font>
      <b val="true"/>
      <i val="true"/>
      <u val="single"/>
      <sz val="11"/>
      <color theme="1"/>
      <name val="Calibri"/>
      <family val="2"/>
      <charset val="1"/>
    </font>
    <font>
      <b val="true"/>
      <sz val="14"/>
      <color theme="1"/>
      <name val="FreeSans"/>
      <family val="2"/>
    </font>
    <font>
      <b val="true"/>
      <sz val="10"/>
      <name val="Microsoft Sans Serif"/>
      <family val="2"/>
      <charset val="1"/>
    </font>
    <font>
      <sz val="11"/>
      <color theme="1"/>
      <name val="Microsoft Sans Serif"/>
      <family val="2"/>
      <charset val="1"/>
    </font>
    <font>
      <sz val="11"/>
      <name val="Microsoft Sans Serif"/>
      <family val="2"/>
      <charset val="1"/>
    </font>
    <font>
      <sz val="10"/>
      <color theme="1"/>
      <name val="Microsoft Sans Serif"/>
      <family val="2"/>
      <charset val="1"/>
    </font>
    <font>
      <sz val="9"/>
      <color theme="1"/>
      <name val="Microsoft Sans Serif"/>
      <family val="2"/>
      <charset val="1"/>
    </font>
    <font>
      <sz val="9"/>
      <name val="Microsoft Sans Serif"/>
      <family val="2"/>
      <charset val="1"/>
    </font>
    <font>
      <sz val="12"/>
      <color theme="1"/>
      <name val="Microsoft Sans Serif"/>
      <family val="2"/>
      <charset val="1"/>
    </font>
    <font>
      <sz val="10"/>
      <color theme="1"/>
      <name val="Calibri"/>
      <family val="2"/>
      <charset val="222"/>
    </font>
    <font>
      <sz val="11"/>
      <color rgb="FFFF0000"/>
      <name val="Microsoft Sans Serif"/>
      <family val="2"/>
      <charset val="1"/>
    </font>
    <font>
      <b val="true"/>
      <sz val="24"/>
      <color theme="1"/>
      <name val="Microsoft Sans Serif"/>
      <family val="2"/>
      <charset val="1"/>
    </font>
    <font>
      <b val="true"/>
      <sz val="14"/>
      <color theme="1"/>
      <name val="Microsoft Sans Serif"/>
      <family val="2"/>
      <charset val="1"/>
    </font>
    <font>
      <b val="true"/>
      <sz val="8"/>
      <color theme="1"/>
      <name val="Microsoft Sans Serif"/>
      <family val="2"/>
      <charset val="1"/>
    </font>
    <font>
      <sz val="22"/>
      <color theme="1"/>
      <name val="Microsoft Sans Serif"/>
      <family val="2"/>
      <charset val="1"/>
    </font>
    <font>
      <b val="true"/>
      <sz val="12"/>
      <color theme="1"/>
      <name val="Microsoft Sans Serif"/>
      <family val="2"/>
      <charset val="1"/>
    </font>
    <font>
      <sz val="8"/>
      <color theme="1"/>
      <name val="Microsoft Sans Serif"/>
      <family val="2"/>
      <charset val="1"/>
    </font>
    <font>
      <b val="true"/>
      <sz val="16"/>
      <color theme="1"/>
      <name val="Microsoft Sans Serif"/>
      <family val="2"/>
      <charset val="1"/>
    </font>
    <font>
      <sz val="13"/>
      <color theme="1"/>
      <name val="Microsoft Sans Serif"/>
      <family val="2"/>
      <charset val="1"/>
    </font>
    <font>
      <b val="true"/>
      <sz val="11"/>
      <color theme="1"/>
      <name val="Microsoft Sans Serif"/>
      <family val="2"/>
      <charset val="1"/>
    </font>
    <font>
      <sz val="14"/>
      <color theme="1"/>
      <name val="Microsoft Sans Serif"/>
      <family val="2"/>
      <charset val="1"/>
    </font>
    <font>
      <sz val="11"/>
      <color theme="8" tint="-0.25"/>
      <name val="Tahoma"/>
      <family val="2"/>
      <charset val="1"/>
    </font>
    <font>
      <b val="true"/>
      <sz val="14"/>
      <color theme="4" tint="0.3999"/>
      <name val="Arial"/>
      <family val="2"/>
      <charset val="1"/>
    </font>
    <font>
      <b val="true"/>
      <sz val="10"/>
      <color theme="1"/>
      <name val="Microsoft Sans Serif"/>
      <family val="2"/>
      <charset val="1"/>
    </font>
    <font>
      <sz val="10"/>
      <name val="FreeSans"/>
      <family val="2"/>
    </font>
    <font>
      <sz val="16"/>
      <color theme="1"/>
      <name val="Microsoft Sans Serif"/>
      <family val="2"/>
      <charset val="1"/>
    </font>
    <font>
      <b val="true"/>
      <sz val="10"/>
      <color rgb="FFFF0000"/>
      <name val="Microsoft Sans Serif"/>
      <family val="2"/>
      <charset val="1"/>
    </font>
    <font>
      <b val="true"/>
      <sz val="11"/>
      <color rgb="FFFF0000"/>
      <name val="Microsoft Sans Serif"/>
      <family val="2"/>
      <charset val="1"/>
    </font>
    <font>
      <sz val="14"/>
      <color theme="1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1F4E78"/>
        <bgColor rgb="FF2F5597"/>
      </patternFill>
    </fill>
    <fill>
      <patternFill patternType="solid">
        <fgColor rgb="FFF2F2F2"/>
        <bgColor rgb="FFEDEDED"/>
      </patternFill>
    </fill>
    <fill>
      <patternFill patternType="solid">
        <fgColor rgb="FF2E75B6"/>
        <bgColor rgb="FF2F5597"/>
      </patternFill>
    </fill>
    <fill>
      <patternFill patternType="solid">
        <fgColor rgb="FFFFE699"/>
        <bgColor rgb="FFFFF2CC"/>
      </patternFill>
    </fill>
    <fill>
      <patternFill patternType="solid">
        <fgColor rgb="FFE2EFDA"/>
        <bgColor rgb="FFE2F0D9"/>
      </patternFill>
    </fill>
    <fill>
      <patternFill patternType="solid">
        <fgColor rgb="FFC6E0B4"/>
        <bgColor rgb="FFE2EFDA"/>
      </patternFill>
    </fill>
    <fill>
      <patternFill patternType="solid">
        <fgColor rgb="FFF8CBAD"/>
        <bgColor rgb="FFFFE699"/>
      </patternFill>
    </fill>
    <fill>
      <patternFill patternType="solid">
        <fgColor rgb="FF548235"/>
        <bgColor rgb="FF808080"/>
      </patternFill>
    </fill>
    <fill>
      <patternFill patternType="solid">
        <fgColor rgb="FFEDEDED"/>
        <bgColor rgb="FFF2F2F2"/>
      </patternFill>
    </fill>
    <fill>
      <patternFill patternType="solid">
        <fgColor rgb="FFDEEBF7"/>
        <bgColor rgb="FFDAE3F3"/>
      </patternFill>
    </fill>
    <fill>
      <patternFill patternType="solid">
        <fgColor rgb="FF7F77DD"/>
        <bgColor rgb="FF808080"/>
      </patternFill>
    </fill>
    <fill>
      <patternFill patternType="solid">
        <fgColor theme="4" tint="0.3999"/>
        <bgColor rgb="FFBFBFBF"/>
      </patternFill>
    </fill>
    <fill>
      <patternFill patternType="solid">
        <fgColor rgb="FF9999FF"/>
        <bgColor rgb="FF7F77DD"/>
      </patternFill>
    </fill>
    <fill>
      <patternFill patternType="solid">
        <fgColor rgb="FFFFFF00"/>
        <bgColor rgb="FFFFCC00"/>
      </patternFill>
    </fill>
    <fill>
      <patternFill patternType="solid">
        <fgColor theme="8" tint="0.7999"/>
        <bgColor rgb="FFDEEBF7"/>
      </patternFill>
    </fill>
    <fill>
      <patternFill patternType="solid">
        <fgColor theme="9" tint="0.7999"/>
        <bgColor rgb="FFE2EFDA"/>
      </patternFill>
    </fill>
    <fill>
      <patternFill patternType="solid">
        <fgColor theme="7" tint="0.7999"/>
        <bgColor rgb="FFF2F2F2"/>
      </patternFill>
    </fill>
    <fill>
      <patternFill patternType="solid">
        <fgColor theme="0"/>
        <bgColor rgb="FFF2F2F2"/>
      </patternFill>
    </fill>
  </fills>
  <borders count="61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thin"/>
      <top style="hair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/>
      <top/>
      <bottom style="hair"/>
      <diagonal/>
    </border>
    <border diagonalUp="false" diagonalDown="false">
      <left/>
      <right style="thin"/>
      <top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 style="thin"/>
      <top style="hair"/>
      <bottom style="thin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2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3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5" fillId="1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5" fillId="3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20" fillId="17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0" fillId="17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17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0" fillId="17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20" fillId="1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0" fillId="1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0" fillId="17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17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20" fillId="17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1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1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17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0" fillId="17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8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8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0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0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0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19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20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17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0" fillId="17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20" fillId="1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17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6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0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13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17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17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17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17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1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13" borderId="4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1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17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0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17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1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8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3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1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2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5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5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7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5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7" fillId="1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7" fillId="1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0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0" fillId="0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17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20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0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20" fillId="1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7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0" fillId="17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1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17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3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5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2" fontId="20" fillId="17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20" fillId="1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20" fillId="17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2F5597"/>
      <rgbColor rgb="FFDAE3F3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2EFDA"/>
      <rgbColor rgb="FFE2F0D9"/>
      <rgbColor rgb="FFFFE699"/>
      <rgbColor rgb="FF9DC3E6"/>
      <rgbColor rgb="FFEDEDED"/>
      <rgbColor rgb="FFC6E0B4"/>
      <rgbColor rgb="FFF8CBAD"/>
      <rgbColor rgb="FF2E75B6"/>
      <rgbColor rgb="FF33CCCC"/>
      <rgbColor rgb="FF99CC00"/>
      <rgbColor rgb="FFFFCC00"/>
      <rgbColor rgb="FFFF9900"/>
      <rgbColor rgb="FFC55A11"/>
      <rgbColor rgb="FF7F77DD"/>
      <rgbColor rgb="FFB0B0B0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6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7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8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9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0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1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2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3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4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5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6.v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17.v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18.v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19.v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0.v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1.v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2.v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3.v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4.v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5.v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6.v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27.v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28.v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29.v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30.v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1.v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32.v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3.v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4.v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5.v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6.v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37.v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38.v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vmlDrawing" Target="../drawings/vmlDrawing39.v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comments" Target="../comments43.xml"/><Relationship Id="rId2" Type="http://schemas.openxmlformats.org/officeDocument/2006/relationships/vmlDrawing" Target="../drawings/vmlDrawing40.v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comments" Target="../comments44.xml"/><Relationship Id="rId2" Type="http://schemas.openxmlformats.org/officeDocument/2006/relationships/vmlDrawing" Target="../drawings/vmlDrawing41.v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comments" Target="../comments45.xml"/><Relationship Id="rId2" Type="http://schemas.openxmlformats.org/officeDocument/2006/relationships/vmlDrawing" Target="../drawings/vmlDrawing42.v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comments" Target="../comments46.xml"/><Relationship Id="rId2" Type="http://schemas.openxmlformats.org/officeDocument/2006/relationships/vmlDrawing" Target="../drawings/vmlDrawing43.v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comments" Target="../comments47.xml"/><Relationship Id="rId2" Type="http://schemas.openxmlformats.org/officeDocument/2006/relationships/vmlDrawing" Target="../drawings/vmlDrawing44.v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comments" Target="../comments48.xml"/><Relationship Id="rId2" Type="http://schemas.openxmlformats.org/officeDocument/2006/relationships/vmlDrawing" Target="../drawings/vmlDrawing45.v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comments" Target="../comments49.xml"/><Relationship Id="rId2" Type="http://schemas.openxmlformats.org/officeDocument/2006/relationships/vmlDrawing" Target="../drawings/vmlDrawing46.v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comments" Target="../comments50.xml"/><Relationship Id="rId2" Type="http://schemas.openxmlformats.org/officeDocument/2006/relationships/vmlDrawing" Target="../drawings/vmlDrawing4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7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true" outlineLevel="0" max="22" min="11" style="0" width="1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K1" s="2" t="s">
        <v>1</v>
      </c>
      <c r="L1" s="0" t="s">
        <v>2</v>
      </c>
      <c r="M1" s="0" t="s">
        <v>3</v>
      </c>
      <c r="N1" s="0" t="s">
        <v>4</v>
      </c>
      <c r="O1" s="0" t="s">
        <v>5</v>
      </c>
      <c r="P1" s="0" t="s">
        <v>6</v>
      </c>
      <c r="Q1" s="0" t="s">
        <v>7</v>
      </c>
      <c r="R1" s="0" t="s">
        <v>8</v>
      </c>
      <c r="S1" s="0" t="s">
        <v>9</v>
      </c>
      <c r="T1" s="0" t="s">
        <v>10</v>
      </c>
      <c r="U1" s="0" t="s">
        <v>11</v>
      </c>
      <c r="V1" s="0" t="s">
        <v>12</v>
      </c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K2" s="0" t="s">
        <v>13</v>
      </c>
      <c r="L2" s="0" t="n">
        <v>2</v>
      </c>
      <c r="M2" s="0" t="n">
        <v>0</v>
      </c>
      <c r="N2" s="0" t="n">
        <v>1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1</v>
      </c>
    </row>
    <row r="3" customFormat="false" ht="15" hidden="false" customHeight="true" outlineLevel="0" collapsed="false">
      <c r="B3" s="3" t="s">
        <v>14</v>
      </c>
      <c r="C3" s="3"/>
      <c r="K3" s="0" t="s">
        <v>15</v>
      </c>
      <c r="L3" s="0" t="n">
        <v>2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  <c r="U3" s="0" t="n">
        <v>0</v>
      </c>
      <c r="V3" s="0" t="n">
        <v>1</v>
      </c>
    </row>
    <row r="4" customFormat="false" ht="15" hidden="false" customHeight="false" outlineLevel="0" collapsed="false">
      <c r="B4" s="4" t="s">
        <v>16</v>
      </c>
      <c r="C4" s="5" t="n">
        <v>315.8</v>
      </c>
      <c r="E4" s="6" t="s">
        <v>17</v>
      </c>
      <c r="F4" s="7" t="s">
        <v>18</v>
      </c>
      <c r="K4" s="0" t="s">
        <v>19</v>
      </c>
      <c r="L4" s="0" t="n">
        <v>3</v>
      </c>
      <c r="M4" s="0" t="n">
        <v>0</v>
      </c>
      <c r="N4" s="0" t="n">
        <v>1</v>
      </c>
      <c r="O4" s="0" t="n">
        <v>0</v>
      </c>
      <c r="P4" s="0" t="n">
        <v>1</v>
      </c>
      <c r="Q4" s="0" t="n">
        <v>1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1</v>
      </c>
    </row>
    <row r="5" customFormat="false" ht="15" hidden="false" customHeight="false" outlineLevel="0" collapsed="false">
      <c r="B5" s="4" t="s">
        <v>20</v>
      </c>
      <c r="C5" s="8" t="n">
        <v>240</v>
      </c>
      <c r="E5" s="6" t="s">
        <v>21</v>
      </c>
      <c r="F5" s="7" t="s">
        <v>22</v>
      </c>
      <c r="K5" s="0" t="s">
        <v>23</v>
      </c>
      <c r="L5" s="0" t="n">
        <v>3</v>
      </c>
      <c r="M5" s="0" t="n">
        <v>0</v>
      </c>
      <c r="N5" s="0" t="n">
        <v>1</v>
      </c>
      <c r="O5" s="0" t="n">
        <v>0</v>
      </c>
      <c r="P5" s="0" t="n">
        <v>1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0</v>
      </c>
      <c r="V5" s="0" t="n">
        <v>1</v>
      </c>
    </row>
    <row r="6" customFormat="false" ht="15" hidden="false" customHeight="false" outlineLevel="0" collapsed="false">
      <c r="B6" s="4" t="s">
        <v>24</v>
      </c>
      <c r="C6" s="9" t="n">
        <f aca="false">INDEX($L$2:$L$48,MATCH($F$4,$K$2:$K$48,0))</f>
        <v>4</v>
      </c>
      <c r="D6" s="10" t="s">
        <v>25</v>
      </c>
      <c r="K6" s="0" t="s">
        <v>26</v>
      </c>
      <c r="L6" s="0" t="n">
        <v>3</v>
      </c>
      <c r="M6" s="0" t="n">
        <v>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</row>
    <row r="7" customFormat="false" ht="22.35" hidden="false" customHeight="false" outlineLevel="0" collapsed="false">
      <c r="B7" s="4" t="s">
        <v>27</v>
      </c>
      <c r="C7" s="11" t="str">
        <f aca="false">IF(INDEX($M$2:$M$48,MATCH($F$4,$K$2:$K$48,0))=1,"สมมาตร ซ้าย=ขวา","ปกติ / ไม่สมมาตร")</f>
        <v>สมมาตร ซ้าย=ขวา</v>
      </c>
      <c r="D7" s="10" t="s">
        <v>25</v>
      </c>
      <c r="K7" s="0" t="s">
        <v>28</v>
      </c>
      <c r="L7" s="0" t="n">
        <v>3</v>
      </c>
      <c r="M7" s="0" t="n">
        <v>0</v>
      </c>
      <c r="N7" s="0" t="n">
        <v>0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</row>
    <row r="8" customFormat="false" ht="15" hidden="false" customHeight="false" outlineLevel="0" collapsed="false">
      <c r="B8" s="4" t="s">
        <v>29</v>
      </c>
      <c r="C8" s="8" t="s">
        <v>30</v>
      </c>
      <c r="K8" s="0" t="s">
        <v>31</v>
      </c>
      <c r="L8" s="0" t="n">
        <v>4</v>
      </c>
      <c r="M8" s="0" t="n">
        <v>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</row>
    <row r="9" customFormat="false" ht="15" hidden="false" customHeight="true" outlineLevel="0" collapsed="false">
      <c r="B9" s="3" t="s">
        <v>32</v>
      </c>
      <c r="C9" s="3"/>
      <c r="K9" s="0" t="s">
        <v>33</v>
      </c>
      <c r="L9" s="0" t="n">
        <v>4</v>
      </c>
      <c r="M9" s="0" t="n">
        <v>1</v>
      </c>
      <c r="N9" s="0" t="n">
        <v>2</v>
      </c>
      <c r="O9" s="0" t="n">
        <v>0</v>
      </c>
      <c r="P9" s="0" t="n">
        <v>1</v>
      </c>
      <c r="Q9" s="0" t="n">
        <v>1</v>
      </c>
      <c r="R9" s="0" t="n">
        <v>0</v>
      </c>
      <c r="S9" s="0" t="n">
        <v>0</v>
      </c>
      <c r="T9" s="0" t="n">
        <v>1</v>
      </c>
      <c r="U9" s="0" t="n">
        <v>0</v>
      </c>
      <c r="V9" s="0" t="n">
        <v>2</v>
      </c>
    </row>
    <row r="10" customFormat="false" ht="15" hidden="false" customHeight="false" outlineLevel="0" collapsed="false">
      <c r="B10" s="12" t="s">
        <v>34</v>
      </c>
      <c r="C10" s="13" t="n">
        <f aca="false">IF($C$7="สมมาตร ซ้าย=ขวา",1,0)</f>
        <v>1</v>
      </c>
      <c r="K10" s="0" t="s">
        <v>35</v>
      </c>
      <c r="L10" s="0" t="n">
        <v>4</v>
      </c>
      <c r="M10" s="0" t="n">
        <v>1</v>
      </c>
      <c r="N10" s="0" t="n">
        <v>2</v>
      </c>
      <c r="O10" s="0" t="n">
        <v>0</v>
      </c>
      <c r="P10" s="0" t="n">
        <v>1</v>
      </c>
      <c r="Q10" s="0" t="n">
        <v>1</v>
      </c>
      <c r="R10" s="0" t="n">
        <v>0</v>
      </c>
      <c r="S10" s="0" t="n">
        <v>0</v>
      </c>
      <c r="T10" s="0" t="n">
        <v>1</v>
      </c>
      <c r="U10" s="0" t="n">
        <v>0</v>
      </c>
      <c r="V10" s="0" t="n">
        <v>2</v>
      </c>
    </row>
    <row r="11" customFormat="false" ht="15" hidden="false" customHeight="false" outlineLevel="0" collapsed="false">
      <c r="B11" s="12" t="s">
        <v>36</v>
      </c>
      <c r="C11" s="14" t="n">
        <f aca="false">IF($C$8="90°",($C$4-$F$42-$F$43*($C$6-1))/$C$6,IF($C$10=1,(($C$4/2)-$F$40-($C$6/2+1)*$F$41)/($C$6/2),($C$4-$F$40-($C$6+1)*$F$41)/$C$6))</f>
        <v>75.35</v>
      </c>
      <c r="K11" s="0" t="s">
        <v>37</v>
      </c>
      <c r="L11" s="0" t="n">
        <v>4</v>
      </c>
      <c r="M11" s="0" t="n">
        <v>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</row>
    <row r="12" customFormat="false" ht="15" hidden="false" customHeight="false" outlineLevel="0" collapsed="false">
      <c r="K12" s="0" t="s">
        <v>38</v>
      </c>
      <c r="L12" s="0" t="n">
        <v>4</v>
      </c>
      <c r="M12" s="0" t="n">
        <v>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1</v>
      </c>
      <c r="V12" s="0" t="n">
        <v>2</v>
      </c>
    </row>
    <row r="13" customFormat="false" ht="15" hidden="false" customHeight="false" outlineLevel="0" collapsed="false">
      <c r="A13" s="15" t="s">
        <v>39</v>
      </c>
      <c r="B13" s="15" t="s">
        <v>40</v>
      </c>
      <c r="C13" s="15" t="s">
        <v>41</v>
      </c>
      <c r="D13" s="15" t="s">
        <v>42</v>
      </c>
      <c r="E13" s="15" t="s">
        <v>43</v>
      </c>
      <c r="F13" s="15" t="s">
        <v>44</v>
      </c>
      <c r="K13" s="0" t="s">
        <v>45</v>
      </c>
      <c r="L13" s="0" t="n">
        <v>4</v>
      </c>
      <c r="M13" s="0" t="n">
        <v>0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  <c r="U13" s="0" t="n">
        <v>1</v>
      </c>
      <c r="V13" s="0" t="n">
        <v>2</v>
      </c>
    </row>
    <row r="14" customFormat="false" ht="21.75" hidden="false" customHeight="true" outlineLevel="0" collapsed="false">
      <c r="A14" s="16" t="n">
        <v>1</v>
      </c>
      <c r="B14" s="17" t="s">
        <v>46</v>
      </c>
      <c r="C14" s="18" t="s">
        <v>47</v>
      </c>
      <c r="D14" s="19" t="n">
        <f aca="false">$C$4-$F$36</f>
        <v>309.8</v>
      </c>
      <c r="E14" s="20" t="s">
        <v>48</v>
      </c>
      <c r="F14" s="21" t="s">
        <v>49</v>
      </c>
      <c r="K14" s="0" t="s">
        <v>50</v>
      </c>
      <c r="L14" s="0" t="n">
        <v>5</v>
      </c>
      <c r="M14" s="0" t="n">
        <v>0</v>
      </c>
      <c r="N14" s="0" t="n">
        <v>0</v>
      </c>
      <c r="O14" s="0" t="n">
        <v>2</v>
      </c>
      <c r="P14" s="0" t="n">
        <v>1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1</v>
      </c>
      <c r="V14" s="0" t="n">
        <v>2</v>
      </c>
    </row>
    <row r="15" customFormat="false" ht="21.75" hidden="false" customHeight="true" outlineLevel="0" collapsed="false">
      <c r="A15" s="16" t="n">
        <v>2</v>
      </c>
      <c r="B15" s="17" t="s">
        <v>51</v>
      </c>
      <c r="C15" s="18" t="s">
        <v>52</v>
      </c>
      <c r="D15" s="19" t="n">
        <f aca="false">$C$4-$F$37</f>
        <v>307.2</v>
      </c>
      <c r="E15" s="20" t="s">
        <v>48</v>
      </c>
      <c r="F15" s="21" t="s">
        <v>53</v>
      </c>
      <c r="K15" s="0" t="s">
        <v>54</v>
      </c>
      <c r="L15" s="0" t="n">
        <v>5</v>
      </c>
      <c r="M15" s="0" t="n">
        <v>0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1</v>
      </c>
      <c r="T15" s="0" t="n">
        <v>0</v>
      </c>
      <c r="U15" s="0" t="n">
        <v>1</v>
      </c>
      <c r="V15" s="0" t="n">
        <v>2</v>
      </c>
    </row>
    <row r="16" customFormat="false" ht="21.75" hidden="false" customHeight="true" outlineLevel="0" collapsed="false">
      <c r="A16" s="16" t="n">
        <v>3</v>
      </c>
      <c r="B16" s="17" t="s">
        <v>55</v>
      </c>
      <c r="C16" s="18" t="s">
        <v>56</v>
      </c>
      <c r="D16" s="19" t="n">
        <f aca="false">$C$4-$F$36</f>
        <v>309.8</v>
      </c>
      <c r="E16" s="20" t="s">
        <v>48</v>
      </c>
      <c r="F16" s="21" t="s">
        <v>49</v>
      </c>
      <c r="K16" s="0" t="s">
        <v>57</v>
      </c>
      <c r="L16" s="0" t="n">
        <v>5</v>
      </c>
      <c r="M16" s="0" t="n">
        <v>0</v>
      </c>
      <c r="N16" s="0" t="n">
        <v>1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1</v>
      </c>
      <c r="V16" s="0" t="n">
        <v>2</v>
      </c>
    </row>
    <row r="17" customFormat="false" ht="21.75" hidden="false" customHeight="true" outlineLevel="0" collapsed="false">
      <c r="A17" s="16" t="n">
        <v>4</v>
      </c>
      <c r="B17" s="17" t="s">
        <v>58</v>
      </c>
      <c r="C17" s="18" t="s">
        <v>59</v>
      </c>
      <c r="D17" s="19" t="n">
        <f aca="false">$C$4-$F$36</f>
        <v>309.8</v>
      </c>
      <c r="E17" s="20" t="s">
        <v>48</v>
      </c>
      <c r="F17" s="21" t="s">
        <v>49</v>
      </c>
      <c r="K17" s="0" t="s">
        <v>60</v>
      </c>
      <c r="L17" s="0" t="n">
        <v>5</v>
      </c>
      <c r="M17" s="0" t="n">
        <v>0</v>
      </c>
      <c r="N17" s="0" t="n">
        <v>0</v>
      </c>
      <c r="O17" s="0" t="n">
        <v>2</v>
      </c>
      <c r="P17" s="0" t="n">
        <v>1</v>
      </c>
      <c r="Q17" s="0" t="n">
        <v>1</v>
      </c>
      <c r="R17" s="0" t="n">
        <v>0</v>
      </c>
      <c r="S17" s="0" t="n">
        <v>1</v>
      </c>
      <c r="T17" s="0" t="n">
        <v>0</v>
      </c>
      <c r="U17" s="0" t="n">
        <v>1</v>
      </c>
      <c r="V17" s="0" t="n">
        <v>2</v>
      </c>
    </row>
    <row r="18" customFormat="false" ht="21.75" hidden="false" customHeight="true" outlineLevel="0" collapsed="false">
      <c r="A18" s="16" t="n">
        <v>5</v>
      </c>
      <c r="B18" s="17" t="s">
        <v>61</v>
      </c>
      <c r="C18" s="18" t="s">
        <v>62</v>
      </c>
      <c r="D18" s="19" t="n">
        <f aca="false">$C$5</f>
        <v>240</v>
      </c>
      <c r="E18" s="20" t="s">
        <v>48</v>
      </c>
      <c r="F18" s="21" t="s">
        <v>63</v>
      </c>
      <c r="K18" s="0" t="s">
        <v>64</v>
      </c>
      <c r="L18" s="0" t="n">
        <v>5</v>
      </c>
      <c r="M18" s="0" t="n">
        <v>0</v>
      </c>
      <c r="N18" s="0" t="n">
        <v>1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</row>
    <row r="19" customFormat="false" ht="21.75" hidden="false" customHeight="true" outlineLevel="0" collapsed="false">
      <c r="A19" s="16" t="n">
        <v>6</v>
      </c>
      <c r="B19" s="17" t="s">
        <v>65</v>
      </c>
      <c r="C19" s="18" t="s">
        <v>62</v>
      </c>
      <c r="D19" s="19" t="n">
        <f aca="false">$C$5</f>
        <v>240</v>
      </c>
      <c r="E19" s="20" t="s">
        <v>48</v>
      </c>
      <c r="F19" s="21" t="s">
        <v>63</v>
      </c>
      <c r="K19" s="0" t="s">
        <v>66</v>
      </c>
      <c r="L19" s="0" t="n">
        <v>5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2</v>
      </c>
    </row>
    <row r="20" customFormat="false" ht="21.75" hidden="false" customHeight="true" outlineLevel="0" collapsed="false">
      <c r="A20" s="16" t="n">
        <v>7</v>
      </c>
      <c r="B20" s="17" t="s">
        <v>67</v>
      </c>
      <c r="C20" s="18" t="s">
        <v>68</v>
      </c>
      <c r="D20" s="19" t="n">
        <f aca="false">$C$5-$F$38</f>
        <v>230.4</v>
      </c>
      <c r="E20" s="20" t="s">
        <v>48</v>
      </c>
      <c r="F20" s="21" t="s">
        <v>69</v>
      </c>
      <c r="K20" s="0" t="s">
        <v>70</v>
      </c>
      <c r="L20" s="0" t="n">
        <v>6</v>
      </c>
      <c r="M20" s="0" t="n">
        <v>0</v>
      </c>
      <c r="N20" s="0" t="n">
        <v>1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</row>
    <row r="21" customFormat="false" ht="21.75" hidden="false" customHeight="true" outlineLevel="0" collapsed="false">
      <c r="A21" s="16" t="n">
        <v>8</v>
      </c>
      <c r="B21" s="17" t="s">
        <v>71</v>
      </c>
      <c r="C21" s="18" t="s">
        <v>68</v>
      </c>
      <c r="D21" s="19" t="n">
        <f aca="false">$C$5-$F$38</f>
        <v>230.4</v>
      </c>
      <c r="E21" s="20" t="s">
        <v>48</v>
      </c>
      <c r="F21" s="21" t="s">
        <v>69</v>
      </c>
      <c r="K21" s="0" t="s">
        <v>72</v>
      </c>
      <c r="L21" s="0" t="n">
        <v>6</v>
      </c>
      <c r="M21" s="0" t="n">
        <v>1</v>
      </c>
      <c r="N21" s="0" t="n">
        <v>0</v>
      </c>
      <c r="O21" s="0" t="n">
        <v>2</v>
      </c>
      <c r="P21" s="0" t="n">
        <v>1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</row>
    <row r="22" customFormat="false" ht="21.75" hidden="false" customHeight="true" outlineLevel="0" collapsed="false">
      <c r="A22" s="16" t="n">
        <v>9</v>
      </c>
      <c r="B22" s="17" t="s">
        <v>73</v>
      </c>
      <c r="C22" s="18" t="s">
        <v>74</v>
      </c>
      <c r="D22" s="19" t="n">
        <f aca="false">$C$11</f>
        <v>75.35</v>
      </c>
      <c r="E22" s="20" t="n">
        <f aca="false">$C$6</f>
        <v>4</v>
      </c>
      <c r="F22" s="21" t="s">
        <v>75</v>
      </c>
      <c r="K22" s="0" t="s">
        <v>76</v>
      </c>
      <c r="L22" s="0" t="n">
        <v>6</v>
      </c>
      <c r="M22" s="0" t="n">
        <v>1</v>
      </c>
      <c r="N22" s="0" t="n">
        <v>0</v>
      </c>
      <c r="O22" s="0" t="n">
        <v>2</v>
      </c>
      <c r="P22" s="0" t="n">
        <v>1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6</v>
      </c>
    </row>
    <row r="23" customFormat="false" ht="21.75" hidden="false" customHeight="true" outlineLevel="0" collapsed="false">
      <c r="A23" s="16" t="n">
        <v>10</v>
      </c>
      <c r="B23" s="17" t="s">
        <v>77</v>
      </c>
      <c r="C23" s="18" t="s">
        <v>74</v>
      </c>
      <c r="D23" s="19" t="n">
        <f aca="false">$C$11</f>
        <v>75.35</v>
      </c>
      <c r="E23" s="20" t="n">
        <f aca="false">$C$6</f>
        <v>4</v>
      </c>
      <c r="F23" s="21" t="s">
        <v>75</v>
      </c>
      <c r="K23" s="0" t="s">
        <v>78</v>
      </c>
      <c r="L23" s="0" t="n">
        <v>6</v>
      </c>
      <c r="M23" s="0" t="n">
        <v>0</v>
      </c>
      <c r="N23" s="0" t="n">
        <v>1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</row>
    <row r="24" customFormat="false" ht="21.75" hidden="false" customHeight="true" outlineLevel="0" collapsed="false">
      <c r="A24" s="16" t="n">
        <v>11</v>
      </c>
      <c r="B24" s="17" t="s">
        <v>79</v>
      </c>
      <c r="C24" s="18" t="s">
        <v>74</v>
      </c>
      <c r="D24" s="19" t="n">
        <f aca="false">$C$5-$F$39</f>
        <v>230.8</v>
      </c>
      <c r="E24" s="20" t="n">
        <f aca="false">$C$6+INT($C$6/2)</f>
        <v>6</v>
      </c>
      <c r="F24" s="21" t="s">
        <v>80</v>
      </c>
      <c r="K24" s="0" t="s">
        <v>81</v>
      </c>
      <c r="L24" s="0" t="n">
        <v>6</v>
      </c>
      <c r="M24" s="0" t="n">
        <v>0</v>
      </c>
      <c r="N24" s="0" t="n">
        <v>1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2</v>
      </c>
      <c r="V24" s="0" t="n">
        <v>3</v>
      </c>
    </row>
    <row r="25" customFormat="false" ht="21.75" hidden="false" customHeight="true" outlineLevel="0" collapsed="false">
      <c r="A25" s="16" t="n">
        <v>12</v>
      </c>
      <c r="B25" s="17" t="s">
        <v>82</v>
      </c>
      <c r="C25" s="18" t="s">
        <v>74</v>
      </c>
      <c r="D25" s="19" t="n">
        <f aca="false">$C$5-$F$39</f>
        <v>230.8</v>
      </c>
      <c r="E25" s="20" t="n">
        <f aca="false">INT($C$6/2)</f>
        <v>2</v>
      </c>
      <c r="F25" s="21" t="s">
        <v>80</v>
      </c>
      <c r="K25" s="0" t="s">
        <v>83</v>
      </c>
      <c r="L25" s="0" t="n">
        <v>6</v>
      </c>
      <c r="M25" s="0" t="n">
        <v>0</v>
      </c>
      <c r="N25" s="0" t="n">
        <v>1</v>
      </c>
      <c r="O25" s="0" t="n">
        <v>2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  <c r="U25" s="0" t="n">
        <v>2</v>
      </c>
      <c r="V25" s="0" t="n">
        <v>3</v>
      </c>
    </row>
    <row r="26" customFormat="false" ht="15" hidden="false" customHeight="false" outlineLevel="0" collapsed="false">
      <c r="K26" s="0" t="s">
        <v>84</v>
      </c>
      <c r="L26" s="0" t="n">
        <v>7</v>
      </c>
      <c r="M26" s="0" t="n">
        <v>0</v>
      </c>
      <c r="N26" s="0" t="n">
        <v>1</v>
      </c>
      <c r="O26" s="0" t="n">
        <v>2</v>
      </c>
      <c r="P26" s="0" t="n">
        <v>1</v>
      </c>
      <c r="Q26" s="0" t="n">
        <v>1</v>
      </c>
      <c r="R26" s="0" t="n">
        <v>1</v>
      </c>
      <c r="S26" s="0" t="n">
        <v>0</v>
      </c>
      <c r="T26" s="0" t="n">
        <v>0</v>
      </c>
      <c r="U26" s="0" t="n">
        <v>2</v>
      </c>
      <c r="V26" s="0" t="n">
        <v>3</v>
      </c>
    </row>
    <row r="27" customFormat="false" ht="15" hidden="false" customHeight="true" outlineLevel="0" collapsed="false">
      <c r="B27" s="22" t="s">
        <v>85</v>
      </c>
      <c r="C27" s="22"/>
      <c r="D27" s="22"/>
      <c r="E27" s="22"/>
      <c r="F27" s="22"/>
      <c r="G27" s="22"/>
      <c r="K27" s="0" t="s">
        <v>86</v>
      </c>
      <c r="L27" s="0" t="n">
        <v>7</v>
      </c>
      <c r="M27" s="0" t="n">
        <v>0</v>
      </c>
      <c r="N27" s="0" t="n">
        <v>2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1</v>
      </c>
      <c r="T27" s="0" t="n">
        <v>0</v>
      </c>
      <c r="U27" s="0" t="n">
        <v>2</v>
      </c>
      <c r="V27" s="0" t="n">
        <v>3</v>
      </c>
    </row>
    <row r="28" customFormat="false" ht="15" hidden="false" customHeight="false" outlineLevel="0" collapsed="false">
      <c r="B28" s="15" t="s">
        <v>87</v>
      </c>
      <c r="C28" s="15" t="s">
        <v>88</v>
      </c>
      <c r="D28" s="15" t="s">
        <v>89</v>
      </c>
      <c r="E28" s="15" t="s">
        <v>90</v>
      </c>
      <c r="F28" s="15" t="s">
        <v>91</v>
      </c>
      <c r="G28" s="15" t="s">
        <v>92</v>
      </c>
      <c r="K28" s="0" t="s">
        <v>93</v>
      </c>
      <c r="L28" s="0" t="n">
        <v>7</v>
      </c>
      <c r="M28" s="0" t="n">
        <v>0</v>
      </c>
      <c r="N28" s="0" t="n">
        <v>0</v>
      </c>
      <c r="O28" s="0" t="n">
        <v>3</v>
      </c>
      <c r="P28" s="0" t="n">
        <v>1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2</v>
      </c>
      <c r="V28" s="0" t="n">
        <v>3</v>
      </c>
    </row>
    <row r="29" customFormat="false" ht="15" hidden="false" customHeight="false" outlineLevel="0" collapsed="false">
      <c r="B29" s="23" t="s">
        <v>94</v>
      </c>
      <c r="C29" s="24" t="n">
        <f aca="false">$C$4</f>
        <v>315.8</v>
      </c>
      <c r="D29" s="24" t="n">
        <f aca="false">$F$40</f>
        <v>6</v>
      </c>
      <c r="E29" s="24" t="n">
        <f aca="false">($C$6+1)*$F$41</f>
        <v>2</v>
      </c>
      <c r="F29" s="25" t="n">
        <f aca="false">$C$6</f>
        <v>4</v>
      </c>
      <c r="G29" s="14" t="n">
        <f aca="false">($C$4-$F$40-($C$6+1)*$F$41)/$C$6</f>
        <v>76.95</v>
      </c>
      <c r="K29" s="0" t="s">
        <v>95</v>
      </c>
      <c r="L29" s="0" t="n">
        <v>7</v>
      </c>
      <c r="M29" s="0" t="n">
        <v>0</v>
      </c>
      <c r="N29" s="0" t="n">
        <v>0</v>
      </c>
      <c r="O29" s="0" t="n">
        <v>3</v>
      </c>
      <c r="P29" s="0" t="n">
        <v>1</v>
      </c>
      <c r="Q29" s="0" t="n">
        <v>1</v>
      </c>
      <c r="R29" s="0" t="n">
        <v>0</v>
      </c>
      <c r="S29" s="0" t="n">
        <v>1</v>
      </c>
      <c r="T29" s="0" t="n">
        <v>0</v>
      </c>
      <c r="U29" s="0" t="n">
        <v>2</v>
      </c>
      <c r="V29" s="0" t="n">
        <v>3</v>
      </c>
    </row>
    <row r="30" customFormat="false" ht="15" hidden="false" customHeight="false" outlineLevel="0" collapsed="false">
      <c r="B30" s="23" t="s">
        <v>96</v>
      </c>
      <c r="C30" s="24" t="n">
        <f aca="false">$C$4/2</f>
        <v>157.9</v>
      </c>
      <c r="D30" s="24" t="n">
        <f aca="false">$F$40</f>
        <v>6</v>
      </c>
      <c r="E30" s="24" t="n">
        <f aca="false">($C$6/2+1)*$F$41</f>
        <v>1.2</v>
      </c>
      <c r="F30" s="24" t="n">
        <f aca="false">$C$6/2</f>
        <v>2</v>
      </c>
      <c r="G30" s="14" t="n">
        <f aca="false">(($C$4/2)-$F$40-($C$6/2+1)*$F$41)/($C$6/2)</f>
        <v>75.35</v>
      </c>
      <c r="K30" s="0" t="s">
        <v>97</v>
      </c>
      <c r="L30" s="0" t="n">
        <v>7</v>
      </c>
      <c r="M30" s="0" t="n">
        <v>0</v>
      </c>
      <c r="N30" s="0" t="n">
        <v>2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0</v>
      </c>
      <c r="T30" s="0" t="n">
        <v>0</v>
      </c>
      <c r="U30" s="0" t="n">
        <v>2</v>
      </c>
      <c r="V30" s="0" t="n">
        <v>3</v>
      </c>
    </row>
    <row r="31" customFormat="false" ht="15" hidden="false" customHeight="true" outlineLevel="0" collapsed="false">
      <c r="B31" s="26" t="s">
        <v>98</v>
      </c>
      <c r="C31" s="26"/>
      <c r="D31" s="26"/>
      <c r="E31" s="26"/>
      <c r="F31" s="26"/>
      <c r="G31" s="14" t="n">
        <f aca="false">$C$11</f>
        <v>75.35</v>
      </c>
      <c r="K31" s="0" t="s">
        <v>99</v>
      </c>
      <c r="L31" s="0" t="n">
        <v>7</v>
      </c>
      <c r="M31" s="0" t="n">
        <v>0</v>
      </c>
      <c r="N31" s="0" t="n">
        <v>1</v>
      </c>
      <c r="O31" s="0" t="n">
        <v>2</v>
      </c>
      <c r="P31" s="0" t="n">
        <v>1</v>
      </c>
      <c r="Q31" s="0" t="n">
        <v>1</v>
      </c>
      <c r="R31" s="0" t="n">
        <v>0</v>
      </c>
      <c r="S31" s="0" t="n">
        <v>1</v>
      </c>
      <c r="T31" s="0" t="n">
        <v>0</v>
      </c>
      <c r="U31" s="0" t="n">
        <v>2</v>
      </c>
      <c r="V31" s="0" t="n">
        <v>3</v>
      </c>
    </row>
    <row r="32" customFormat="false" ht="15" hidden="false" customHeight="false" outlineLevel="0" collapsed="false">
      <c r="K32" s="0" t="s">
        <v>100</v>
      </c>
      <c r="L32" s="0" t="n">
        <v>7</v>
      </c>
      <c r="M32" s="0" t="n">
        <v>0</v>
      </c>
      <c r="N32" s="0" t="n">
        <v>2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3</v>
      </c>
    </row>
    <row r="33" customFormat="false" ht="15" hidden="false" customHeight="false" outlineLevel="0" collapsed="false">
      <c r="K33" s="0" t="s">
        <v>101</v>
      </c>
      <c r="L33" s="0" t="n">
        <v>7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3</v>
      </c>
    </row>
    <row r="34" customFormat="false" ht="15" hidden="false" customHeight="true" outlineLevel="0" collapsed="false">
      <c r="B34" s="27" t="s">
        <v>102</v>
      </c>
      <c r="C34" s="27"/>
      <c r="D34" s="27"/>
      <c r="E34" s="27"/>
      <c r="F34" s="27"/>
      <c r="K34" s="0" t="s">
        <v>103</v>
      </c>
      <c r="L34" s="0" t="n">
        <v>8</v>
      </c>
      <c r="M34" s="0" t="n">
        <v>0</v>
      </c>
      <c r="N34" s="0" t="n">
        <v>2</v>
      </c>
      <c r="O34" s="0" t="n">
        <v>2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3</v>
      </c>
      <c r="V34" s="0" t="n">
        <v>4</v>
      </c>
    </row>
    <row r="35" customFormat="false" ht="15" hidden="false" customHeight="true" outlineLevel="0" collapsed="false">
      <c r="B35" s="4" t="s">
        <v>104</v>
      </c>
      <c r="C35" s="4"/>
      <c r="D35" s="4"/>
      <c r="E35" s="4"/>
      <c r="F35" s="15" t="s">
        <v>105</v>
      </c>
      <c r="K35" s="0" t="s">
        <v>106</v>
      </c>
      <c r="L35" s="0" t="n">
        <v>8</v>
      </c>
      <c r="M35" s="0" t="n">
        <v>0</v>
      </c>
      <c r="N35" s="0" t="n">
        <v>1</v>
      </c>
      <c r="O35" s="0" t="n">
        <v>2</v>
      </c>
      <c r="P35" s="0" t="n">
        <v>1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3</v>
      </c>
    </row>
    <row r="36" customFormat="false" ht="18.75" hidden="false" customHeight="true" outlineLevel="0" collapsed="false">
      <c r="B36" s="17" t="s">
        <v>107</v>
      </c>
      <c r="C36" s="17"/>
      <c r="D36" s="17"/>
      <c r="E36" s="17"/>
      <c r="F36" s="5" t="n">
        <v>6</v>
      </c>
      <c r="K36" s="0" t="s">
        <v>108</v>
      </c>
      <c r="L36" s="0" t="n">
        <v>8</v>
      </c>
      <c r="M36" s="0" t="n">
        <v>1</v>
      </c>
      <c r="N36" s="0" t="n">
        <v>0</v>
      </c>
      <c r="O36" s="0" t="n">
        <v>4</v>
      </c>
      <c r="P36" s="0" t="n">
        <v>1</v>
      </c>
      <c r="Q36" s="0" t="n">
        <v>1</v>
      </c>
      <c r="R36" s="0" t="n">
        <v>0</v>
      </c>
      <c r="S36" s="0" t="n">
        <v>0</v>
      </c>
      <c r="T36" s="0" t="n">
        <v>1</v>
      </c>
      <c r="U36" s="0" t="n">
        <v>2</v>
      </c>
      <c r="V36" s="0" t="n">
        <v>4</v>
      </c>
    </row>
    <row r="37" customFormat="false" ht="18.75" hidden="false" customHeight="true" outlineLevel="0" collapsed="false">
      <c r="B37" s="17" t="s">
        <v>109</v>
      </c>
      <c r="C37" s="17"/>
      <c r="D37" s="17"/>
      <c r="E37" s="17"/>
      <c r="F37" s="5" t="n">
        <v>8.6</v>
      </c>
      <c r="K37" s="0" t="s">
        <v>110</v>
      </c>
      <c r="L37" s="0" t="n">
        <v>8</v>
      </c>
      <c r="M37" s="0" t="n">
        <v>0</v>
      </c>
      <c r="N37" s="0" t="n">
        <v>1</v>
      </c>
      <c r="O37" s="0" t="n">
        <v>2</v>
      </c>
      <c r="P37" s="0" t="n">
        <v>1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3</v>
      </c>
    </row>
    <row r="38" customFormat="false" ht="18.75" hidden="false" customHeight="true" outlineLevel="0" collapsed="false">
      <c r="B38" s="17" t="s">
        <v>111</v>
      </c>
      <c r="C38" s="17"/>
      <c r="D38" s="17"/>
      <c r="E38" s="17"/>
      <c r="F38" s="5" t="n">
        <v>9.6</v>
      </c>
      <c r="K38" s="0" t="s">
        <v>112</v>
      </c>
      <c r="L38" s="0" t="n">
        <v>9</v>
      </c>
      <c r="M38" s="0" t="n">
        <v>0</v>
      </c>
      <c r="N38" s="0" t="n">
        <v>1</v>
      </c>
      <c r="O38" s="0" t="n">
        <v>3</v>
      </c>
      <c r="P38" s="0" t="n">
        <v>1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3</v>
      </c>
      <c r="V38" s="0" t="n">
        <v>4</v>
      </c>
    </row>
    <row r="39" customFormat="false" ht="18.75" hidden="false" customHeight="true" outlineLevel="0" collapsed="false">
      <c r="B39" s="17" t="s">
        <v>113</v>
      </c>
      <c r="C39" s="17"/>
      <c r="D39" s="17"/>
      <c r="E39" s="17"/>
      <c r="F39" s="5" t="n">
        <v>9.2</v>
      </c>
      <c r="K39" s="0" t="s">
        <v>114</v>
      </c>
      <c r="L39" s="0" t="n">
        <v>9</v>
      </c>
      <c r="M39" s="0" t="n">
        <v>0</v>
      </c>
      <c r="N39" s="0" t="n">
        <v>1</v>
      </c>
      <c r="O39" s="0" t="n">
        <v>3</v>
      </c>
      <c r="P39" s="0" t="n">
        <v>1</v>
      </c>
      <c r="Q39" s="0" t="n">
        <v>1</v>
      </c>
      <c r="R39" s="0" t="n">
        <v>0</v>
      </c>
      <c r="S39" s="0" t="n">
        <v>1</v>
      </c>
      <c r="T39" s="0" t="n">
        <v>0</v>
      </c>
      <c r="U39" s="0" t="n">
        <v>3</v>
      </c>
      <c r="V39" s="0" t="n">
        <v>4</v>
      </c>
    </row>
    <row r="40" customFormat="false" ht="18.75" hidden="false" customHeight="true" outlineLevel="0" collapsed="false">
      <c r="B40" s="17" t="s">
        <v>115</v>
      </c>
      <c r="C40" s="17"/>
      <c r="D40" s="17"/>
      <c r="E40" s="17"/>
      <c r="F40" s="5" t="n">
        <v>6</v>
      </c>
      <c r="K40" s="0" t="s">
        <v>116</v>
      </c>
      <c r="L40" s="0" t="n">
        <v>9</v>
      </c>
      <c r="M40" s="0" t="n">
        <v>0</v>
      </c>
      <c r="N40" s="0" t="n">
        <v>1</v>
      </c>
      <c r="O40" s="0" t="n">
        <v>3</v>
      </c>
      <c r="P40" s="0" t="n">
        <v>1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3</v>
      </c>
      <c r="V40" s="0" t="n">
        <v>4</v>
      </c>
    </row>
    <row r="41" customFormat="false" ht="18.75" hidden="false" customHeight="true" outlineLevel="0" collapsed="false">
      <c r="B41" s="17" t="s">
        <v>117</v>
      </c>
      <c r="C41" s="17"/>
      <c r="D41" s="17"/>
      <c r="E41" s="17"/>
      <c r="F41" s="5" t="n">
        <v>0.4</v>
      </c>
      <c r="K41" s="0" t="s">
        <v>118</v>
      </c>
      <c r="L41" s="0" t="n">
        <v>9</v>
      </c>
      <c r="M41" s="0" t="n">
        <v>0</v>
      </c>
      <c r="N41" s="0" t="n">
        <v>1</v>
      </c>
      <c r="O41" s="0" t="n">
        <v>3</v>
      </c>
      <c r="P41" s="0" t="n">
        <v>1</v>
      </c>
      <c r="Q41" s="0" t="n">
        <v>1</v>
      </c>
      <c r="R41" s="0" t="n">
        <v>0</v>
      </c>
      <c r="S41" s="0" t="n">
        <v>1</v>
      </c>
      <c r="T41" s="0" t="n">
        <v>0</v>
      </c>
      <c r="U41" s="0" t="n">
        <v>3</v>
      </c>
      <c r="V41" s="0" t="n">
        <v>4</v>
      </c>
    </row>
    <row r="42" customFormat="false" ht="18.75" hidden="false" customHeight="true" outlineLevel="0" collapsed="false">
      <c r="B42" s="17" t="s">
        <v>119</v>
      </c>
      <c r="C42" s="17"/>
      <c r="D42" s="17"/>
      <c r="E42" s="17"/>
      <c r="F42" s="5" t="n">
        <v>18.2</v>
      </c>
      <c r="K42" s="0" t="s">
        <v>120</v>
      </c>
      <c r="L42" s="0" t="n">
        <v>10</v>
      </c>
      <c r="M42" s="0" t="n">
        <v>1</v>
      </c>
      <c r="N42" s="0" t="n">
        <v>2</v>
      </c>
      <c r="O42" s="0" t="n">
        <v>2</v>
      </c>
      <c r="P42" s="0" t="n">
        <v>1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4</v>
      </c>
    </row>
    <row r="43" customFormat="false" ht="18.75" hidden="false" customHeight="true" outlineLevel="0" collapsed="false">
      <c r="B43" s="17" t="s">
        <v>121</v>
      </c>
      <c r="C43" s="17"/>
      <c r="D43" s="17"/>
      <c r="E43" s="17"/>
      <c r="F43" s="28" t="n">
        <v>11.325</v>
      </c>
      <c r="K43" s="0" t="s">
        <v>122</v>
      </c>
      <c r="L43" s="0" t="n">
        <v>11</v>
      </c>
      <c r="M43" s="0" t="n">
        <v>0</v>
      </c>
      <c r="N43" s="0" t="n">
        <v>2</v>
      </c>
      <c r="O43" s="0" t="n">
        <v>3</v>
      </c>
      <c r="P43" s="0" t="n">
        <v>1</v>
      </c>
      <c r="Q43" s="0" t="n">
        <v>1</v>
      </c>
      <c r="R43" s="0" t="n">
        <v>1</v>
      </c>
      <c r="S43" s="0" t="n">
        <v>0</v>
      </c>
      <c r="T43" s="0" t="n">
        <v>0</v>
      </c>
      <c r="U43" s="0" t="n">
        <v>4</v>
      </c>
      <c r="V43" s="0" t="n">
        <v>5</v>
      </c>
    </row>
    <row r="44" customFormat="false" ht="15" hidden="false" customHeight="false" outlineLevel="0" collapsed="false">
      <c r="K44" s="0" t="s">
        <v>123</v>
      </c>
      <c r="L44" s="0" t="n">
        <v>11</v>
      </c>
      <c r="M44" s="0" t="n">
        <v>0</v>
      </c>
      <c r="N44" s="0" t="n">
        <v>2</v>
      </c>
      <c r="O44" s="0" t="n">
        <v>3</v>
      </c>
      <c r="P44" s="0" t="n">
        <v>1</v>
      </c>
      <c r="Q44" s="0" t="n">
        <v>1</v>
      </c>
      <c r="R44" s="0" t="n">
        <v>0</v>
      </c>
      <c r="S44" s="0" t="n">
        <v>1</v>
      </c>
      <c r="T44" s="0" t="n">
        <v>0</v>
      </c>
      <c r="U44" s="0" t="n">
        <v>4</v>
      </c>
      <c r="V44" s="0" t="n">
        <v>5</v>
      </c>
    </row>
    <row r="45" customFormat="false" ht="15" hidden="false" customHeight="false" outlineLevel="0" collapsed="false">
      <c r="B45" s="29" t="s">
        <v>124</v>
      </c>
      <c r="K45" s="0" t="s">
        <v>125</v>
      </c>
      <c r="L45" s="0" t="n">
        <v>12</v>
      </c>
      <c r="M45" s="0" t="n">
        <v>0</v>
      </c>
      <c r="N45" s="0" t="n">
        <v>3</v>
      </c>
      <c r="O45" s="0" t="n">
        <v>2</v>
      </c>
      <c r="P45" s="0" t="n">
        <v>1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5</v>
      </c>
    </row>
    <row r="46" customFormat="false" ht="15" hidden="false" customHeight="false" outlineLevel="0" collapsed="false">
      <c r="A46" s="30" t="s">
        <v>39</v>
      </c>
      <c r="B46" s="30" t="s">
        <v>126</v>
      </c>
      <c r="C46" s="30" t="s">
        <v>127</v>
      </c>
      <c r="D46" s="30" t="s">
        <v>128</v>
      </c>
      <c r="E46" s="30" t="s">
        <v>43</v>
      </c>
      <c r="F46" s="30" t="s">
        <v>129</v>
      </c>
      <c r="K46" s="0" t="s">
        <v>130</v>
      </c>
      <c r="L46" s="0" t="n">
        <v>12</v>
      </c>
      <c r="M46" s="0" t="n">
        <v>1</v>
      </c>
      <c r="N46" s="0" t="n">
        <v>2</v>
      </c>
      <c r="O46" s="0" t="n">
        <v>4</v>
      </c>
      <c r="P46" s="0" t="n">
        <v>1</v>
      </c>
      <c r="Q46" s="0" t="n">
        <v>1</v>
      </c>
      <c r="R46" s="0" t="n">
        <v>0</v>
      </c>
      <c r="S46" s="0" t="n">
        <v>0</v>
      </c>
      <c r="T46" s="0" t="n">
        <v>1</v>
      </c>
      <c r="U46" s="0" t="n">
        <v>4</v>
      </c>
      <c r="V46" s="0" t="n">
        <v>6</v>
      </c>
    </row>
    <row r="47" customFormat="false" ht="15" hidden="false" customHeight="false" outlineLevel="0" collapsed="false">
      <c r="A47" s="31" t="n">
        <v>1</v>
      </c>
      <c r="B47" s="32" t="s">
        <v>131</v>
      </c>
      <c r="C47" s="33" t="s">
        <v>4</v>
      </c>
      <c r="D47" s="33" t="str">
        <f aca="false">IF($F$5="ดำ","JR00602","JR00610")</f>
        <v>JR00602</v>
      </c>
      <c r="E47" s="33" t="n">
        <f aca="false">INDEX($N$2:$N$48,MATCH($F$4,$K$2:$K$48,0))</f>
        <v>2</v>
      </c>
      <c r="F47" s="33" t="s">
        <v>132</v>
      </c>
      <c r="K47" s="0" t="s">
        <v>133</v>
      </c>
      <c r="L47" s="0" t="n">
        <v>14</v>
      </c>
      <c r="M47" s="0" t="n">
        <v>1</v>
      </c>
      <c r="N47" s="0" t="n">
        <v>4</v>
      </c>
      <c r="O47" s="0" t="n">
        <v>2</v>
      </c>
      <c r="P47" s="0" t="n">
        <v>1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6</v>
      </c>
      <c r="V47" s="0" t="n">
        <v>6</v>
      </c>
    </row>
    <row r="48" customFormat="false" ht="15" hidden="false" customHeight="false" outlineLevel="0" collapsed="false">
      <c r="A48" s="31" t="n">
        <v>2</v>
      </c>
      <c r="B48" s="32" t="s">
        <v>134</v>
      </c>
      <c r="C48" s="33" t="s">
        <v>5</v>
      </c>
      <c r="D48" s="33" t="str">
        <f aca="false">IF($F$5="ดำ","JR00603","JR00611")</f>
        <v>JR00603</v>
      </c>
      <c r="E48" s="33" t="n">
        <f aca="false">INDEX($O$2:$O$48,MATCH($F$4,$K$2:$K$48,0))</f>
        <v>0</v>
      </c>
      <c r="F48" s="33" t="s">
        <v>132</v>
      </c>
      <c r="K48" s="0" t="s">
        <v>135</v>
      </c>
      <c r="L48" s="0" t="n">
        <v>15</v>
      </c>
      <c r="M48" s="0" t="n">
        <v>0</v>
      </c>
      <c r="N48" s="0" t="n">
        <v>4</v>
      </c>
      <c r="O48" s="0" t="n">
        <v>3</v>
      </c>
      <c r="P48" s="0" t="n">
        <v>1</v>
      </c>
      <c r="Q48" s="0" t="n">
        <v>1</v>
      </c>
      <c r="R48" s="0" t="n">
        <v>0</v>
      </c>
      <c r="S48" s="0" t="n">
        <v>1</v>
      </c>
      <c r="T48" s="0" t="n">
        <v>0</v>
      </c>
      <c r="U48" s="0" t="n">
        <v>6</v>
      </c>
      <c r="V48" s="0" t="n">
        <v>7</v>
      </c>
    </row>
    <row r="49" customFormat="false" ht="15" hidden="false" customHeight="false" outlineLevel="0" collapsed="false">
      <c r="A49" s="31" t="n">
        <v>3</v>
      </c>
      <c r="B49" s="32" t="s">
        <v>136</v>
      </c>
      <c r="C49" s="33" t="s">
        <v>6</v>
      </c>
      <c r="D49" s="33" t="str">
        <f aca="false">IF($F$5="ดำ","JR00604","JR00612")</f>
        <v>JR00604</v>
      </c>
      <c r="E49" s="33" t="n">
        <f aca="false">INDEX($P$2:$P$48,MATCH($F$4,$K$2:$K$48,0))</f>
        <v>1</v>
      </c>
      <c r="F49" s="33" t="s">
        <v>132</v>
      </c>
    </row>
    <row r="50" customFormat="false" ht="15" hidden="false" customHeight="false" outlineLevel="0" collapsed="false">
      <c r="A50" s="31" t="n">
        <v>4</v>
      </c>
      <c r="B50" s="32" t="s">
        <v>137</v>
      </c>
      <c r="C50" s="33" t="s">
        <v>7</v>
      </c>
      <c r="D50" s="33" t="str">
        <f aca="false">IF($F$5="ดำ","JR00605","JR00613")</f>
        <v>JR00605</v>
      </c>
      <c r="E50" s="33" t="n">
        <f aca="false">INDEX($Q$2:$Q$48,MATCH($F$4,$K$2:$K$48,0))</f>
        <v>1</v>
      </c>
      <c r="F50" s="33" t="s">
        <v>132</v>
      </c>
    </row>
    <row r="51" customFormat="false" ht="15" hidden="false" customHeight="false" outlineLevel="0" collapsed="false">
      <c r="A51" s="31" t="n">
        <v>5</v>
      </c>
      <c r="B51" s="32" t="s">
        <v>138</v>
      </c>
      <c r="C51" s="33" t="s">
        <v>8</v>
      </c>
      <c r="D51" s="33" t="str">
        <f aca="false">IF($F$5="ดำ","JR00606","JR00614")</f>
        <v>JR00606</v>
      </c>
      <c r="E51" s="33" t="n">
        <f aca="false">INDEX($R$2:$R$48,MATCH($F$4,$K$2:$K$48,0))</f>
        <v>0</v>
      </c>
      <c r="F51" s="33" t="s">
        <v>132</v>
      </c>
    </row>
    <row r="52" customFormat="false" ht="15" hidden="false" customHeight="false" outlineLevel="0" collapsed="false">
      <c r="A52" s="31" t="n">
        <v>6</v>
      </c>
      <c r="B52" s="32" t="s">
        <v>139</v>
      </c>
      <c r="C52" s="33" t="s">
        <v>9</v>
      </c>
      <c r="D52" s="33" t="str">
        <f aca="false">IF($F$5="ดำ","JR00607","JR00615")</f>
        <v>JR00607</v>
      </c>
      <c r="E52" s="33" t="n">
        <f aca="false">INDEX($S$2:$S$48,MATCH($F$4,$K$2:$K$48,0))</f>
        <v>0</v>
      </c>
      <c r="F52" s="33" t="s">
        <v>132</v>
      </c>
    </row>
    <row r="53" customFormat="false" ht="15" hidden="false" customHeight="false" outlineLevel="0" collapsed="false">
      <c r="A53" s="31" t="n">
        <v>7</v>
      </c>
      <c r="B53" s="32" t="s">
        <v>140</v>
      </c>
      <c r="C53" s="33" t="s">
        <v>10</v>
      </c>
      <c r="D53" s="33" t="str">
        <f aca="false">IF($F$5="ดำ","JR00608","JR00616")</f>
        <v>JR00608</v>
      </c>
      <c r="E53" s="33" t="n">
        <f aca="false">INDEX($T$2:$T$48,MATCH($F$4,$K$2:$K$48,0))</f>
        <v>1</v>
      </c>
      <c r="F53" s="33" t="s">
        <v>132</v>
      </c>
    </row>
    <row r="54" customFormat="false" ht="15" hidden="false" customHeight="false" outlineLevel="0" collapsed="false">
      <c r="A54" s="31" t="n">
        <v>8</v>
      </c>
      <c r="B54" s="32" t="s">
        <v>141</v>
      </c>
      <c r="C54" s="33" t="s">
        <v>11</v>
      </c>
      <c r="D54" s="33" t="str">
        <f aca="false">IF($F$5="ดำ","JR00609","JR00617")</f>
        <v>JR00609</v>
      </c>
      <c r="E54" s="33" t="n">
        <f aca="false">INDEX($U$2:$U$48,MATCH($F$4,$K$2:$K$48,0))</f>
        <v>0</v>
      </c>
      <c r="F54" s="33" t="s">
        <v>132</v>
      </c>
    </row>
    <row r="55" customFormat="false" ht="15" hidden="false" customHeight="false" outlineLevel="0" collapsed="false">
      <c r="A55" s="31" t="n">
        <v>9</v>
      </c>
      <c r="B55" s="32" t="s">
        <v>142</v>
      </c>
      <c r="C55" s="33" t="s">
        <v>12</v>
      </c>
      <c r="D55" s="33" t="s">
        <v>143</v>
      </c>
      <c r="E55" s="33" t="n">
        <f aca="false">INDEX($V$2:$V$48,MATCH($F$4,$K$2:$K$48,0))</f>
        <v>2</v>
      </c>
      <c r="F55" s="33" t="s">
        <v>132</v>
      </c>
    </row>
    <row r="56" customFormat="false" ht="15" hidden="false" customHeight="false" outlineLevel="0" collapsed="false">
      <c r="A56" s="31" t="n">
        <v>10</v>
      </c>
      <c r="B56" s="32" t="s">
        <v>144</v>
      </c>
      <c r="C56" s="33" t="s">
        <v>145</v>
      </c>
      <c r="D56" s="33" t="s">
        <v>146</v>
      </c>
      <c r="E56" s="33" t="n">
        <f aca="false">ROUND((2*$C$4+2*$C$5)/100,1)</f>
        <v>11.1</v>
      </c>
      <c r="F56" s="33" t="s">
        <v>147</v>
      </c>
    </row>
    <row r="57" customFormat="false" ht="15" hidden="false" customHeight="false" outlineLevel="0" collapsed="false">
      <c r="A57" s="31" t="n">
        <v>11</v>
      </c>
      <c r="B57" s="32" t="s">
        <v>148</v>
      </c>
      <c r="C57" s="33" t="s">
        <v>145</v>
      </c>
      <c r="D57" s="33" t="s">
        <v>149</v>
      </c>
      <c r="E57" s="33" t="n">
        <f aca="false">ROUND(2*($C$11+($C$5-$F$39))*2*$C$6/100,1)</f>
        <v>49</v>
      </c>
      <c r="F57" s="33" t="s">
        <v>147</v>
      </c>
    </row>
  </sheetData>
  <mergeCells count="15">
    <mergeCell ref="A1:H2"/>
    <mergeCell ref="B3:C3"/>
    <mergeCell ref="B9:C9"/>
    <mergeCell ref="B27:G27"/>
    <mergeCell ref="B31:F31"/>
    <mergeCell ref="B34:F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</mergeCells>
  <dataValidations count="4">
    <dataValidation allowBlank="false" errorStyle="stop" operator="between" showDropDown="false" showErrorMessage="false" showInputMessage="false" sqref="C7" type="list">
      <formula1>"ปกติ / ไม่สมมาตร,สมมาตร ซ้าย=ขวา"</formula1>
      <formula2>0</formula2>
    </dataValidation>
    <dataValidation allowBlank="false" errorStyle="stop" operator="between" showDropDown="false" showErrorMessage="false" showInputMessage="false" sqref="C8" type="list">
      <formula1>"45°,90°"</formula1>
      <formula2>0</formula2>
    </dataValidation>
    <dataValidation allowBlank="false" errorStyle="stop" operator="between" showDropDown="false" showErrorMessage="false" showInputMessage="false" sqref="F4" type="list">
      <formula1>$K$2:$K$48</formula1>
      <formula2>0</formula2>
    </dataValidation>
    <dataValidation allowBlank="false" errorStyle="stop" operator="between" showDropDown="false" showErrorMessage="false" showInputMessage="false" sqref="F5" type="list">
      <formula1>"ดำ,เงิน"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true"/>
  </sheetPr>
  <dimension ref="B2:B194"/>
  <sheetViews>
    <sheetView showFormulas="false" showGridLines="true" showRowColHeaders="true" showZeros="true" rightToLeft="false" tabSelected="false" showOutlineSymbols="true" defaultGridColor="true" view="pageBreakPreview" topLeftCell="A13" colorId="64" zoomScale="100" zoomScaleNormal="100" zoomScalePageLayoutView="100" workbookViewId="0">
      <selection pane="topLeft" activeCell="A120" activeCellId="0" sqref="A120"/>
    </sheetView>
  </sheetViews>
  <sheetFormatPr defaultColWidth="9.109375" defaultRowHeight="14.25" zeroHeight="false" outlineLevelRow="0" outlineLevelCol="0"/>
  <cols>
    <col collapsed="false" customWidth="false" hidden="false" outlineLevel="0" max="16384" min="1" style="34" width="9.11"/>
  </cols>
  <sheetData>
    <row r="2" customFormat="false" ht="36" hidden="false" customHeight="true" outlineLevel="0" collapsed="false">
      <c r="B2" s="35" t="s">
        <v>150</v>
      </c>
    </row>
    <row r="5" customFormat="false" ht="17.25" hidden="false" customHeight="true" outlineLevel="0" collapsed="false">
      <c r="B5" s="36" t="s">
        <v>151</v>
      </c>
    </row>
    <row r="17" customFormat="false" ht="17.25" hidden="false" customHeight="true" outlineLevel="0" collapsed="false">
      <c r="B17" s="36" t="s">
        <v>152</v>
      </c>
    </row>
    <row r="29" customFormat="false" ht="17.25" hidden="false" customHeight="true" outlineLevel="0" collapsed="false">
      <c r="B29" s="36" t="s">
        <v>153</v>
      </c>
    </row>
    <row r="50" customFormat="false" ht="17.25" hidden="false" customHeight="true" outlineLevel="0" collapsed="false">
      <c r="B50" s="36" t="s">
        <v>154</v>
      </c>
    </row>
    <row r="71" customFormat="false" ht="17.25" hidden="false" customHeight="true" outlineLevel="0" collapsed="false">
      <c r="B71" s="36" t="s">
        <v>155</v>
      </c>
    </row>
    <row r="93" customFormat="false" ht="17.25" hidden="false" customHeight="true" outlineLevel="0" collapsed="false">
      <c r="B93" s="36" t="s">
        <v>156</v>
      </c>
    </row>
    <row r="114" customFormat="false" ht="17.25" hidden="false" customHeight="true" outlineLevel="0" collapsed="false">
      <c r="B114" s="36" t="s">
        <v>157</v>
      </c>
    </row>
    <row r="125" customFormat="false" ht="17.25" hidden="false" customHeight="true" outlineLevel="0" collapsed="false">
      <c r="B125" s="36" t="s">
        <v>158</v>
      </c>
    </row>
    <row r="148" customFormat="false" ht="17.25" hidden="false" customHeight="true" outlineLevel="0" collapsed="false">
      <c r="B148" s="36" t="s">
        <v>159</v>
      </c>
    </row>
    <row r="159" customFormat="false" ht="17.25" hidden="false" customHeight="true" outlineLevel="0" collapsed="false">
      <c r="B159" s="36" t="s">
        <v>160</v>
      </c>
    </row>
    <row r="171" customFormat="false" ht="17.25" hidden="false" customHeight="true" outlineLevel="0" collapsed="false">
      <c r="B171" s="36" t="s">
        <v>161</v>
      </c>
    </row>
    <row r="183" customFormat="false" ht="17.25" hidden="false" customHeight="true" outlineLevel="0" collapsed="false">
      <c r="B183" s="36" t="s">
        <v>162</v>
      </c>
    </row>
    <row r="194" customFormat="false" ht="17.25" hidden="false" customHeight="true" outlineLevel="0" collapsed="false">
      <c r="B194" s="36" t="s">
        <v>163</v>
      </c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2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J16" activeCellId="0" sqref="J16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.56"/>
    <col collapsed="false" customWidth="true" hidden="false" outlineLevel="0" max="3" min="3" style="0" width="28.44"/>
    <col collapsed="false" customWidth="true" hidden="false" outlineLevel="0" max="4" min="4" style="0" width="31.56"/>
    <col collapsed="false" customWidth="true" hidden="false" outlineLevel="0" max="5" min="5" style="0" width="29.11"/>
    <col collapsed="false" customWidth="true" hidden="false" outlineLevel="0" max="6" min="6" style="37" width="18.44"/>
  </cols>
  <sheetData>
    <row r="1" customFormat="false" ht="19.5" hidden="false" customHeight="true" outlineLevel="0" collapsed="false">
      <c r="A1" s="38" t="s">
        <v>164</v>
      </c>
      <c r="B1" s="38"/>
      <c r="C1" s="38"/>
      <c r="D1" s="38"/>
      <c r="E1" s="38"/>
      <c r="I1" s="39"/>
      <c r="J1" s="39"/>
    </row>
    <row r="2" customFormat="false" ht="19.5" hidden="false" customHeight="true" outlineLevel="0" collapsed="false">
      <c r="A2" s="38"/>
      <c r="B2" s="38"/>
      <c r="C2" s="38"/>
      <c r="D2" s="38"/>
      <c r="E2" s="38"/>
    </row>
    <row r="3" customFormat="false" ht="19.5" hidden="false" customHeight="true" outlineLevel="0" collapsed="false">
      <c r="A3" s="40" t="s">
        <v>165</v>
      </c>
      <c r="B3" s="40"/>
      <c r="C3" s="40"/>
      <c r="D3" s="40"/>
      <c r="E3" s="40"/>
    </row>
    <row r="4" customFormat="false" ht="19.5" hidden="false" customHeight="true" outlineLevel="0" collapsed="false">
      <c r="A4" s="41" t="s">
        <v>166</v>
      </c>
      <c r="B4" s="41" t="s">
        <v>167</v>
      </c>
      <c r="C4" s="41" t="s">
        <v>168</v>
      </c>
      <c r="D4" s="41" t="s">
        <v>169</v>
      </c>
      <c r="E4" s="41" t="s">
        <v>170</v>
      </c>
    </row>
    <row r="5" customFormat="false" ht="19.5" hidden="false" customHeight="true" outlineLevel="0" collapsed="false">
      <c r="A5" s="42" t="s">
        <v>171</v>
      </c>
      <c r="B5" s="43"/>
      <c r="C5" s="44" t="s">
        <v>172</v>
      </c>
      <c r="D5" s="45" t="n">
        <v>1.8</v>
      </c>
      <c r="E5" s="46" t="n">
        <v>1.603</v>
      </c>
    </row>
    <row r="6" customFormat="false" ht="19.5" hidden="false" customHeight="true" outlineLevel="0" collapsed="false">
      <c r="A6" s="42"/>
      <c r="B6" s="42"/>
      <c r="C6" s="42"/>
      <c r="D6" s="42"/>
      <c r="E6" s="42"/>
    </row>
    <row r="7" customFormat="false" ht="19.5" hidden="false" customHeight="true" outlineLevel="0" collapsed="false">
      <c r="A7" s="42"/>
      <c r="B7" s="42"/>
      <c r="C7" s="42"/>
      <c r="D7" s="42"/>
      <c r="E7" s="42"/>
    </row>
    <row r="8" customFormat="false" ht="19.5" hidden="false" customHeight="true" outlineLevel="0" collapsed="false">
      <c r="A8" s="42"/>
      <c r="B8" s="42"/>
      <c r="C8" s="42"/>
      <c r="D8" s="42"/>
      <c r="E8" s="42"/>
    </row>
    <row r="9" customFormat="false" ht="19.5" hidden="false" customHeight="true" outlineLevel="0" collapsed="false">
      <c r="A9" s="47"/>
      <c r="B9" s="47"/>
      <c r="C9" s="47"/>
      <c r="D9" s="47"/>
      <c r="E9" s="48"/>
    </row>
    <row r="10" customFormat="false" ht="19.5" hidden="false" customHeight="true" outlineLevel="0" collapsed="false">
      <c r="A10" s="42" t="s">
        <v>173</v>
      </c>
      <c r="B10" s="43"/>
      <c r="C10" s="44" t="s">
        <v>174</v>
      </c>
      <c r="D10" s="45" t="n">
        <v>1.4</v>
      </c>
      <c r="E10" s="46" t="n">
        <v>0.278</v>
      </c>
    </row>
    <row r="11" customFormat="false" ht="19.5" hidden="false" customHeight="true" outlineLevel="0" collapsed="false">
      <c r="A11" s="42"/>
      <c r="B11" s="42"/>
      <c r="C11" s="42"/>
      <c r="D11" s="42"/>
      <c r="E11" s="42"/>
    </row>
    <row r="12" customFormat="false" ht="19.5" hidden="false" customHeight="true" outlineLevel="0" collapsed="false">
      <c r="A12" s="42"/>
      <c r="B12" s="42"/>
      <c r="C12" s="42"/>
      <c r="D12" s="42"/>
      <c r="E12" s="42"/>
    </row>
    <row r="13" customFormat="false" ht="19.5" hidden="false" customHeight="true" outlineLevel="0" collapsed="false">
      <c r="A13" s="42"/>
      <c r="B13" s="42"/>
      <c r="C13" s="42"/>
      <c r="D13" s="42"/>
      <c r="E13" s="42"/>
    </row>
    <row r="14" customFormat="false" ht="19.5" hidden="false" customHeight="true" outlineLevel="0" collapsed="false">
      <c r="A14" s="47"/>
      <c r="B14" s="47"/>
      <c r="C14" s="47"/>
      <c r="D14" s="47"/>
      <c r="E14" s="48"/>
    </row>
    <row r="15" customFormat="false" ht="19.5" hidden="false" customHeight="true" outlineLevel="0" collapsed="false">
      <c r="A15" s="42" t="s">
        <v>175</v>
      </c>
      <c r="B15" s="43"/>
      <c r="C15" s="44" t="s">
        <v>176</v>
      </c>
      <c r="D15" s="45" t="n">
        <v>1.2</v>
      </c>
      <c r="E15" s="46" t="n">
        <v>0.271</v>
      </c>
    </row>
    <row r="16" customFormat="false" ht="19.5" hidden="false" customHeight="true" outlineLevel="0" collapsed="false">
      <c r="A16" s="42"/>
      <c r="B16" s="42"/>
      <c r="C16" s="42"/>
      <c r="D16" s="42"/>
      <c r="E16" s="42"/>
    </row>
    <row r="17" s="37" customFormat="true" ht="19.5" hidden="false" customHeight="true" outlineLevel="0" collapsed="false">
      <c r="A17" s="42"/>
      <c r="B17" s="42"/>
      <c r="C17" s="42"/>
      <c r="D17" s="42"/>
      <c r="E17" s="42"/>
    </row>
    <row r="18" s="37" customFormat="true" ht="19.5" hidden="false" customHeight="true" outlineLevel="0" collapsed="false">
      <c r="A18" s="42"/>
      <c r="B18" s="42"/>
      <c r="C18" s="42"/>
      <c r="D18" s="42"/>
      <c r="E18" s="42"/>
    </row>
    <row r="19" s="37" customFormat="true" ht="19.5" hidden="false" customHeight="true" outlineLevel="0" collapsed="false">
      <c r="A19" s="47"/>
      <c r="B19" s="47"/>
      <c r="C19" s="47"/>
      <c r="D19" s="47"/>
      <c r="E19" s="48"/>
    </row>
    <row r="20" s="37" customFormat="true" ht="19.5" hidden="false" customHeight="true" outlineLevel="0" collapsed="false">
      <c r="A20" s="42" t="s">
        <v>177</v>
      </c>
      <c r="B20" s="43"/>
      <c r="C20" s="44" t="s">
        <v>178</v>
      </c>
      <c r="D20" s="45" t="n">
        <v>1.4</v>
      </c>
      <c r="E20" s="46" t="n">
        <v>0.516</v>
      </c>
    </row>
    <row r="21" s="37" customFormat="true" ht="19.5" hidden="false" customHeight="true" outlineLevel="0" collapsed="false">
      <c r="A21" s="42"/>
      <c r="B21" s="42"/>
      <c r="C21" s="42"/>
      <c r="D21" s="42"/>
      <c r="E21" s="42"/>
    </row>
    <row r="22" s="37" customFormat="true" ht="19.5" hidden="false" customHeight="true" outlineLevel="0" collapsed="false">
      <c r="A22" s="42"/>
      <c r="B22" s="42"/>
      <c r="C22" s="42"/>
      <c r="D22" s="42"/>
      <c r="E22" s="42"/>
    </row>
    <row r="23" s="37" customFormat="true" ht="19.5" hidden="false" customHeight="true" outlineLevel="0" collapsed="false">
      <c r="A23" s="42"/>
      <c r="B23" s="42"/>
      <c r="C23" s="42"/>
      <c r="D23" s="42"/>
      <c r="E23" s="42"/>
    </row>
    <row r="24" s="37" customFormat="true" ht="19.5" hidden="false" customHeight="true" outlineLevel="0" collapsed="false">
      <c r="A24" s="47"/>
      <c r="B24" s="47"/>
      <c r="C24" s="47"/>
      <c r="D24" s="47"/>
      <c r="E24" s="48"/>
    </row>
    <row r="25" s="37" customFormat="true" ht="19.5" hidden="false" customHeight="true" outlineLevel="0" collapsed="false">
      <c r="A25" s="42" t="s">
        <v>179</v>
      </c>
      <c r="B25" s="43"/>
      <c r="C25" s="44" t="s">
        <v>180</v>
      </c>
      <c r="D25" s="45" t="n">
        <v>1.5</v>
      </c>
      <c r="E25" s="46" t="n">
        <v>0.893</v>
      </c>
    </row>
    <row r="26" s="37" customFormat="true" ht="19.5" hidden="false" customHeight="true" outlineLevel="0" collapsed="false">
      <c r="A26" s="42"/>
      <c r="B26" s="42"/>
      <c r="C26" s="42"/>
      <c r="D26" s="42"/>
      <c r="E26" s="42"/>
    </row>
    <row r="27" s="37" customFormat="true" ht="19.5" hidden="false" customHeight="true" outlineLevel="0" collapsed="false">
      <c r="A27" s="42"/>
      <c r="B27" s="42"/>
      <c r="C27" s="42"/>
      <c r="D27" s="42"/>
      <c r="E27" s="42"/>
    </row>
    <row r="28" s="37" customFormat="true" ht="19.5" hidden="false" customHeight="true" outlineLevel="0" collapsed="false">
      <c r="A28" s="42"/>
      <c r="B28" s="42"/>
      <c r="C28" s="42"/>
      <c r="D28" s="42"/>
      <c r="E28" s="42"/>
    </row>
    <row r="29" s="37" customFormat="true" ht="19.5" hidden="false" customHeight="true" outlineLevel="0" collapsed="false">
      <c r="A29" s="47"/>
      <c r="B29" s="47"/>
      <c r="C29" s="47"/>
      <c r="D29" s="47"/>
      <c r="E29" s="48"/>
    </row>
    <row r="30" s="37" customFormat="true" ht="19.5" hidden="false" customHeight="true" outlineLevel="0" collapsed="false">
      <c r="A30" s="42" t="s">
        <v>181</v>
      </c>
      <c r="B30" s="43"/>
      <c r="C30" s="44" t="s">
        <v>182</v>
      </c>
      <c r="D30" s="45" t="n">
        <v>1.2</v>
      </c>
      <c r="E30" s="46" t="n">
        <v>0.235</v>
      </c>
    </row>
    <row r="31" s="37" customFormat="true" ht="19.5" hidden="false" customHeight="true" outlineLevel="0" collapsed="false">
      <c r="A31" s="42"/>
      <c r="B31" s="42"/>
      <c r="C31" s="42"/>
      <c r="D31" s="42"/>
      <c r="E31" s="42"/>
    </row>
    <row r="32" s="37" customFormat="true" ht="19.5" hidden="false" customHeight="true" outlineLevel="0" collapsed="false">
      <c r="A32" s="42"/>
      <c r="B32" s="42"/>
      <c r="C32" s="42"/>
      <c r="D32" s="42"/>
      <c r="E32" s="42"/>
      <c r="I32" s="37" t="s">
        <v>183</v>
      </c>
    </row>
    <row r="33" s="37" customFormat="true" ht="19.5" hidden="false" customHeight="true" outlineLevel="0" collapsed="false">
      <c r="A33" s="42"/>
      <c r="B33" s="42"/>
      <c r="C33" s="42"/>
      <c r="D33" s="42"/>
      <c r="E33" s="42"/>
    </row>
    <row r="34" s="37" customFormat="true" ht="19.5" hidden="false" customHeight="true" outlineLevel="0" collapsed="false">
      <c r="A34" s="47"/>
      <c r="B34" s="47"/>
      <c r="C34" s="47"/>
      <c r="D34" s="47"/>
      <c r="E34" s="48"/>
    </row>
    <row r="35" s="37" customFormat="true" ht="19.5" hidden="false" customHeight="true" outlineLevel="0" collapsed="false">
      <c r="A35" s="42" t="s">
        <v>184</v>
      </c>
      <c r="B35" s="43"/>
      <c r="C35" s="44" t="s">
        <v>185</v>
      </c>
      <c r="D35" s="45" t="n">
        <v>1.5</v>
      </c>
      <c r="E35" s="46" t="n">
        <v>1.106</v>
      </c>
    </row>
    <row r="36" s="37" customFormat="true" ht="19.5" hidden="false" customHeight="true" outlineLevel="0" collapsed="false">
      <c r="A36" s="42"/>
      <c r="B36" s="42"/>
      <c r="C36" s="42"/>
      <c r="D36" s="42"/>
      <c r="E36" s="42"/>
    </row>
    <row r="37" s="37" customFormat="true" ht="19.5" hidden="false" customHeight="true" outlineLevel="0" collapsed="false">
      <c r="A37" s="42"/>
      <c r="B37" s="42"/>
      <c r="C37" s="42"/>
      <c r="D37" s="42"/>
      <c r="E37" s="42"/>
    </row>
    <row r="38" s="37" customFormat="true" ht="19.5" hidden="false" customHeight="true" outlineLevel="0" collapsed="false">
      <c r="A38" s="42"/>
      <c r="B38" s="42"/>
      <c r="C38" s="42"/>
      <c r="D38" s="42"/>
      <c r="E38" s="42"/>
    </row>
    <row r="39" s="37" customFormat="true" ht="19.5" hidden="false" customHeight="true" outlineLevel="0" collapsed="false">
      <c r="A39" s="47"/>
      <c r="B39" s="47"/>
      <c r="C39" s="47"/>
      <c r="D39" s="47"/>
      <c r="E39" s="48"/>
    </row>
    <row r="40" s="37" customFormat="true" ht="19.5" hidden="false" customHeight="true" outlineLevel="0" collapsed="false">
      <c r="A40" s="42" t="s">
        <v>186</v>
      </c>
      <c r="B40" s="43"/>
      <c r="C40" s="44" t="s">
        <v>187</v>
      </c>
      <c r="D40" s="45" t="n">
        <v>1.2</v>
      </c>
      <c r="E40" s="46" t="n">
        <v>0.231</v>
      </c>
    </row>
    <row r="41" s="37" customFormat="true" ht="19.5" hidden="false" customHeight="true" outlineLevel="0" collapsed="false">
      <c r="A41" s="42"/>
      <c r="B41" s="42"/>
      <c r="C41" s="42"/>
      <c r="D41" s="42"/>
      <c r="E41" s="42"/>
    </row>
    <row r="42" s="37" customFormat="true" ht="19.5" hidden="false" customHeight="true" outlineLevel="0" collapsed="false">
      <c r="A42" s="42"/>
      <c r="B42" s="42"/>
      <c r="C42" s="42"/>
      <c r="D42" s="42"/>
      <c r="E42" s="42"/>
    </row>
    <row r="43" s="37" customFormat="true" ht="19.5" hidden="false" customHeight="true" outlineLevel="0" collapsed="false">
      <c r="A43" s="42"/>
      <c r="B43" s="42"/>
      <c r="C43" s="42"/>
      <c r="D43" s="42"/>
      <c r="E43" s="42"/>
    </row>
    <row r="44" s="37" customFormat="true" ht="19.5" hidden="false" customHeight="true" outlineLevel="0" collapsed="false">
      <c r="A44" s="47"/>
      <c r="B44" s="47"/>
      <c r="C44" s="47"/>
      <c r="D44" s="47"/>
      <c r="E44" s="48"/>
    </row>
    <row r="45" s="37" customFormat="true" ht="19.5" hidden="false" customHeight="true" outlineLevel="0" collapsed="false">
      <c r="A45" s="42" t="s">
        <v>188</v>
      </c>
      <c r="B45" s="43"/>
      <c r="C45" s="44" t="s">
        <v>189</v>
      </c>
      <c r="D45" s="45" t="n">
        <v>1.2</v>
      </c>
      <c r="E45" s="46" t="n">
        <v>0.215</v>
      </c>
    </row>
    <row r="46" s="37" customFormat="true" ht="19.5" hidden="false" customHeight="true" outlineLevel="0" collapsed="false">
      <c r="A46" s="42"/>
      <c r="B46" s="42"/>
      <c r="C46" s="42"/>
      <c r="D46" s="42"/>
      <c r="E46" s="42"/>
    </row>
    <row r="47" s="37" customFormat="true" ht="19.5" hidden="false" customHeight="true" outlineLevel="0" collapsed="false">
      <c r="A47" s="42"/>
      <c r="B47" s="42"/>
      <c r="C47" s="42"/>
      <c r="D47" s="42"/>
      <c r="E47" s="42"/>
    </row>
    <row r="48" s="37" customFormat="true" ht="19.5" hidden="false" customHeight="true" outlineLevel="0" collapsed="false">
      <c r="A48" s="42"/>
      <c r="B48" s="42"/>
      <c r="C48" s="42"/>
      <c r="D48" s="42"/>
      <c r="E48" s="42"/>
    </row>
    <row r="49" s="37" customFormat="true" ht="19.5" hidden="false" customHeight="true" outlineLevel="0" collapsed="false">
      <c r="A49" s="47"/>
      <c r="B49" s="47"/>
      <c r="C49" s="47"/>
      <c r="D49" s="47"/>
      <c r="E49" s="48"/>
    </row>
    <row r="50" s="37" customFormat="true" ht="19.5" hidden="false" customHeight="true" outlineLevel="0" collapsed="false">
      <c r="A50" s="42" t="s">
        <v>190</v>
      </c>
      <c r="B50" s="43"/>
      <c r="C50" s="44" t="s">
        <v>191</v>
      </c>
      <c r="D50" s="45" t="n">
        <v>1.5</v>
      </c>
      <c r="E50" s="46" t="n">
        <v>0.169</v>
      </c>
    </row>
    <row r="51" s="37" customFormat="true" ht="19.5" hidden="false" customHeight="true" outlineLevel="0" collapsed="false">
      <c r="A51" s="42"/>
      <c r="B51" s="42"/>
      <c r="C51" s="42"/>
      <c r="D51" s="42"/>
      <c r="E51" s="42"/>
    </row>
    <row r="52" s="37" customFormat="true" ht="19.5" hidden="false" customHeight="true" outlineLevel="0" collapsed="false">
      <c r="A52" s="42"/>
      <c r="B52" s="42"/>
      <c r="C52" s="42"/>
      <c r="D52" s="42"/>
      <c r="E52" s="42"/>
    </row>
    <row r="53" s="37" customFormat="true" ht="19.5" hidden="false" customHeight="true" outlineLevel="0" collapsed="false">
      <c r="A53" s="42"/>
      <c r="B53" s="42"/>
      <c r="C53" s="42"/>
      <c r="D53" s="42"/>
      <c r="E53" s="42"/>
    </row>
    <row r="54" customFormat="false" ht="19.5" hidden="false" customHeight="true" outlineLevel="0" collapsed="false">
      <c r="A54" s="47"/>
      <c r="B54" s="47"/>
      <c r="C54" s="47"/>
      <c r="D54" s="47"/>
      <c r="E54" s="48"/>
    </row>
    <row r="55" customFormat="false" ht="19.5" hidden="false" customHeight="true" outlineLevel="0" collapsed="false">
      <c r="A55" s="42" t="s">
        <v>192</v>
      </c>
      <c r="B55" s="43"/>
      <c r="C55" s="44" t="s">
        <v>193</v>
      </c>
      <c r="D55" s="45" t="n">
        <v>1.2</v>
      </c>
      <c r="E55" s="46" t="n">
        <v>0.226</v>
      </c>
    </row>
    <row r="56" customFormat="false" ht="19.5" hidden="false" customHeight="true" outlineLevel="0" collapsed="false">
      <c r="A56" s="42"/>
      <c r="B56" s="42"/>
      <c r="C56" s="42"/>
      <c r="D56" s="42"/>
      <c r="E56" s="42"/>
    </row>
    <row r="57" customFormat="false" ht="19.5" hidden="false" customHeight="true" outlineLevel="0" collapsed="false">
      <c r="A57" s="42"/>
      <c r="B57" s="42"/>
      <c r="C57" s="42"/>
      <c r="D57" s="42"/>
      <c r="E57" s="42"/>
    </row>
    <row r="58" customFormat="false" ht="19.5" hidden="false" customHeight="true" outlineLevel="0" collapsed="false">
      <c r="A58" s="42"/>
      <c r="B58" s="42"/>
      <c r="C58" s="42"/>
      <c r="D58" s="42"/>
      <c r="E58" s="42"/>
    </row>
    <row r="59" customFormat="false" ht="19.5" hidden="false" customHeight="true" outlineLevel="0" collapsed="false">
      <c r="A59" s="47"/>
      <c r="B59" s="47"/>
      <c r="C59" s="47"/>
      <c r="D59" s="47"/>
      <c r="E59" s="48"/>
    </row>
    <row r="60" customFormat="false" ht="19.5" hidden="false" customHeight="true" outlineLevel="0" collapsed="false">
      <c r="A60" s="42" t="s">
        <v>194</v>
      </c>
      <c r="B60" s="43"/>
      <c r="C60" s="44" t="s">
        <v>195</v>
      </c>
      <c r="D60" s="45" t="n">
        <v>1.5</v>
      </c>
      <c r="E60" s="46" t="n">
        <v>0.242</v>
      </c>
    </row>
    <row r="61" customFormat="false" ht="19.5" hidden="false" customHeight="true" outlineLevel="0" collapsed="false">
      <c r="A61" s="42"/>
      <c r="B61" s="42"/>
      <c r="C61" s="42"/>
      <c r="D61" s="42"/>
      <c r="E61" s="42"/>
    </row>
    <row r="62" customFormat="false" ht="19.5" hidden="false" customHeight="true" outlineLevel="0" collapsed="false">
      <c r="A62" s="42"/>
      <c r="B62" s="42"/>
      <c r="C62" s="42"/>
      <c r="D62" s="42"/>
      <c r="E62" s="42"/>
    </row>
    <row r="63" customFormat="false" ht="19.5" hidden="false" customHeight="true" outlineLevel="0" collapsed="false">
      <c r="A63" s="42"/>
      <c r="B63" s="42"/>
      <c r="C63" s="42"/>
      <c r="D63" s="42"/>
      <c r="E63" s="42"/>
    </row>
    <row r="64" customFormat="false" ht="19.5" hidden="false" customHeight="true" outlineLevel="0" collapsed="false">
      <c r="A64" s="47"/>
      <c r="B64" s="47"/>
      <c r="C64" s="47"/>
      <c r="D64" s="47"/>
      <c r="E64" s="48"/>
    </row>
    <row r="65" customFormat="false" ht="19.5" hidden="false" customHeight="true" outlineLevel="0" collapsed="false">
      <c r="A65" s="42" t="s">
        <v>196</v>
      </c>
      <c r="B65" s="43"/>
      <c r="C65" s="44" t="s">
        <v>197</v>
      </c>
      <c r="D65" s="45" t="n">
        <v>1.5</v>
      </c>
      <c r="E65" s="46" t="n">
        <v>0.932</v>
      </c>
    </row>
    <row r="66" customFormat="false" ht="19.5" hidden="false" customHeight="true" outlineLevel="0" collapsed="false">
      <c r="A66" s="42"/>
      <c r="B66" s="42"/>
      <c r="C66" s="42"/>
      <c r="D66" s="42"/>
      <c r="E66" s="42"/>
    </row>
    <row r="67" customFormat="false" ht="19.5" hidden="false" customHeight="true" outlineLevel="0" collapsed="false">
      <c r="A67" s="42"/>
      <c r="B67" s="42"/>
      <c r="C67" s="42"/>
      <c r="D67" s="42"/>
      <c r="E67" s="42"/>
    </row>
    <row r="68" customFormat="false" ht="19.5" hidden="false" customHeight="true" outlineLevel="0" collapsed="false">
      <c r="A68" s="42"/>
      <c r="B68" s="42"/>
      <c r="C68" s="42"/>
      <c r="D68" s="42"/>
      <c r="E68" s="42"/>
    </row>
    <row r="69" customFormat="false" ht="19.5" hidden="false" customHeight="true" outlineLevel="0" collapsed="false">
      <c r="A69" s="49"/>
      <c r="B69" s="50"/>
      <c r="C69" s="51"/>
      <c r="D69" s="52"/>
      <c r="E69" s="53"/>
      <c r="I69" s="54" t="s">
        <v>183</v>
      </c>
    </row>
    <row r="70" customFormat="false" ht="19.5" hidden="false" customHeight="true" outlineLevel="0" collapsed="false">
      <c r="A70" s="40" t="s">
        <v>198</v>
      </c>
      <c r="B70" s="40"/>
      <c r="C70" s="40"/>
      <c r="D70" s="40"/>
      <c r="E70" s="40"/>
    </row>
    <row r="71" customFormat="false" ht="19.5" hidden="false" customHeight="true" outlineLevel="0" collapsed="false">
      <c r="A71" s="41" t="s">
        <v>199</v>
      </c>
      <c r="B71" s="41" t="s">
        <v>167</v>
      </c>
      <c r="C71" s="41" t="s">
        <v>200</v>
      </c>
      <c r="D71" s="41" t="s">
        <v>168</v>
      </c>
      <c r="E71" s="41"/>
    </row>
    <row r="72" customFormat="false" ht="30" hidden="false" customHeight="true" outlineLevel="0" collapsed="false">
      <c r="A72" s="55" t="s">
        <v>201</v>
      </c>
      <c r="B72" s="43"/>
      <c r="C72" s="56" t="s">
        <v>202</v>
      </c>
      <c r="D72" s="57" t="s">
        <v>203</v>
      </c>
      <c r="E72" s="57"/>
      <c r="F72" s="58"/>
    </row>
    <row r="73" customFormat="false" ht="30" hidden="false" customHeight="true" outlineLevel="0" collapsed="false">
      <c r="A73" s="55"/>
      <c r="B73" s="55"/>
      <c r="C73" s="56"/>
      <c r="D73" s="57"/>
      <c r="E73" s="57"/>
    </row>
    <row r="74" customFormat="false" ht="30" hidden="false" customHeight="true" outlineLevel="0" collapsed="false">
      <c r="A74" s="55" t="s">
        <v>204</v>
      </c>
      <c r="B74" s="43"/>
      <c r="C74" s="56"/>
      <c r="D74" s="57" t="s">
        <v>205</v>
      </c>
      <c r="E74" s="57"/>
    </row>
    <row r="75" customFormat="false" ht="30" hidden="false" customHeight="true" outlineLevel="0" collapsed="false">
      <c r="A75" s="55"/>
      <c r="B75" s="55"/>
      <c r="C75" s="56"/>
      <c r="D75" s="57"/>
      <c r="E75" s="57"/>
    </row>
    <row r="76" customFormat="false" ht="30" hidden="false" customHeight="true" outlineLevel="0" collapsed="false">
      <c r="A76" s="55" t="s">
        <v>206</v>
      </c>
      <c r="B76" s="43"/>
      <c r="C76" s="56"/>
      <c r="D76" s="57" t="s">
        <v>207</v>
      </c>
      <c r="E76" s="57"/>
    </row>
    <row r="77" customFormat="false" ht="30" hidden="false" customHeight="true" outlineLevel="0" collapsed="false">
      <c r="A77" s="55"/>
      <c r="B77" s="55"/>
      <c r="C77" s="56"/>
      <c r="D77" s="57"/>
      <c r="E77" s="57"/>
      <c r="J77" s="54" t="s">
        <v>208</v>
      </c>
    </row>
    <row r="78" customFormat="false" ht="30" hidden="false" customHeight="true" outlineLevel="0" collapsed="false">
      <c r="A78" s="55" t="s">
        <v>209</v>
      </c>
      <c r="B78" s="43"/>
      <c r="C78" s="56"/>
      <c r="D78" s="57" t="s">
        <v>210</v>
      </c>
      <c r="E78" s="57"/>
    </row>
    <row r="79" customFormat="false" ht="30" hidden="false" customHeight="true" outlineLevel="0" collapsed="false">
      <c r="A79" s="55"/>
      <c r="B79" s="55"/>
      <c r="C79" s="56"/>
      <c r="D79" s="57"/>
      <c r="E79" s="57"/>
    </row>
    <row r="80" customFormat="false" ht="30" hidden="false" customHeight="true" outlineLevel="0" collapsed="false">
      <c r="A80" s="55" t="s">
        <v>211</v>
      </c>
      <c r="B80" s="43"/>
      <c r="C80" s="56"/>
      <c r="D80" s="57" t="s">
        <v>212</v>
      </c>
      <c r="E80" s="57"/>
    </row>
    <row r="81" customFormat="false" ht="30" hidden="false" customHeight="true" outlineLevel="0" collapsed="false">
      <c r="A81" s="55"/>
      <c r="B81" s="55"/>
      <c r="C81" s="56"/>
      <c r="D81" s="57"/>
      <c r="E81" s="57"/>
      <c r="G81" s="54" t="s">
        <v>208</v>
      </c>
    </row>
    <row r="82" customFormat="false" ht="30" hidden="false" customHeight="true" outlineLevel="0" collapsed="false">
      <c r="A82" s="55" t="s">
        <v>213</v>
      </c>
      <c r="B82" s="43"/>
      <c r="C82" s="56"/>
      <c r="D82" s="57" t="s">
        <v>214</v>
      </c>
      <c r="E82" s="57"/>
    </row>
    <row r="83" customFormat="false" ht="30" hidden="false" customHeight="true" outlineLevel="0" collapsed="false">
      <c r="A83" s="55"/>
      <c r="B83" s="55"/>
      <c r="C83" s="55"/>
      <c r="D83" s="57"/>
      <c r="E83" s="57"/>
    </row>
    <row r="84" customFormat="false" ht="19.5" hidden="false" customHeight="true" outlineLevel="0" collapsed="false">
      <c r="A84" s="59"/>
      <c r="B84" s="60"/>
      <c r="C84" s="61"/>
      <c r="D84" s="60"/>
      <c r="E84" s="48"/>
    </row>
    <row r="85" customFormat="false" ht="19.5" hidden="false" customHeight="true" outlineLevel="0" collapsed="false">
      <c r="A85" s="62" t="s">
        <v>215</v>
      </c>
      <c r="B85" s="43"/>
      <c r="C85" s="56" t="s">
        <v>216</v>
      </c>
      <c r="D85" s="57" t="s">
        <v>217</v>
      </c>
      <c r="E85" s="57"/>
    </row>
    <row r="86" customFormat="false" ht="19.5" hidden="false" customHeight="true" outlineLevel="0" collapsed="false">
      <c r="A86" s="62" t="s">
        <v>218</v>
      </c>
      <c r="B86" s="43"/>
      <c r="C86" s="43"/>
      <c r="D86" s="57" t="s">
        <v>219</v>
      </c>
      <c r="E86" s="57"/>
    </row>
    <row r="87" customFormat="false" ht="19.5" hidden="false" customHeight="true" outlineLevel="0" collapsed="false">
      <c r="A87" s="62" t="s">
        <v>220</v>
      </c>
      <c r="B87" s="43"/>
      <c r="C87" s="43"/>
      <c r="D87" s="57" t="s">
        <v>221</v>
      </c>
      <c r="E87" s="57"/>
    </row>
    <row r="88" customFormat="false" ht="19.5" hidden="false" customHeight="true" outlineLevel="0" collapsed="false">
      <c r="A88" s="47"/>
      <c r="B88" s="47"/>
      <c r="C88" s="63"/>
      <c r="D88" s="47"/>
      <c r="E88" s="48"/>
    </row>
    <row r="89" customFormat="false" ht="60" hidden="false" customHeight="true" outlineLevel="0" collapsed="false">
      <c r="A89" s="62" t="s">
        <v>222</v>
      </c>
      <c r="B89" s="43"/>
      <c r="C89" s="56" t="s">
        <v>223</v>
      </c>
      <c r="D89" s="55" t="s">
        <v>224</v>
      </c>
      <c r="E89" s="55"/>
    </row>
    <row r="90" customFormat="false" ht="60" hidden="false" customHeight="true" outlineLevel="0" collapsed="false">
      <c r="A90" s="62" t="s">
        <v>225</v>
      </c>
      <c r="B90" s="43"/>
      <c r="C90" s="56"/>
      <c r="D90" s="55" t="s">
        <v>226</v>
      </c>
      <c r="E90" s="55"/>
    </row>
    <row r="91" customFormat="false" ht="19.5" hidden="false" customHeight="true" outlineLevel="0" collapsed="false">
      <c r="A91" s="47"/>
      <c r="B91" s="47"/>
      <c r="C91" s="63"/>
      <c r="D91" s="47"/>
      <c r="E91" s="64"/>
    </row>
    <row r="92" customFormat="false" ht="49.5" hidden="false" customHeight="true" outlineLevel="0" collapsed="false">
      <c r="A92" s="62" t="s">
        <v>227</v>
      </c>
      <c r="B92" s="43"/>
      <c r="C92" s="56" t="s">
        <v>228</v>
      </c>
      <c r="D92" s="65" t="s">
        <v>229</v>
      </c>
      <c r="E92" s="65"/>
      <c r="F92" s="66"/>
    </row>
    <row r="93" customFormat="false" ht="49.5" hidden="false" customHeight="true" outlineLevel="0" collapsed="false">
      <c r="A93" s="62" t="s">
        <v>230</v>
      </c>
      <c r="B93" s="43"/>
      <c r="C93" s="56"/>
      <c r="D93" s="55" t="s">
        <v>231</v>
      </c>
      <c r="E93" s="55"/>
    </row>
    <row r="94" customFormat="false" ht="49.5" hidden="false" customHeight="true" outlineLevel="0" collapsed="false">
      <c r="A94" s="62" t="s">
        <v>232</v>
      </c>
      <c r="B94" s="67"/>
      <c r="C94" s="56"/>
      <c r="D94" s="65" t="s">
        <v>233</v>
      </c>
      <c r="E94" s="65"/>
    </row>
    <row r="95" customFormat="false" ht="49.5" hidden="false" customHeight="true" outlineLevel="0" collapsed="false">
      <c r="A95" s="62" t="s">
        <v>234</v>
      </c>
      <c r="B95" s="43"/>
      <c r="C95" s="56"/>
      <c r="D95" s="65" t="s">
        <v>235</v>
      </c>
      <c r="E95" s="65"/>
    </row>
    <row r="96" customFormat="false" ht="49.5" hidden="false" customHeight="true" outlineLevel="0" collapsed="false">
      <c r="A96" s="62" t="s">
        <v>236</v>
      </c>
      <c r="B96" s="43"/>
      <c r="C96" s="56"/>
      <c r="D96" s="65" t="s">
        <v>237</v>
      </c>
      <c r="E96" s="65"/>
    </row>
    <row r="97" customFormat="false" ht="49.5" hidden="false" customHeight="true" outlineLevel="0" collapsed="false">
      <c r="A97" s="62" t="s">
        <v>238</v>
      </c>
      <c r="B97" s="43"/>
      <c r="C97" s="56"/>
      <c r="D97" s="65" t="s">
        <v>239</v>
      </c>
      <c r="E97" s="65"/>
    </row>
    <row r="98" customFormat="false" ht="49.5" hidden="false" customHeight="true" outlineLevel="0" collapsed="false">
      <c r="A98" s="62" t="s">
        <v>240</v>
      </c>
      <c r="B98" s="67"/>
      <c r="C98" s="56"/>
      <c r="D98" s="65" t="s">
        <v>241</v>
      </c>
      <c r="E98" s="65"/>
    </row>
    <row r="99" customFormat="false" ht="19.5" hidden="false" customHeight="true" outlineLevel="0" collapsed="false">
      <c r="A99" s="47"/>
      <c r="B99" s="47"/>
      <c r="C99" s="63"/>
      <c r="D99" s="47"/>
      <c r="E99" s="64"/>
    </row>
    <row r="100" customFormat="false" ht="15" hidden="false" customHeight="true" outlineLevel="0" collapsed="false">
      <c r="A100" s="55" t="s">
        <v>242</v>
      </c>
      <c r="B100" s="68"/>
      <c r="C100" s="56" t="s">
        <v>243</v>
      </c>
      <c r="D100" s="55" t="s">
        <v>244</v>
      </c>
      <c r="E100" s="55"/>
    </row>
    <row r="101" customFormat="false" ht="15" hidden="false" customHeight="true" outlineLevel="0" collapsed="false">
      <c r="A101" s="55"/>
      <c r="B101" s="55"/>
      <c r="C101" s="55"/>
      <c r="D101" s="55"/>
      <c r="E101" s="55"/>
    </row>
    <row r="102" customFormat="false" ht="15" hidden="false" customHeight="true" outlineLevel="0" collapsed="false">
      <c r="A102" s="55"/>
      <c r="B102" s="55"/>
      <c r="C102" s="55"/>
      <c r="D102" s="55"/>
      <c r="E102" s="55"/>
    </row>
    <row r="103" customFormat="false" ht="15" hidden="false" customHeight="true" outlineLevel="0" collapsed="false">
      <c r="A103" s="55"/>
      <c r="B103" s="55"/>
      <c r="C103" s="55"/>
      <c r="D103" s="55"/>
      <c r="E103" s="55"/>
    </row>
    <row r="104" customFormat="false" ht="15" hidden="false" customHeight="true" outlineLevel="0" collapsed="false">
      <c r="A104" s="55"/>
      <c r="B104" s="55"/>
      <c r="C104" s="55"/>
      <c r="D104" s="55"/>
      <c r="E104" s="55"/>
    </row>
    <row r="105" customFormat="false" ht="15" hidden="false" customHeight="true" outlineLevel="0" collapsed="false">
      <c r="A105" s="55"/>
      <c r="B105" s="68"/>
      <c r="C105" s="68"/>
      <c r="D105" s="55"/>
      <c r="E105" s="55"/>
      <c r="F105" s="66"/>
    </row>
    <row r="106" customFormat="false" ht="15" hidden="false" customHeight="true" outlineLevel="0" collapsed="false">
      <c r="A106" s="55" t="s">
        <v>245</v>
      </c>
      <c r="B106" s="43"/>
      <c r="C106" s="56"/>
      <c r="D106" s="55" t="s">
        <v>246</v>
      </c>
      <c r="E106" s="55"/>
    </row>
    <row r="107" customFormat="false" ht="15" hidden="false" customHeight="true" outlineLevel="0" collapsed="false">
      <c r="A107" s="55"/>
      <c r="B107" s="55"/>
      <c r="C107" s="55"/>
      <c r="D107" s="55"/>
      <c r="E107" s="55"/>
    </row>
    <row r="108" customFormat="false" ht="15" hidden="false" customHeight="true" outlineLevel="0" collapsed="false">
      <c r="A108" s="55"/>
      <c r="B108" s="55"/>
      <c r="C108" s="55"/>
      <c r="D108" s="55"/>
      <c r="E108" s="55"/>
    </row>
    <row r="109" customFormat="false" ht="15" hidden="false" customHeight="true" outlineLevel="0" collapsed="false">
      <c r="A109" s="55"/>
      <c r="B109" s="55"/>
      <c r="C109" s="55"/>
      <c r="D109" s="55"/>
      <c r="E109" s="55"/>
    </row>
    <row r="110" customFormat="false" ht="15" hidden="false" customHeight="true" outlineLevel="0" collapsed="false">
      <c r="A110" s="55"/>
      <c r="B110" s="55"/>
      <c r="C110" s="55"/>
      <c r="D110" s="55"/>
      <c r="E110" s="55"/>
      <c r="F110" s="69"/>
    </row>
    <row r="111" customFormat="false" ht="15" hidden="false" customHeight="true" outlineLevel="0" collapsed="false">
      <c r="A111" s="55"/>
      <c r="B111" s="55"/>
      <c r="C111" s="55"/>
      <c r="D111" s="55"/>
      <c r="E111" s="55"/>
      <c r="F111" s="69"/>
    </row>
    <row r="112" customFormat="false" ht="19.5" hidden="false" customHeight="true" outlineLevel="0" collapsed="false">
      <c r="A112" s="47"/>
      <c r="B112" s="47"/>
      <c r="C112" s="63"/>
      <c r="D112" s="47"/>
      <c r="E112" s="64"/>
    </row>
    <row r="113" customFormat="false" ht="60" hidden="false" customHeight="true" outlineLevel="0" collapsed="false">
      <c r="A113" s="62" t="s">
        <v>247</v>
      </c>
      <c r="B113" s="70"/>
      <c r="C113" s="56" t="s">
        <v>248</v>
      </c>
      <c r="D113" s="55" t="s">
        <v>249</v>
      </c>
      <c r="E113" s="55"/>
    </row>
    <row r="114" customFormat="false" ht="60" hidden="false" customHeight="true" outlineLevel="0" collapsed="false">
      <c r="A114" s="62" t="s">
        <v>250</v>
      </c>
      <c r="B114" s="70"/>
      <c r="C114" s="56"/>
      <c r="D114" s="55" t="s">
        <v>251</v>
      </c>
      <c r="E114" s="55"/>
    </row>
    <row r="115" customFormat="false" ht="60" hidden="false" customHeight="true" outlineLevel="0" collapsed="false">
      <c r="A115" s="62" t="s">
        <v>252</v>
      </c>
      <c r="B115" s="70"/>
      <c r="C115" s="56"/>
      <c r="D115" s="55" t="s">
        <v>253</v>
      </c>
      <c r="E115" s="55"/>
    </row>
    <row r="116" customFormat="false" ht="60" hidden="false" customHeight="true" outlineLevel="0" collapsed="false">
      <c r="A116" s="62" t="s">
        <v>4</v>
      </c>
      <c r="B116" s="70"/>
      <c r="C116" s="56"/>
      <c r="D116" s="65" t="s">
        <v>254</v>
      </c>
      <c r="E116" s="65"/>
    </row>
    <row r="117" customFormat="false" ht="60" hidden="false" customHeight="true" outlineLevel="0" collapsed="false">
      <c r="A117" s="62" t="s">
        <v>5</v>
      </c>
      <c r="B117" s="70"/>
      <c r="C117" s="56"/>
      <c r="D117" s="65" t="s">
        <v>255</v>
      </c>
      <c r="E117" s="65"/>
    </row>
    <row r="118" customFormat="false" ht="60" hidden="false" customHeight="true" outlineLevel="0" collapsed="false">
      <c r="A118" s="62" t="s">
        <v>6</v>
      </c>
      <c r="B118" s="70"/>
      <c r="C118" s="56"/>
      <c r="D118" s="55" t="s">
        <v>256</v>
      </c>
      <c r="E118" s="55"/>
    </row>
    <row r="119" customFormat="false" ht="60" hidden="false" customHeight="true" outlineLevel="0" collapsed="false">
      <c r="A119" s="62" t="s">
        <v>7</v>
      </c>
      <c r="B119" s="70"/>
      <c r="C119" s="56"/>
      <c r="D119" s="55" t="s">
        <v>257</v>
      </c>
      <c r="E119" s="55"/>
    </row>
    <row r="120" customFormat="false" ht="60" hidden="false" customHeight="true" outlineLevel="0" collapsed="false">
      <c r="A120" s="62" t="s">
        <v>8</v>
      </c>
      <c r="B120" s="70"/>
      <c r="C120" s="56"/>
      <c r="D120" s="55" t="s">
        <v>258</v>
      </c>
      <c r="E120" s="55"/>
    </row>
    <row r="121" customFormat="false" ht="60" hidden="false" customHeight="true" outlineLevel="0" collapsed="false">
      <c r="A121" s="62" t="s">
        <v>9</v>
      </c>
      <c r="B121" s="70"/>
      <c r="C121" s="56"/>
      <c r="D121" s="55" t="s">
        <v>259</v>
      </c>
      <c r="E121" s="55"/>
    </row>
    <row r="122" customFormat="false" ht="60" hidden="false" customHeight="true" outlineLevel="0" collapsed="false">
      <c r="A122" s="62" t="s">
        <v>10</v>
      </c>
      <c r="B122" s="70"/>
      <c r="C122" s="56"/>
      <c r="D122" s="55" t="s">
        <v>260</v>
      </c>
      <c r="E122" s="55"/>
    </row>
    <row r="123" customFormat="false" ht="60" hidden="false" customHeight="true" outlineLevel="0" collapsed="false">
      <c r="A123" s="62" t="s">
        <v>11</v>
      </c>
      <c r="B123" s="70"/>
      <c r="C123" s="56"/>
      <c r="D123" s="55" t="s">
        <v>261</v>
      </c>
      <c r="E123" s="55"/>
    </row>
    <row r="124" customFormat="false" ht="60" hidden="false" customHeight="true" outlineLevel="0" collapsed="false">
      <c r="A124" s="62" t="s">
        <v>262</v>
      </c>
      <c r="B124" s="70"/>
      <c r="C124" s="56"/>
      <c r="D124" s="55" t="s">
        <v>263</v>
      </c>
      <c r="E124" s="55"/>
    </row>
    <row r="125" customFormat="false" ht="60" hidden="false" customHeight="true" outlineLevel="0" collapsed="false">
      <c r="A125" s="62" t="s">
        <v>264</v>
      </c>
      <c r="B125" s="70"/>
      <c r="C125" s="56"/>
      <c r="D125" s="55" t="s">
        <v>265</v>
      </c>
      <c r="E125" s="55"/>
    </row>
    <row r="126" customFormat="false" ht="60" hidden="false" customHeight="true" outlineLevel="0" collapsed="false">
      <c r="A126" s="62" t="s">
        <v>12</v>
      </c>
      <c r="B126" s="70"/>
      <c r="C126" s="56"/>
      <c r="D126" s="55" t="s">
        <v>266</v>
      </c>
      <c r="E126" s="55"/>
    </row>
    <row r="127" customFormat="false" ht="19.5" hidden="false" customHeight="true" outlineLevel="0" collapsed="false">
      <c r="A127" s="59"/>
      <c r="B127" s="60"/>
      <c r="C127" s="61"/>
      <c r="D127" s="60"/>
      <c r="E127" s="48"/>
    </row>
    <row r="128" customFormat="false" ht="60" hidden="false" customHeight="true" outlineLevel="0" collapsed="false">
      <c r="A128" s="62" t="s">
        <v>267</v>
      </c>
      <c r="B128" s="43"/>
      <c r="C128" s="71" t="s">
        <v>268</v>
      </c>
      <c r="D128" s="55" t="s">
        <v>269</v>
      </c>
      <c r="E128" s="55"/>
      <c r="F128" s="66"/>
    </row>
    <row r="129" customFormat="false" ht="60" hidden="false" customHeight="true" outlineLevel="0" collapsed="false">
      <c r="A129" s="62" t="s">
        <v>270</v>
      </c>
      <c r="B129" s="67"/>
      <c r="C129" s="71"/>
      <c r="D129" s="72" t="s">
        <v>271</v>
      </c>
      <c r="E129" s="72"/>
    </row>
    <row r="130" customFormat="false" ht="60" hidden="false" customHeight="true" outlineLevel="0" collapsed="false">
      <c r="A130" s="62" t="s">
        <v>272</v>
      </c>
      <c r="B130" s="43"/>
      <c r="C130" s="71"/>
      <c r="D130" s="65" t="s">
        <v>273</v>
      </c>
      <c r="E130" s="65"/>
    </row>
    <row r="131" customFormat="false" ht="60" hidden="false" customHeight="true" outlineLevel="0" collapsed="false">
      <c r="A131" s="62" t="s">
        <v>274</v>
      </c>
      <c r="B131" s="43"/>
      <c r="C131" s="71"/>
      <c r="D131" s="72" t="s">
        <v>275</v>
      </c>
      <c r="E131" s="72"/>
    </row>
    <row r="132" customFormat="false" ht="60" hidden="false" customHeight="true" outlineLevel="0" collapsed="false">
      <c r="A132" s="62" t="s">
        <v>276</v>
      </c>
      <c r="B132" s="43"/>
      <c r="C132" s="71"/>
      <c r="D132" s="55" t="s">
        <v>277</v>
      </c>
      <c r="E132" s="55"/>
    </row>
  </sheetData>
  <mergeCells count="132">
    <mergeCell ref="A1:E2"/>
    <mergeCell ref="A3:E3"/>
    <mergeCell ref="A5:A8"/>
    <mergeCell ref="B5:B8"/>
    <mergeCell ref="C5:C8"/>
    <mergeCell ref="D5:D8"/>
    <mergeCell ref="E5:E8"/>
    <mergeCell ref="A10:A13"/>
    <mergeCell ref="B10:B13"/>
    <mergeCell ref="C10:C13"/>
    <mergeCell ref="D10:D13"/>
    <mergeCell ref="E10:E13"/>
    <mergeCell ref="A15:A18"/>
    <mergeCell ref="B15:B18"/>
    <mergeCell ref="C15:C18"/>
    <mergeCell ref="D15:D18"/>
    <mergeCell ref="E15:E18"/>
    <mergeCell ref="A20:A23"/>
    <mergeCell ref="B20:B23"/>
    <mergeCell ref="C20:C23"/>
    <mergeCell ref="D20:D23"/>
    <mergeCell ref="E20:E23"/>
    <mergeCell ref="A25:A28"/>
    <mergeCell ref="B25:B28"/>
    <mergeCell ref="C25:C28"/>
    <mergeCell ref="D25:D28"/>
    <mergeCell ref="E25:E28"/>
    <mergeCell ref="A30:A33"/>
    <mergeCell ref="B30:B33"/>
    <mergeCell ref="C30:C33"/>
    <mergeCell ref="D30:D33"/>
    <mergeCell ref="E30:E33"/>
    <mergeCell ref="A35:A38"/>
    <mergeCell ref="B35:B38"/>
    <mergeCell ref="C35:C38"/>
    <mergeCell ref="D35:D38"/>
    <mergeCell ref="E35:E38"/>
    <mergeCell ref="A40:A43"/>
    <mergeCell ref="B40:B43"/>
    <mergeCell ref="C40:C43"/>
    <mergeCell ref="D40:D43"/>
    <mergeCell ref="E40:E43"/>
    <mergeCell ref="A45:A48"/>
    <mergeCell ref="B45:B48"/>
    <mergeCell ref="C45:C48"/>
    <mergeCell ref="D45:D48"/>
    <mergeCell ref="E45:E48"/>
    <mergeCell ref="A50:A53"/>
    <mergeCell ref="B50:B53"/>
    <mergeCell ref="C50:C53"/>
    <mergeCell ref="D50:D53"/>
    <mergeCell ref="E50:E53"/>
    <mergeCell ref="A55:A58"/>
    <mergeCell ref="B55:B58"/>
    <mergeCell ref="C55:C58"/>
    <mergeCell ref="D55:D58"/>
    <mergeCell ref="E55:E58"/>
    <mergeCell ref="A60:A63"/>
    <mergeCell ref="B60:B63"/>
    <mergeCell ref="C60:C63"/>
    <mergeCell ref="D60:D63"/>
    <mergeCell ref="E60:E63"/>
    <mergeCell ref="A65:A68"/>
    <mergeCell ref="B65:B68"/>
    <mergeCell ref="C65:C68"/>
    <mergeCell ref="D65:D68"/>
    <mergeCell ref="E65:E68"/>
    <mergeCell ref="A70:E70"/>
    <mergeCell ref="D71:E71"/>
    <mergeCell ref="A72:A73"/>
    <mergeCell ref="B72:B73"/>
    <mergeCell ref="C72:C83"/>
    <mergeCell ref="D72:E73"/>
    <mergeCell ref="A74:A75"/>
    <mergeCell ref="B74:B75"/>
    <mergeCell ref="D74:E75"/>
    <mergeCell ref="A76:A77"/>
    <mergeCell ref="B76:B77"/>
    <mergeCell ref="D76:E77"/>
    <mergeCell ref="A78:A79"/>
    <mergeCell ref="B78:B79"/>
    <mergeCell ref="D78:E79"/>
    <mergeCell ref="A80:A81"/>
    <mergeCell ref="B80:B81"/>
    <mergeCell ref="D80:E81"/>
    <mergeCell ref="A82:A83"/>
    <mergeCell ref="B82:B83"/>
    <mergeCell ref="D82:E83"/>
    <mergeCell ref="B85:B87"/>
    <mergeCell ref="C85:C87"/>
    <mergeCell ref="D85:E85"/>
    <mergeCell ref="D86:E86"/>
    <mergeCell ref="D87:E87"/>
    <mergeCell ref="C89:C90"/>
    <mergeCell ref="D89:E89"/>
    <mergeCell ref="D90:E90"/>
    <mergeCell ref="C92:C98"/>
    <mergeCell ref="D92:E92"/>
    <mergeCell ref="D93:E93"/>
    <mergeCell ref="D94:E94"/>
    <mergeCell ref="D95:E95"/>
    <mergeCell ref="D96:E96"/>
    <mergeCell ref="D97:E97"/>
    <mergeCell ref="D98:E98"/>
    <mergeCell ref="A100:A105"/>
    <mergeCell ref="B100:B105"/>
    <mergeCell ref="C100:C111"/>
    <mergeCell ref="D100:E105"/>
    <mergeCell ref="A106:A111"/>
    <mergeCell ref="B106:B111"/>
    <mergeCell ref="D106:E111"/>
    <mergeCell ref="C113:C126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C128:C132"/>
    <mergeCell ref="D128:E128"/>
    <mergeCell ref="D129:E129"/>
    <mergeCell ref="D130:E130"/>
    <mergeCell ref="D131:E131"/>
    <mergeCell ref="D132:E1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534"/>
  <sheetViews>
    <sheetView showFormulas="false" showGridLines="false" showRowColHeaders="true" showZeros="true" rightToLeft="false" tabSelected="false" showOutlineSymbols="true" defaultGridColor="true" view="pageBreakPreview" topLeftCell="A172" colorId="64" zoomScale="75" zoomScaleNormal="75" zoomScalePageLayoutView="75" workbookViewId="0">
      <selection pane="topLeft" activeCell="F186" activeCellId="0" sqref="F186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4.11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4.44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3.67"/>
    <col collapsed="false" customWidth="true" hidden="true" outlineLevel="1" max="15" min="15" style="0" width="25.67"/>
    <col collapsed="false" customWidth="true" hidden="true" outlineLevel="1" max="16" min="16" style="0" width="38.88"/>
    <col collapsed="false" customWidth="true" hidden="true" outlineLevel="1" max="17" min="17" style="0" width="11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18.34"/>
    <col collapsed="false" customWidth="true" hidden="true" outlineLevel="1" max="22" min="22" style="0" width="11.11"/>
    <col collapsed="false" customWidth="true" hidden="true" outlineLevel="1" max="23" min="23" style="0" width="10.44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282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>
      <c r="G45" s="91"/>
    </row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284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95" t="s">
        <v>285</v>
      </c>
      <c r="B117" s="95"/>
      <c r="C117" s="95"/>
      <c r="D117" s="95"/>
      <c r="E117" s="95"/>
      <c r="F117" s="95"/>
      <c r="G117" s="95"/>
      <c r="H117" s="95"/>
      <c r="I117" s="95"/>
      <c r="J117" s="95"/>
      <c r="K117" s="83"/>
      <c r="L117" s="87"/>
      <c r="M117" s="87"/>
      <c r="N117" s="87"/>
    </row>
    <row r="118" s="96" customFormat="true" ht="15" hidden="false" customHeight="true" outlineLevel="0" collapsed="false">
      <c r="A118" s="97"/>
      <c r="C118" s="81"/>
      <c r="D118" s="98"/>
      <c r="E118" s="83"/>
      <c r="J118" s="99"/>
      <c r="K118" s="83"/>
    </row>
    <row r="119" s="96" customFormat="true" ht="15" hidden="false" customHeight="true" outlineLevel="0" collapsed="false">
      <c r="A119" s="97"/>
      <c r="C119" s="100" t="s">
        <v>286</v>
      </c>
      <c r="D119" s="101" t="s">
        <v>287</v>
      </c>
      <c r="E119" s="101"/>
      <c r="F119" s="101"/>
      <c r="G119" s="101"/>
      <c r="I119" s="83"/>
      <c r="J119" s="97"/>
      <c r="N119" s="102" t="s">
        <v>288</v>
      </c>
      <c r="O119" s="97" t="s">
        <v>289</v>
      </c>
      <c r="P119" s="102" t="s">
        <v>290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102" t="n">
        <v>5</v>
      </c>
      <c r="O120" s="97" t="s">
        <v>293</v>
      </c>
      <c r="P120" s="106" t="s">
        <v>294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102" t="n">
        <v>6</v>
      </c>
      <c r="O121" s="97" t="s">
        <v>296</v>
      </c>
      <c r="P121" s="106" t="s">
        <v>297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102" t="n">
        <v>8</v>
      </c>
      <c r="P122" s="106" t="s">
        <v>299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500</v>
      </c>
      <c r="N123" s="102" t="n">
        <v>10</v>
      </c>
      <c r="P123" s="106" t="s">
        <v>303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102" t="n">
        <v>12</v>
      </c>
      <c r="P124" s="106" t="s">
        <v>305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102" t="n">
        <v>14</v>
      </c>
      <c r="P125" s="106" t="s">
        <v>308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700</v>
      </c>
      <c r="K126" s="110"/>
      <c r="L126" s="110"/>
      <c r="N126" s="102" t="n">
        <v>18</v>
      </c>
      <c r="P126" s="106" t="s">
        <v>311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102" t="n">
        <v>20</v>
      </c>
      <c r="P127" s="106" t="s">
        <v>313</v>
      </c>
    </row>
    <row r="128" s="96" customFormat="true" ht="18.75" hidden="false" customHeight="true" outlineLevel="0" collapsed="false">
      <c r="C128" s="108" t="s">
        <v>314</v>
      </c>
      <c r="I128" s="97"/>
      <c r="J128" s="97"/>
      <c r="N128" s="102" t="n">
        <v>22</v>
      </c>
      <c r="P128" s="106" t="s">
        <v>315</v>
      </c>
    </row>
    <row r="129" s="96" customFormat="true" ht="15" hidden="false" customHeight="true" outlineLevel="0" collapsed="false">
      <c r="A129" s="89" t="str">
        <f aca="false">A18</f>
        <v>240-2 Panel (L)</v>
      </c>
      <c r="C129" s="100" t="s">
        <v>316</v>
      </c>
      <c r="D129" s="101" t="s">
        <v>293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330</v>
      </c>
      <c r="G133" s="120" t="n">
        <v>1</v>
      </c>
      <c r="H133" s="120" t="s">
        <v>331</v>
      </c>
      <c r="I133" s="123" t="n">
        <f aca="false">$J$126-60</f>
        <v>640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4</v>
      </c>
      <c r="U133" s="127" t="s">
        <v>337</v>
      </c>
      <c r="V133" s="128" t="n">
        <f aca="false">($J$126-182-113.25)/2</f>
        <v>202.375</v>
      </c>
      <c r="W133" s="129" t="n">
        <f aca="false">$J$120*T133</f>
        <v>4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614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4</v>
      </c>
      <c r="U134" s="130" t="s">
        <v>337</v>
      </c>
      <c r="V134" s="128" t="n">
        <f aca="false">($J$126-182-113.25)/2</f>
        <v>202.375</v>
      </c>
      <c r="W134" s="134" t="n">
        <f aca="false">$J$120*T134</f>
        <v>4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640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4</v>
      </c>
      <c r="U135" s="136" t="s">
        <v>337</v>
      </c>
      <c r="V135" s="128" t="n">
        <f aca="false">($J$126-182-113.25)/2</f>
        <v>202.375</v>
      </c>
      <c r="W135" s="137" t="n">
        <f aca="false">$J$120*T135</f>
        <v>4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640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4</v>
      </c>
      <c r="U136" s="127" t="s">
        <v>360</v>
      </c>
      <c r="V136" s="138" t="n">
        <f aca="false">$J$123-242</f>
        <v>258</v>
      </c>
      <c r="W136" s="129" t="n">
        <f aca="false">$J$120*T136</f>
        <v>4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500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4</v>
      </c>
      <c r="U137" s="130" t="s">
        <v>360</v>
      </c>
      <c r="V137" s="133" t="n">
        <f aca="false">$J$123-242</f>
        <v>258</v>
      </c>
      <c r="W137" s="134" t="n">
        <f aca="false">$J$120*T137</f>
        <v>4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500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4</v>
      </c>
      <c r="U138" s="136" t="s">
        <v>360</v>
      </c>
      <c r="V138" s="140" t="n">
        <f aca="false">$J$123-242</f>
        <v>258</v>
      </c>
      <c r="W138" s="137" t="n">
        <f aca="false">$J$120*T138</f>
        <v>4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404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404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2</v>
      </c>
      <c r="H141" s="130" t="s">
        <v>383</v>
      </c>
      <c r="I141" s="141" t="n">
        <f aca="false">($J$126-60-(2+1)*4)/2</f>
        <v>314</v>
      </c>
      <c r="J141" s="134" t="n">
        <f aca="false">$J$120*G141</f>
        <v>2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2</v>
      </c>
      <c r="H142" s="130" t="s">
        <v>383</v>
      </c>
      <c r="I142" s="141" t="n">
        <f aca="false">($J$126-60-(2+1)*4)/2</f>
        <v>314</v>
      </c>
      <c r="J142" s="134" t="n">
        <f aca="false">$J$120*G142</f>
        <v>2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3</v>
      </c>
      <c r="H143" s="130" t="s">
        <v>389</v>
      </c>
      <c r="I143" s="133" t="n">
        <f aca="false">$J$123-92</f>
        <v>408</v>
      </c>
      <c r="J143" s="134" t="n">
        <f aca="false">$J$120*G143</f>
        <v>3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1</v>
      </c>
      <c r="H144" s="130" t="s">
        <v>389</v>
      </c>
      <c r="I144" s="133" t="n">
        <f aca="false">$J$123-92</f>
        <v>408</v>
      </c>
      <c r="J144" s="134" t="n">
        <f aca="false">$J$120*G144</f>
        <v>1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5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5" s="131" t="str">
        <f aca="false">IF($D$127=5,Q133,IF($D$127=6,Q133,IF($D$127=8,Q134,IF($D$127=10,Q134,IF($D$127=12,Q134,IF($D$127=14,Q135,IF($D$127=18,Q135,IF($D$127=20,Q135,IF($D$127=22,Q135,)))))))))</f>
        <v>B24008</v>
      </c>
      <c r="E145" s="131" t="n">
        <f aca="false">IF($D$127=5,R133,IF($D$127=6,R133,IF($D$127=8,R134,IF($D$127=10,R134,IF($D$127=12,R134,IF($D$127=14,R135,IF($D$127=18,R135,IF($D$127=20,R135,IF($D$127=22,R135,)))))))))</f>
        <v>0.231</v>
      </c>
      <c r="F145" s="131" t="str">
        <f aca="false">IF($D$127=5,S133,IF($D$127=6,S133,IF($D$127=8,S134,IF($D$127=10,S134,IF($D$127=12,S134,IF($D$127=14,S135,IF($D$127=18,S135,IF($D$127=20,S135,IF($D$127=22,S135,)))))))))</f>
        <v>B24008-001</v>
      </c>
      <c r="G145" s="130" t="n">
        <f aca="false">IF($D$127=5,T133,IF($D$127=6,T133,IF($D$127=8,T134,IF($D$127=10,T134,IF($D$127=12,T134,IF($D$127=14,T135,IF($D$127=18,T135,IF($D$127=20,T135,IF($D$127=22,T135,)))))))))</f>
        <v>4</v>
      </c>
      <c r="H145" s="130" t="str">
        <f aca="false">IF($D$127=5,U133,IF($D$127=6,U133,IF($D$127=8,U134,IF($D$127=10,U134,IF($D$127=12,U134,IF($D$127=14,U135,IF($D$127=18,U135,IF($D$127=20,U135,IF($D$127=22,U135,)))))))))</f>
        <v>(W-182-113.25)/2</v>
      </c>
      <c r="I145" s="141" t="n">
        <f aca="false">IF($D$127=5,V133,IF($D$127=6,V133,IF($D$127=8,V134,IF($D$127=10,V134,IF($D$127=12,V134,IF($D$127=14,V135,IF($D$127=18,V135,IF($D$127=20,V135,IF($D$127=22,V135,)))))))))</f>
        <v>202.375</v>
      </c>
      <c r="J145" s="134" t="n">
        <f aca="false">IF($D$127=5,W133,IF($D$127=6,W133,IF($D$127=8,W134,IF($D$127=10,W134,IF($D$127=12,W134,IF($D$127=14,W135,IF($D$127=18,W135,IF($D$127=20,W135,IF($D$127=22,W135,)))))))))</f>
        <v>4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6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6" s="131" t="str">
        <f aca="false">IF($D$127=5,Q136,IF($D$127=6,Q136,IF($D$127=8,Q137,IF($D$127=10,Q137,IF($D$127=12,Q137,IF($D$127=14,Q138,IF($D$127=18,Q138,IF($D$127=20,Q138,IF($D$127=22,Q138,)))))))))</f>
        <v>B24008</v>
      </c>
      <c r="E146" s="131" t="n">
        <f aca="false">IF($D$127=5,R136,IF($D$127=6,R136,IF($D$127=8,R137,IF($D$127=10,R137,IF($D$127=12,R137,IF($D$127=14,R138,IF($D$127=18,R138,IF($D$127=20,R138,IF($D$127=22,R138,)))))))))</f>
        <v>0.231</v>
      </c>
      <c r="F146" s="131" t="str">
        <f aca="false">IF($D$127=5,S136,IF($D$127=6,S136,IF($D$127=8,S137,IF($D$127=10,S137,IF($D$127=12,S137,IF($D$127=14,S138,IF($D$127=18,S138,IF($D$127=20,S138,IF($D$127=22,S138,)))))))))</f>
        <v>B24008-002</v>
      </c>
      <c r="G146" s="130" t="n">
        <f aca="false">IF($D$127=5,T136,IF($D$127=6,T136,IF($D$127=8,T137,IF($D$127=10,T137,IF($D$127=12,T137,IF($D$127=14,T138,IF($D$127=18,T138,IF($D$127=20,T138,IF($D$127=22,T138,)))))))))</f>
        <v>4</v>
      </c>
      <c r="H146" s="130" t="str">
        <f aca="false">IF($D$127=5,U136,IF($D$127=6,U136,IF($D$127=8,U137,IF($D$127=10,U137,IF($D$127=12,U137,IF($D$127=14,U138,IF($D$127=18,U138,IF($D$127=20,U138,IF($D$127=22,U138,)))))))))</f>
        <v>H-242</v>
      </c>
      <c r="I146" s="133" t="n">
        <f aca="false">IF($D$127=5,V136,IF($D$127=6,V136,IF($D$127=8,V137,IF($D$127=10,V137,IF($D$127=12,V137,IF($D$127=14,V138,IF($D$127=18,V138,IF($D$127=20,V138,IF($D$127=22,V138,)))))))))</f>
        <v>258</v>
      </c>
      <c r="J146" s="134" t="n">
        <f aca="false">IF($D$127=5,W136,IF($D$127=6,W136,IF($D$127=8,W137,IF($D$127=10,W137,IF($D$127=12,W137,IF($D$127=14,W138,IF($D$127=18,W138,IF($D$127=20,W138,IF($D$127=22,W138,)))))))))</f>
        <v>4</v>
      </c>
    </row>
    <row r="147" s="96" customFormat="true" ht="18" hidden="false" customHeight="true" outlineLevel="0" collapsed="false">
      <c r="A147" s="130" t="str">
        <f aca="false">IF(B147="","",+A146+1)</f>
        <v/>
      </c>
      <c r="B147" s="131"/>
      <c r="C147" s="131"/>
      <c r="D147" s="132"/>
      <c r="E147" s="130"/>
      <c r="F147" s="132"/>
      <c r="G147" s="130"/>
      <c r="H147" s="130"/>
      <c r="I147" s="142"/>
      <c r="J147" s="134" t="n">
        <f aca="false">$J$120*G147</f>
        <v>0</v>
      </c>
    </row>
    <row r="148" s="96" customFormat="true" ht="18" hidden="false" customHeight="true" outlineLevel="0" collapsed="false">
      <c r="A148" s="130" t="str">
        <f aca="false">IF(B148="","",+A147+1)</f>
        <v/>
      </c>
      <c r="B148" s="131"/>
      <c r="C148" s="131"/>
      <c r="D148" s="132"/>
      <c r="E148" s="130"/>
      <c r="F148" s="132"/>
      <c r="G148" s="130"/>
      <c r="H148" s="130"/>
      <c r="I148" s="142"/>
      <c r="J148" s="134" t="n">
        <f aca="false">$J$120*G148</f>
        <v>0</v>
      </c>
    </row>
    <row r="149" s="96" customFormat="true" ht="18" hidden="false" customHeight="true" outlineLevel="0" collapsed="false">
      <c r="A149" s="130" t="str">
        <f aca="false">IF(B149="","",+A148+1)</f>
        <v/>
      </c>
      <c r="B149" s="131"/>
      <c r="C149" s="131"/>
      <c r="D149" s="132"/>
      <c r="E149" s="130"/>
      <c r="F149" s="132"/>
      <c r="G149" s="130"/>
      <c r="H149" s="130"/>
      <c r="I149" s="142"/>
      <c r="J149" s="134" t="n">
        <f aca="false">$J$120*G149</f>
        <v>0</v>
      </c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42"/>
      <c r="J150" s="134" t="n">
        <f aca="false">$J$120*G150</f>
        <v>0</v>
      </c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42"/>
      <c r="J151" s="134" t="n">
        <f aca="false">$J$120*G151</f>
        <v>0</v>
      </c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31"/>
      <c r="C153" s="131"/>
      <c r="D153" s="132"/>
      <c r="E153" s="130"/>
      <c r="F153" s="132"/>
      <c r="G153" s="130"/>
      <c r="H153" s="130"/>
      <c r="I153" s="142"/>
      <c r="J153" s="134" t="n">
        <f aca="false">$J$120*G153</f>
        <v>0</v>
      </c>
    </row>
    <row r="154" s="96" customFormat="true" ht="18" hidden="false" customHeight="true" outlineLevel="0" collapsed="false">
      <c r="A154" s="130" t="str">
        <f aca="false">IF(B154="","",+A153+1)</f>
        <v/>
      </c>
      <c r="B154" s="131"/>
      <c r="C154" s="131"/>
      <c r="D154" s="132"/>
      <c r="E154" s="130"/>
      <c r="F154" s="132"/>
      <c r="G154" s="130"/>
      <c r="H154" s="130"/>
      <c r="I154" s="142"/>
      <c r="J154" s="134" t="n">
        <f aca="false">$J$120*G154</f>
        <v>0</v>
      </c>
    </row>
    <row r="155" s="96" customFormat="true" ht="18" hidden="false" customHeight="true" outlineLevel="0" collapsed="false">
      <c r="A155" s="130" t="str">
        <f aca="false">IF(B155="","",+A154+1)</f>
        <v/>
      </c>
      <c r="B155" s="131"/>
      <c r="C155" s="131"/>
      <c r="D155" s="132"/>
      <c r="E155" s="130"/>
      <c r="F155" s="132"/>
      <c r="G155" s="130"/>
      <c r="H155" s="130"/>
      <c r="I155" s="142"/>
      <c r="J155" s="134" t="n">
        <f aca="false">$J$120*G155</f>
        <v>0</v>
      </c>
    </row>
    <row r="156" s="96" customFormat="true" ht="18" hidden="false" customHeight="true" outlineLevel="0" collapsed="false">
      <c r="A156" s="130" t="str">
        <f aca="false">IF(B156="","",+A155+1)</f>
        <v/>
      </c>
      <c r="B156" s="131"/>
      <c r="C156" s="131"/>
      <c r="D156" s="132"/>
      <c r="E156" s="130"/>
      <c r="F156" s="132"/>
      <c r="G156" s="130"/>
      <c r="H156" s="130"/>
      <c r="I156" s="142"/>
      <c r="J156" s="134" t="n">
        <f aca="false">$J$120*G156</f>
        <v>0</v>
      </c>
    </row>
    <row r="157" s="96" customFormat="true" ht="18" hidden="false" customHeight="true" outlineLevel="0" collapsed="false">
      <c r="A157" s="130" t="str">
        <f aca="false">IF(B157="","",+A156+1)</f>
        <v/>
      </c>
      <c r="B157" s="143"/>
      <c r="C157" s="143"/>
      <c r="D157" s="144"/>
      <c r="E157" s="145"/>
      <c r="F157" s="144"/>
      <c r="G157" s="145"/>
      <c r="H157" s="145"/>
      <c r="I157" s="146"/>
      <c r="J157" s="147" t="n">
        <f aca="false">$J$120*G157</f>
        <v>0</v>
      </c>
    </row>
    <row r="158" s="96" customFormat="true" ht="27" hidden="false" customHeight="true" outlineLevel="1" collapsed="false">
      <c r="A158" s="148" t="s">
        <v>319</v>
      </c>
      <c r="B158" s="148" t="s">
        <v>320</v>
      </c>
      <c r="C158" s="148" t="s">
        <v>168</v>
      </c>
      <c r="D158" s="148" t="s">
        <v>166</v>
      </c>
      <c r="E158" s="148" t="s">
        <v>321</v>
      </c>
      <c r="F158" s="149" t="s">
        <v>393</v>
      </c>
      <c r="G158" s="148" t="s">
        <v>394</v>
      </c>
      <c r="H158" s="150" t="s">
        <v>395</v>
      </c>
      <c r="I158" s="151"/>
      <c r="J158" s="151"/>
    </row>
    <row r="159" s="96" customFormat="true" ht="15" hidden="false" customHeight="true" outlineLevel="1" collapsed="false">
      <c r="A159" s="152" t="n">
        <f aca="false">IF(B159="","",1)</f>
        <v>1</v>
      </c>
      <c r="B159" s="153" t="str">
        <f aca="false">B133</f>
        <v>เฟรมบน</v>
      </c>
      <c r="C159" s="153" t="str">
        <f aca="false">C133</f>
        <v>HEAD</v>
      </c>
      <c r="D159" s="154" t="str">
        <f aca="false">VLOOKUP(C159,$C$133:$H$157,2,0)</f>
        <v>B24001</v>
      </c>
      <c r="E159" s="155" t="n">
        <f aca="false">VLOOKUP(C159,$C$133:$H$157,3,0)</f>
        <v>1.603</v>
      </c>
      <c r="F159" s="155" t="n">
        <f aca="false">VLOOKUP(C159,$C$133:$J$157,7,0)</f>
        <v>640</v>
      </c>
      <c r="G159" s="155" t="n">
        <f aca="false">VLOOKUP(C159,$C$133:$J$157,8,0)</f>
        <v>1</v>
      </c>
      <c r="H159" s="156" t="n">
        <f aca="false">ROUNDUP((F159*G159)/6400,0)</f>
        <v>1</v>
      </c>
      <c r="I159" s="157"/>
      <c r="J159" s="157"/>
    </row>
    <row r="160" s="96" customFormat="true" ht="15" hidden="false" customHeight="true" outlineLevel="1" collapsed="false">
      <c r="A160" s="158" t="n">
        <f aca="false">IF(B160="","",+A159+1)</f>
        <v>2</v>
      </c>
      <c r="B160" s="153" t="str">
        <f aca="false">B134</f>
        <v>บังใบบน</v>
      </c>
      <c r="C160" s="153" t="str">
        <f aca="false">C134</f>
        <v>DOOR STOP HEAD</v>
      </c>
      <c r="D160" s="154" t="str">
        <f aca="false">VLOOKUP(C160,$C$133:$H$157,2,0)</f>
        <v>B24002</v>
      </c>
      <c r="E160" s="155" t="n">
        <f aca="false">VLOOKUP(C160,$C$133:$H$157,3,0)</f>
        <v>0.278</v>
      </c>
      <c r="F160" s="155" t="n">
        <f aca="false">VLOOKUP(C160,$C$133:$I$157,7,0)</f>
        <v>614</v>
      </c>
      <c r="G160" s="155" t="n">
        <f aca="false">VLOOKUP(C160,$C$133:$J$157,8,0)</f>
        <v>1</v>
      </c>
      <c r="H160" s="156" t="n">
        <f aca="false">ROUNDUP((F160*G160)/6400,0)</f>
        <v>1</v>
      </c>
      <c r="I160" s="157"/>
      <c r="J160" s="157"/>
    </row>
    <row r="161" s="96" customFormat="true" ht="15" hidden="false" customHeight="true" outlineLevel="1" collapsed="false">
      <c r="A161" s="158" t="n">
        <f aca="false">IF(B161="","",+A160+1)</f>
        <v>3</v>
      </c>
      <c r="B161" s="153" t="str">
        <f aca="false">B135</f>
        <v>เฟรมล่าง </v>
      </c>
      <c r="C161" s="153" t="str">
        <f aca="false">C135</f>
        <v>SILL</v>
      </c>
      <c r="D161" s="154" t="str">
        <f aca="false">VLOOKUP(C161,$C$133:$H$157,2,0)</f>
        <v>B24003</v>
      </c>
      <c r="E161" s="155" t="n">
        <f aca="false">VLOOKUP(C161,$C$133:$H$157,3,0)</f>
        <v>1.603</v>
      </c>
      <c r="F161" s="155" t="n">
        <f aca="false">VLOOKUP(C161,$C$133:$I$157,7,0)</f>
        <v>640</v>
      </c>
      <c r="G161" s="155" t="n">
        <f aca="false">VLOOKUP(C161,$C$133:$J$157,8,0)</f>
        <v>1</v>
      </c>
      <c r="H161" s="156" t="n">
        <f aca="false">ROUNDUP((F161*G161)/6400,0)</f>
        <v>1</v>
      </c>
      <c r="I161" s="157"/>
      <c r="J161" s="157"/>
    </row>
    <row r="162" s="96" customFormat="true" ht="15" hidden="false" customHeight="true" outlineLevel="1" collapsed="false">
      <c r="A162" s="158" t="n">
        <f aca="false">IF(B162="","",+A161+1)</f>
        <v>4</v>
      </c>
      <c r="B162" s="153" t="str">
        <f aca="false">B136</f>
        <v>ตัวตับธรณี</v>
      </c>
      <c r="C162" s="153" t="str">
        <f aca="false">C136</f>
        <v>DOOR STOP SILL</v>
      </c>
      <c r="D162" s="154" t="str">
        <f aca="false">VLOOKUP(C162,$C$133:$H$157,2,0)</f>
        <v>B24004</v>
      </c>
      <c r="E162" s="155" t="n">
        <f aca="false">VLOOKUP(C162,$C$133:$H$157,3,0)</f>
        <v>0.516</v>
      </c>
      <c r="F162" s="155" t="n">
        <f aca="false">VLOOKUP(C162,$C$133:$I$157,7,0)</f>
        <v>640</v>
      </c>
      <c r="G162" s="155" t="n">
        <f aca="false">VLOOKUP(C162,$C$133:$J$157,8,0)</f>
        <v>1</v>
      </c>
      <c r="H162" s="156" t="n">
        <f aca="false">ROUNDUP((F162*G162)/6400,0)</f>
        <v>1</v>
      </c>
      <c r="I162" s="157"/>
      <c r="J162" s="157"/>
    </row>
    <row r="163" s="96" customFormat="true" ht="15" hidden="false" customHeight="true" outlineLevel="1" collapsed="false">
      <c r="A163" s="158" t="n">
        <f aca="false">IF(B163="","",+A162+1)</f>
        <v>5</v>
      </c>
      <c r="B163" s="153" t="str">
        <f aca="false">B137</f>
        <v>เฟรมข้าง (ซ้าย)</v>
      </c>
      <c r="C163" s="153" t="str">
        <f aca="false">C137</f>
        <v>JAMB (L)</v>
      </c>
      <c r="D163" s="159" t="str">
        <f aca="false">VLOOKUP(C163,$C$133:$H$157,2,0)</f>
        <v>B24005</v>
      </c>
      <c r="E163" s="155" t="n">
        <f aca="false">VLOOKUP(C163,$C$133:$H$157,3,0)</f>
        <v>0.893</v>
      </c>
      <c r="F163" s="155" t="n">
        <f aca="false">VLOOKUP(C163,$C$133:$I$157,7,0)</f>
        <v>500</v>
      </c>
      <c r="G163" s="155" t="n">
        <f aca="false">VLOOKUP(C163,$C$133:$J$157,8,0)</f>
        <v>1</v>
      </c>
      <c r="H163" s="160" t="n">
        <f aca="false">ROUNDUP(((F163*G163)+(F164*G164))/6400,0)</f>
        <v>1</v>
      </c>
      <c r="I163" s="161"/>
      <c r="J163" s="161"/>
    </row>
    <row r="164" s="96" customFormat="true" ht="15" hidden="false" customHeight="true" outlineLevel="1" collapsed="false">
      <c r="A164" s="158" t="n">
        <f aca="false">IF(B164="","",+A163+1)</f>
        <v>6</v>
      </c>
      <c r="B164" s="153" t="str">
        <f aca="false">B138</f>
        <v>เฟรมข้าง (ขวา)</v>
      </c>
      <c r="C164" s="153" t="str">
        <f aca="false">C138</f>
        <v>JAMB (R)</v>
      </c>
      <c r="D164" s="159"/>
      <c r="E164" s="155" t="n">
        <f aca="false">VLOOKUP(C164,$C$133:$H$157,3,0)</f>
        <v>0.893</v>
      </c>
      <c r="F164" s="155" t="n">
        <f aca="false">VLOOKUP(C164,$C$133:$I$157,7,0)</f>
        <v>500</v>
      </c>
      <c r="G164" s="155" t="n">
        <f aca="false">VLOOKUP(C164,$C$133:$J$157,8,0)</f>
        <v>1</v>
      </c>
      <c r="H164" s="160"/>
      <c r="I164" s="161"/>
      <c r="J164" s="161"/>
    </row>
    <row r="165" s="96" customFormat="true" ht="15" hidden="false" customHeight="true" outlineLevel="1" collapsed="false">
      <c r="A165" s="158" t="n">
        <f aca="false">IF(B165="","",+A164+1)</f>
        <v>7</v>
      </c>
      <c r="B165" s="153" t="str">
        <f aca="false">B139</f>
        <v>บังใบข้าง (ซ้าย)</v>
      </c>
      <c r="C165" s="153" t="str">
        <f aca="false">C139</f>
        <v>DOOR STOP JAMB (L)</v>
      </c>
      <c r="D165" s="159" t="str">
        <f aca="false">VLOOKUP(C165,$C$133:$H$157,2,0)</f>
        <v>B24006</v>
      </c>
      <c r="E165" s="155" t="n">
        <f aca="false">VLOOKUP(C165,$C$133:$H$157,3,0)</f>
        <v>0.235</v>
      </c>
      <c r="F165" s="155" t="n">
        <f aca="false">VLOOKUP(C165,$C$133:$I$157,7,0)</f>
        <v>404</v>
      </c>
      <c r="G165" s="155" t="n">
        <f aca="false">VLOOKUP(C165,$C$133:$J$157,8,0)</f>
        <v>1</v>
      </c>
      <c r="H165" s="160" t="n">
        <f aca="false">ROUNDUP(((F165*G165)+(F166*G166))/6400,0)</f>
        <v>1</v>
      </c>
      <c r="I165" s="157"/>
      <c r="J165" s="157"/>
    </row>
    <row r="166" s="96" customFormat="true" ht="15" hidden="false" customHeight="true" outlineLevel="1" collapsed="false">
      <c r="A166" s="158" t="n">
        <f aca="false">IF(B166="","",+A165+1)</f>
        <v>8</v>
      </c>
      <c r="B166" s="153" t="str">
        <f aca="false">B140</f>
        <v>บังใบข้าง (ขวา)</v>
      </c>
      <c r="C166" s="153" t="str">
        <f aca="false">C140</f>
        <v>DOOR STOP JAMB (R)</v>
      </c>
      <c r="D166" s="159"/>
      <c r="E166" s="155" t="n">
        <f aca="false">VLOOKUP(C166,$C$133:$H$157,3,0)</f>
        <v>0.235</v>
      </c>
      <c r="F166" s="155" t="n">
        <f aca="false">VLOOKUP(C166,$C$133:$I$157,7,0)</f>
        <v>404</v>
      </c>
      <c r="G166" s="155" t="n">
        <f aca="false">VLOOKUP(C166,$C$133:$J$157,8,0)</f>
        <v>1</v>
      </c>
      <c r="H166" s="160"/>
      <c r="I166" s="162"/>
      <c r="J166" s="162"/>
    </row>
    <row r="167" s="96" customFormat="true" ht="13.5" hidden="false" customHeight="true" outlineLevel="1" collapsed="false">
      <c r="A167" s="158" t="n">
        <f aca="false">IF(B167="","",+A166+1)</f>
        <v>9</v>
      </c>
      <c r="B167" s="153" t="str">
        <f aca="false">B141</f>
        <v>ขวางบน</v>
      </c>
      <c r="C167" s="153" t="str">
        <f aca="false">C141</f>
        <v>SASH (Hor) (T)</v>
      </c>
      <c r="D167" s="159" t="str">
        <f aca="false">VLOOKUP(C167,$C$133:$H$157,2,0)</f>
        <v>B24007</v>
      </c>
      <c r="E167" s="155" t="n">
        <f aca="false">VLOOKUP(C167,$C$133:$H$157,3,0)</f>
        <v>1.106</v>
      </c>
      <c r="F167" s="155" t="n">
        <f aca="false">VLOOKUP(C167,$C$133:$I$157,7,0)</f>
        <v>314</v>
      </c>
      <c r="G167" s="155" t="n">
        <f aca="false">VLOOKUP(C167,$C$133:$J$157,8,0)</f>
        <v>2</v>
      </c>
      <c r="H167" s="160" t="n">
        <f aca="false">ROUNDUP(((F167*G167)+(F168*G168)+(F169*G169)+(F170*G170))/6400,0)</f>
        <v>1</v>
      </c>
      <c r="I167" s="162"/>
      <c r="J167" s="162"/>
    </row>
    <row r="168" s="96" customFormat="true" ht="13.5" hidden="false" customHeight="true" outlineLevel="1" collapsed="false">
      <c r="A168" s="158" t="n">
        <f aca="false">IF(B168="","",+A167+1)</f>
        <v>10</v>
      </c>
      <c r="B168" s="153" t="str">
        <f aca="false">B142</f>
        <v>ขวางล่าง</v>
      </c>
      <c r="C168" s="153" t="str">
        <f aca="false">C142</f>
        <v>SASH (Hor) (B)</v>
      </c>
      <c r="D168" s="159"/>
      <c r="E168" s="155" t="n">
        <f aca="false">VLOOKUP(C168,$C$133:$H$157,3,0)</f>
        <v>1.106</v>
      </c>
      <c r="F168" s="155" t="n">
        <f aca="false">VLOOKUP(C168,$C$133:$I$157,7,0)</f>
        <v>314</v>
      </c>
      <c r="G168" s="155" t="n">
        <f aca="false">VLOOKUP(C168,$C$133:$J$157,8,0)</f>
        <v>2</v>
      </c>
      <c r="H168" s="160"/>
      <c r="I168" s="162"/>
      <c r="J168" s="162"/>
    </row>
    <row r="169" s="96" customFormat="true" ht="13.5" hidden="false" customHeight="true" outlineLevel="1" collapsed="false">
      <c r="A169" s="158" t="n">
        <f aca="false">IF(B169="","",+A168+1)</f>
        <v>11</v>
      </c>
      <c r="B169" s="153" t="str">
        <f aca="false">B143</f>
        <v>เสา</v>
      </c>
      <c r="C169" s="153" t="str">
        <f aca="false">C143</f>
        <v>SASH (Ver) </v>
      </c>
      <c r="D169" s="159"/>
      <c r="E169" s="155" t="n">
        <f aca="false">VLOOKUP(C169,$C$133:$H$157,3,0)</f>
        <v>1.106</v>
      </c>
      <c r="F169" s="155" t="n">
        <f aca="false">VLOOKUP(C169,$C$133:$I$157,7,0)</f>
        <v>408</v>
      </c>
      <c r="G169" s="155" t="n">
        <f aca="false">VLOOKUP(C169,$C$133:$J$157,8,0)</f>
        <v>3</v>
      </c>
      <c r="H169" s="160"/>
      <c r="I169" s="162"/>
      <c r="J169" s="162"/>
    </row>
    <row r="170" s="96" customFormat="true" ht="13.5" hidden="false" customHeight="true" outlineLevel="1" collapsed="false">
      <c r="A170" s="158" t="n">
        <f aca="false">IF(B170="","",+A169+1)</f>
        <v>12</v>
      </c>
      <c r="B170" s="153" t="str">
        <f aca="false">B144</f>
        <v>เสากุญแจ</v>
      </c>
      <c r="C170" s="153" t="str">
        <f aca="false">C144</f>
        <v>SASH (Ver) LOCK </v>
      </c>
      <c r="D170" s="159"/>
      <c r="E170" s="155" t="n">
        <f aca="false">VLOOKUP(C170,$C$133:$H$157,3,0)</f>
        <v>1.106</v>
      </c>
      <c r="F170" s="155" t="n">
        <f aca="false">VLOOKUP(C170,$C$133:$I$157,7,0)</f>
        <v>408</v>
      </c>
      <c r="G170" s="155" t="n">
        <f aca="false">VLOOKUP(C170,$C$133:$J$157,8,0)</f>
        <v>1</v>
      </c>
      <c r="H170" s="160"/>
      <c r="I170" s="162"/>
      <c r="J170" s="162"/>
    </row>
    <row r="171" s="96" customFormat="true" ht="13.5" hidden="false" customHeight="true" outlineLevel="1" collapsed="false">
      <c r="A171" s="158" t="n">
        <f aca="false">IF(B171="","",+A170+1)</f>
        <v>13</v>
      </c>
      <c r="B171" s="153" t="str">
        <f aca="false">B145</f>
        <v>5-6mm คิ้วตบกระจกแนวนอน</v>
      </c>
      <c r="C171" s="153" t="str">
        <f aca="false">C145</f>
        <v>5-6mm GLAZING BEAD HORIZONTAL</v>
      </c>
      <c r="D171" s="163" t="str">
        <f aca="false">VLOOKUP(C171,$C$133:$H$157,2,0)</f>
        <v>B24008</v>
      </c>
      <c r="E171" s="155" t="n">
        <f aca="false">VLOOKUP(C171,$C$133:$H$157,3,0)</f>
        <v>0.231</v>
      </c>
      <c r="F171" s="155" t="n">
        <f aca="false">VLOOKUP(C171,$C$133:$I$157,7,0)</f>
        <v>202.375</v>
      </c>
      <c r="G171" s="155" t="n">
        <f aca="false">VLOOKUP(C171,$C$133:$J$157,8,0)</f>
        <v>4</v>
      </c>
      <c r="H171" s="164" t="n">
        <f aca="false">ROUNDUP(((F171*G171)+(F172*G172))/6400,0)</f>
        <v>1</v>
      </c>
      <c r="I171" s="162"/>
      <c r="J171" s="162"/>
    </row>
    <row r="172" s="96" customFormat="true" ht="14.25" hidden="false" customHeight="false" outlineLevel="1" collapsed="false">
      <c r="A172" s="158" t="n">
        <f aca="false">IF(B172="","",+A171+1)</f>
        <v>14</v>
      </c>
      <c r="B172" s="153" t="str">
        <f aca="false">B146</f>
        <v>5-6mm คิ้วตบกระจกแนวตั้ง</v>
      </c>
      <c r="C172" s="153" t="str">
        <f aca="false">C146</f>
        <v>5-6mm GLAZING BEAD VERTICAL</v>
      </c>
      <c r="D172" s="163"/>
      <c r="E172" s="155" t="n">
        <f aca="false">VLOOKUP(C172,$C$133:$H$157,3,0)</f>
        <v>0.231</v>
      </c>
      <c r="F172" s="155" t="n">
        <f aca="false">VLOOKUP(C172,$C$133:$I$157,7,0)</f>
        <v>258</v>
      </c>
      <c r="G172" s="155" t="n">
        <f aca="false">VLOOKUP(C172,$C$133:$J$157,8,0)</f>
        <v>4</v>
      </c>
      <c r="H172" s="164"/>
      <c r="I172" s="157"/>
      <c r="J172" s="157"/>
    </row>
    <row r="173" s="96" customFormat="true" ht="24.75" hidden="false" customHeight="true" outlineLevel="0" collapsed="false">
      <c r="A173" s="113" t="s">
        <v>396</v>
      </c>
      <c r="B173" s="113"/>
      <c r="C173" s="113"/>
      <c r="D173" s="113"/>
      <c r="E173" s="113"/>
      <c r="F173" s="113"/>
      <c r="G173" s="113"/>
      <c r="H173" s="113"/>
      <c r="I173" s="113"/>
      <c r="J173" s="113"/>
    </row>
    <row r="174" s="96" customFormat="true" ht="34.5" hidden="false" customHeight="true" outlineLevel="0" collapsed="false">
      <c r="A174" s="114" t="s">
        <v>319</v>
      </c>
      <c r="B174" s="115" t="s">
        <v>320</v>
      </c>
      <c r="C174" s="115" t="s">
        <v>168</v>
      </c>
      <c r="D174" s="115" t="s">
        <v>397</v>
      </c>
      <c r="E174" s="115" t="s">
        <v>321</v>
      </c>
      <c r="F174" s="116" t="s">
        <v>398</v>
      </c>
      <c r="G174" s="115" t="s">
        <v>399</v>
      </c>
      <c r="H174" s="116" t="s">
        <v>400</v>
      </c>
      <c r="I174" s="116" t="s">
        <v>401</v>
      </c>
      <c r="J174" s="117" t="s">
        <v>402</v>
      </c>
      <c r="N174" s="107" t="s">
        <v>288</v>
      </c>
      <c r="O174" s="165" t="s">
        <v>320</v>
      </c>
      <c r="P174" s="165" t="s">
        <v>168</v>
      </c>
      <c r="Q174" s="165" t="s">
        <v>397</v>
      </c>
      <c r="R174" s="165" t="s">
        <v>321</v>
      </c>
      <c r="S174" s="165" t="s">
        <v>398</v>
      </c>
      <c r="T174" s="165" t="s">
        <v>399</v>
      </c>
      <c r="U174" s="165" t="s">
        <v>400</v>
      </c>
      <c r="V174" s="165" t="s">
        <v>401</v>
      </c>
      <c r="W174" s="165" t="s">
        <v>402</v>
      </c>
    </row>
    <row r="175" s="96" customFormat="true" ht="18" hidden="false" customHeight="true" outlineLevel="0" collapsed="false">
      <c r="A175" s="166" t="n">
        <f aca="false">IF(B175="","",1)</f>
        <v>1</v>
      </c>
      <c r="B175" s="131" t="s">
        <v>403</v>
      </c>
      <c r="C175" s="131" t="s">
        <v>404</v>
      </c>
      <c r="D175" s="132" t="s">
        <v>276</v>
      </c>
      <c r="E175" s="130"/>
      <c r="F175" s="130" t="s">
        <v>276</v>
      </c>
      <c r="G175" s="167" t="s">
        <v>405</v>
      </c>
      <c r="H175" s="130" t="n">
        <v>1</v>
      </c>
      <c r="I175" s="133"/>
      <c r="J175" s="134" t="n">
        <f aca="false">$J$120*H175</f>
        <v>1</v>
      </c>
      <c r="N175" s="107" t="s">
        <v>406</v>
      </c>
      <c r="O175" s="55" t="s">
        <v>407</v>
      </c>
      <c r="P175" s="62" t="s">
        <v>408</v>
      </c>
      <c r="Q175" s="55" t="s">
        <v>227</v>
      </c>
      <c r="R175" s="158"/>
      <c r="S175" s="158" t="s">
        <v>227</v>
      </c>
      <c r="T175" s="158" t="s">
        <v>409</v>
      </c>
      <c r="U175" s="168" t="n">
        <f aca="false">((($I$141*$G$141)+($I$142*$G$142)+($I$143*$G$143)+($I$144*$G$144))/1000)*$J$120</f>
        <v>2.888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2</v>
      </c>
      <c r="B176" s="131" t="s">
        <v>410</v>
      </c>
      <c r="C176" s="131" t="s">
        <v>411</v>
      </c>
      <c r="D176" s="132" t="s">
        <v>267</v>
      </c>
      <c r="E176" s="130"/>
      <c r="F176" s="130" t="s">
        <v>267</v>
      </c>
      <c r="G176" s="130" t="s">
        <v>405</v>
      </c>
      <c r="H176" s="130" t="n">
        <v>4</v>
      </c>
      <c r="I176" s="133"/>
      <c r="J176" s="134" t="n">
        <f aca="false">$J$120*H176</f>
        <v>4</v>
      </c>
      <c r="N176" s="107" t="s">
        <v>412</v>
      </c>
      <c r="O176" s="55" t="s">
        <v>413</v>
      </c>
      <c r="P176" s="62" t="s">
        <v>414</v>
      </c>
      <c r="Q176" s="55" t="s">
        <v>234</v>
      </c>
      <c r="R176" s="158"/>
      <c r="S176" s="158" t="s">
        <v>234</v>
      </c>
      <c r="T176" s="158" t="s">
        <v>409</v>
      </c>
      <c r="U176" s="168" t="n">
        <f aca="false">((($I$141*$G$141)+($I$142*$G$142)+($I$143*$G$143)+($I$144*$G$144))/1000)*$J$120</f>
        <v>2.888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3</v>
      </c>
      <c r="B177" s="131" t="s">
        <v>415</v>
      </c>
      <c r="C177" s="131" t="s">
        <v>416</v>
      </c>
      <c r="D177" s="132" t="s">
        <v>222</v>
      </c>
      <c r="E177" s="130"/>
      <c r="F177" s="130" t="s">
        <v>222</v>
      </c>
      <c r="G177" s="130" t="s">
        <v>405</v>
      </c>
      <c r="H177" s="130" t="n">
        <v>2</v>
      </c>
      <c r="I177" s="133"/>
      <c r="J177" s="134" t="n">
        <f aca="false">$J$120*H177</f>
        <v>2</v>
      </c>
      <c r="N177" s="107" t="s">
        <v>417</v>
      </c>
      <c r="O177" s="62" t="s">
        <v>418</v>
      </c>
      <c r="P177" s="62" t="s">
        <v>419</v>
      </c>
      <c r="Q177" s="55" t="s">
        <v>236</v>
      </c>
      <c r="R177" s="158"/>
      <c r="S177" s="158" t="s">
        <v>236</v>
      </c>
      <c r="T177" s="158" t="s">
        <v>409</v>
      </c>
      <c r="U177" s="168" t="n">
        <f aca="false">((($I$141*$G$141)+($I$142*$G$142)+($I$143*$G$143)+($I$144*$G$144))/1000)*$J$120</f>
        <v>2.888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4</v>
      </c>
      <c r="B178" s="131" t="s">
        <v>420</v>
      </c>
      <c r="C178" s="131" t="s">
        <v>421</v>
      </c>
      <c r="D178" s="132" t="s">
        <v>225</v>
      </c>
      <c r="E178" s="130"/>
      <c r="F178" s="130" t="s">
        <v>225</v>
      </c>
      <c r="G178" s="130" t="s">
        <v>405</v>
      </c>
      <c r="H178" s="130" t="n">
        <v>2</v>
      </c>
      <c r="I178" s="133"/>
      <c r="J178" s="134" t="n">
        <f aca="false">$J$120*H178</f>
        <v>2</v>
      </c>
      <c r="N178" s="107" t="s">
        <v>422</v>
      </c>
      <c r="O178" s="62" t="s">
        <v>423</v>
      </c>
      <c r="P178" s="62" t="s">
        <v>424</v>
      </c>
      <c r="Q178" s="55" t="s">
        <v>238</v>
      </c>
      <c r="R178" s="158"/>
      <c r="S178" s="158" t="s">
        <v>238</v>
      </c>
      <c r="T178" s="158" t="s">
        <v>409</v>
      </c>
      <c r="U178" s="168" t="n">
        <f aca="false">((($I$141*$G$141)+($I$142*$G$142)+($I$143*$G$143)+($I$144*$G$144))/1000)*$J$120</f>
        <v>2.888</v>
      </c>
      <c r="V178" s="168" t="n">
        <v>100</v>
      </c>
      <c r="W178" s="169" t="n">
        <f aca="false">ROUNDUP((U178)/100,0)</f>
        <v>1</v>
      </c>
    </row>
    <row r="179" s="96" customFormat="true" ht="18" hidden="false" customHeight="true" outlineLevel="0" collapsed="false">
      <c r="A179" s="170" t="n">
        <f aca="false">IF(B179="","",+A178+1)</f>
        <v>5</v>
      </c>
      <c r="B179" s="131" t="s">
        <v>425</v>
      </c>
      <c r="C179" s="131" t="s">
        <v>426</v>
      </c>
      <c r="D179" s="132" t="n">
        <v>9</v>
      </c>
      <c r="E179" s="130"/>
      <c r="F179" s="130" t="n">
        <v>9</v>
      </c>
      <c r="G179" s="130" t="s">
        <v>405</v>
      </c>
      <c r="H179" s="130" t="n">
        <v>16</v>
      </c>
      <c r="I179" s="133"/>
      <c r="J179" s="134" t="n">
        <f aca="false">$J$120*H179</f>
        <v>16</v>
      </c>
      <c r="N179" s="107" t="s">
        <v>427</v>
      </c>
      <c r="O179" s="62" t="s">
        <v>428</v>
      </c>
      <c r="P179" s="62" t="s">
        <v>429</v>
      </c>
      <c r="Q179" s="55" t="s">
        <v>240</v>
      </c>
      <c r="R179" s="158"/>
      <c r="S179" s="158" t="s">
        <v>240</v>
      </c>
      <c r="T179" s="158" t="s">
        <v>409</v>
      </c>
      <c r="U179" s="168" t="n">
        <f aca="false">((($I$141*$G$141)+($I$142*$G$142)+($I$143*$G$143)+($I$144*$G$144))/1000)*$J$120</f>
        <v>2.888</v>
      </c>
      <c r="V179" s="168" t="n">
        <v>100</v>
      </c>
      <c r="W179" s="169" t="n">
        <f aca="false">ROUNDUP((U179)/100,0)</f>
        <v>1</v>
      </c>
    </row>
    <row r="180" s="96" customFormat="true" ht="18" hidden="false" customHeight="true" outlineLevel="0" collapsed="false">
      <c r="A180" s="170" t="n">
        <f aca="false">IF(B180="","",+A179+1)</f>
        <v>6</v>
      </c>
      <c r="B180" s="131" t="s">
        <v>430</v>
      </c>
      <c r="C180" s="131" t="s">
        <v>431</v>
      </c>
      <c r="D180" s="132" t="n">
        <v>9</v>
      </c>
      <c r="E180" s="130"/>
      <c r="F180" s="130" t="n">
        <v>9</v>
      </c>
      <c r="G180" s="130" t="s">
        <v>405</v>
      </c>
      <c r="H180" s="130" t="n">
        <v>32</v>
      </c>
      <c r="I180" s="133"/>
      <c r="J180" s="134" t="n">
        <f aca="false">$J$120*H180</f>
        <v>32</v>
      </c>
    </row>
    <row r="181" s="96" customFormat="true" ht="18" hidden="false" customHeight="true" outlineLevel="0" collapsed="false">
      <c r="A181" s="170" t="n">
        <f aca="false">IF(B181="","",+A180+1)</f>
        <v>7</v>
      </c>
      <c r="B181" s="131" t="s">
        <v>432</v>
      </c>
      <c r="C181" s="131" t="s">
        <v>433</v>
      </c>
      <c r="D181" s="132" t="s">
        <v>6</v>
      </c>
      <c r="E181" s="130"/>
      <c r="F181" s="171" t="s">
        <v>6</v>
      </c>
      <c r="G181" s="171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8</v>
      </c>
      <c r="B182" s="131" t="s">
        <v>435</v>
      </c>
      <c r="C182" s="131" t="s">
        <v>436</v>
      </c>
      <c r="D182" s="132" t="s">
        <v>9</v>
      </c>
      <c r="E182" s="130"/>
      <c r="F182" s="171" t="s">
        <v>9</v>
      </c>
      <c r="G182" s="171" t="s">
        <v>434</v>
      </c>
      <c r="H182" s="130" t="n">
        <v>1</v>
      </c>
      <c r="I182" s="133"/>
      <c r="J182" s="134" t="n">
        <f aca="false">$J$120*H182</f>
        <v>1</v>
      </c>
    </row>
    <row r="183" s="96" customFormat="true" ht="18" hidden="false" customHeight="true" outlineLevel="0" collapsed="false">
      <c r="A183" s="170" t="n">
        <f aca="false">IF(B183="","",+A182+1)</f>
        <v>9</v>
      </c>
      <c r="B183" s="131" t="s">
        <v>437</v>
      </c>
      <c r="C183" s="131" t="s">
        <v>438</v>
      </c>
      <c r="D183" s="132" t="s">
        <v>4</v>
      </c>
      <c r="E183" s="130"/>
      <c r="F183" s="171" t="s">
        <v>4</v>
      </c>
      <c r="G183" s="171" t="s">
        <v>434</v>
      </c>
      <c r="H183" s="130" t="n">
        <v>1</v>
      </c>
      <c r="I183" s="133"/>
      <c r="J183" s="134" t="n">
        <f aca="false">$J$120*H183</f>
        <v>1</v>
      </c>
    </row>
    <row r="184" s="96" customFormat="true" ht="18" hidden="false" customHeight="true" outlineLevel="0" collapsed="false">
      <c r="A184" s="170" t="n">
        <f aca="false">IF(B184="","",+A183+1)</f>
        <v>10</v>
      </c>
      <c r="B184" s="131" t="s">
        <v>439</v>
      </c>
      <c r="C184" s="131" t="s">
        <v>440</v>
      </c>
      <c r="D184" s="132" t="s">
        <v>12</v>
      </c>
      <c r="E184" s="130"/>
      <c r="F184" s="171" t="s">
        <v>12</v>
      </c>
      <c r="G184" s="171" t="s">
        <v>434</v>
      </c>
      <c r="H184" s="130" t="n">
        <v>1</v>
      </c>
      <c r="I184" s="133"/>
      <c r="J184" s="134" t="n">
        <f aca="false">$J$120*H184</f>
        <v>1</v>
      </c>
      <c r="Q184" s="172"/>
      <c r="R184" s="172"/>
      <c r="S184" s="172"/>
      <c r="T184" s="97"/>
      <c r="U184" s="97"/>
      <c r="V184" s="97"/>
    </row>
    <row r="185" s="96" customFormat="true" ht="18" hidden="false" customHeight="true" outlineLevel="0" collapsed="false">
      <c r="A185" s="170" t="n">
        <f aca="false">IF(B185="","",+A184+1)</f>
        <v>11</v>
      </c>
      <c r="B185" s="131" t="s">
        <v>441</v>
      </c>
      <c r="C185" s="131" t="s">
        <v>442</v>
      </c>
      <c r="D185" s="132" t="s">
        <v>274</v>
      </c>
      <c r="E185" s="130"/>
      <c r="F185" s="130" t="s">
        <v>274</v>
      </c>
      <c r="G185" s="130" t="s">
        <v>405</v>
      </c>
      <c r="H185" s="130" t="n">
        <v>2</v>
      </c>
      <c r="I185" s="142"/>
      <c r="J185" s="134" t="n">
        <f aca="false">$J$120*H185</f>
        <v>2</v>
      </c>
      <c r="N185" s="107" t="s">
        <v>289</v>
      </c>
      <c r="O185" s="165" t="s">
        <v>320</v>
      </c>
      <c r="P185" s="165" t="s">
        <v>168</v>
      </c>
      <c r="Q185" s="165" t="s">
        <v>397</v>
      </c>
      <c r="R185" s="165" t="s">
        <v>321</v>
      </c>
      <c r="S185" s="165" t="s">
        <v>398</v>
      </c>
      <c r="T185" s="165" t="s">
        <v>399</v>
      </c>
      <c r="U185" s="165" t="s">
        <v>400</v>
      </c>
      <c r="V185" s="165" t="s">
        <v>401</v>
      </c>
      <c r="W185" s="165" t="s">
        <v>402</v>
      </c>
    </row>
    <row r="186" s="96" customFormat="true" ht="18" hidden="false" customHeight="true" outlineLevel="0" collapsed="false">
      <c r="A186" s="170" t="n">
        <f aca="false">IF(B186="","",+A185+1)</f>
        <v>12</v>
      </c>
      <c r="B186" s="131" t="s">
        <v>443</v>
      </c>
      <c r="C186" s="131" t="s">
        <v>444</v>
      </c>
      <c r="D186" s="132" t="s">
        <v>272</v>
      </c>
      <c r="E186" s="130"/>
      <c r="F186" s="130" t="s">
        <v>272</v>
      </c>
      <c r="G186" s="130" t="s">
        <v>405</v>
      </c>
      <c r="H186" s="130" t="n">
        <v>1</v>
      </c>
      <c r="I186" s="142"/>
      <c r="J186" s="134" t="n">
        <f aca="false">$J$120*H186</f>
        <v>1</v>
      </c>
      <c r="N186" s="107" t="s">
        <v>445</v>
      </c>
      <c r="O186" s="62" t="s">
        <v>446</v>
      </c>
      <c r="P186" s="62" t="s">
        <v>447</v>
      </c>
      <c r="Q186" s="55" t="s">
        <v>230</v>
      </c>
      <c r="R186" s="158"/>
      <c r="S186" s="158" t="s">
        <v>230</v>
      </c>
      <c r="T186" s="158" t="s">
        <v>409</v>
      </c>
      <c r="U186" s="168" t="n">
        <f aca="false">((($I$134*$G$134)+($I$136*$G$136)+($I$139*$G$139))/1000)*$J$120</f>
        <v>1.658</v>
      </c>
      <c r="V186" s="168" t="n">
        <v>300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str">
        <f aca="false">IF(B187="","",+A186+1)</f>
        <v/>
      </c>
      <c r="B187" s="132" t="n">
        <f aca="false">IF($D$129="Standard",O186,IF($D$129="Soumdproof",O187,))</f>
        <v>0</v>
      </c>
      <c r="C187" s="132" t="n">
        <f aca="false">IF($D$129="Standard",P186,IF($D$129="Soumdproof",P187,))</f>
        <v>0</v>
      </c>
      <c r="D187" s="132" t="n">
        <f aca="false">IF($D$129="Standard",Q186,IF($D$129="Soumdproof",Q187,))</f>
        <v>0</v>
      </c>
      <c r="E187" s="130" t="n">
        <f aca="false">IF($D$129="Standard",R186,IF($D$129="Soumdproof",R187,))</f>
        <v>0</v>
      </c>
      <c r="F187" s="130" t="n">
        <f aca="false">IF($D$129="Standard",S186,IF($D$129="Soumdproof",S187,))</f>
        <v>0</v>
      </c>
      <c r="G187" s="130" t="n">
        <f aca="false">IF($D$129="Standard",T186,IF($D$129="Soumdproof",T187,))</f>
        <v>0</v>
      </c>
      <c r="H187" s="173" t="n">
        <f aca="false">IF($D$129="Standard",U186,IF($D$129="Soumdproof",U187,))</f>
        <v>0</v>
      </c>
      <c r="I187" s="174" t="n">
        <f aca="false">IF($D$129="Standard",V186,IF($D$129="Soumdproof",V187,))</f>
        <v>0</v>
      </c>
      <c r="J187" s="175" t="n">
        <f aca="false">ROUNDUP((H187)/100,0)</f>
        <v>0</v>
      </c>
      <c r="N187" s="107" t="s">
        <v>448</v>
      </c>
      <c r="O187" s="62" t="s">
        <v>449</v>
      </c>
      <c r="P187" s="62" t="s">
        <v>450</v>
      </c>
      <c r="Q187" s="55" t="s">
        <v>451</v>
      </c>
      <c r="R187" s="158"/>
      <c r="S187" s="158" t="s">
        <v>451</v>
      </c>
      <c r="T187" s="158" t="s">
        <v>409</v>
      </c>
      <c r="U187" s="168" t="n">
        <f aca="false">((($I$134*$G$134)+($I$136*$G$136)+($I$139*$G$139))/1000)*$J$120</f>
        <v>1.658</v>
      </c>
      <c r="V187" s="168" t="n">
        <v>100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str">
        <f aca="false">IF(B188="","",+A187+1)</f>
        <v/>
      </c>
      <c r="B188" s="132" t="n">
        <f aca="false">IF($D$129="Standard",O188,IF($D$129="Soumdproof",O189,))</f>
        <v>0</v>
      </c>
      <c r="C188" s="132" t="n">
        <f aca="false">IF($D$129="Standard",P188,IF($D$129="Soumdproof",P189,))</f>
        <v>0</v>
      </c>
      <c r="D188" s="132" t="n">
        <f aca="false">IF($D$129="Standard",Q188,IF($D$129="Soumdproof",Q189,))</f>
        <v>0</v>
      </c>
      <c r="E188" s="130" t="n">
        <f aca="false">IF($D$129="Standard",R188,IF($D$129="Soumdproof",R189,))</f>
        <v>0</v>
      </c>
      <c r="F188" s="130" t="n">
        <f aca="false">IF($D$129="Standard",S188,IF($D$129="Soumdproof",S189,))</f>
        <v>0</v>
      </c>
      <c r="G188" s="130" t="n">
        <f aca="false">IF($D$129="Standard",T188,IF($D$129="Soumdproof",T189,))</f>
        <v>0</v>
      </c>
      <c r="H188" s="173" t="n">
        <f aca="false">IF($D$129="Standard",U188,IF($D$129="Soumdproof",U189,))</f>
        <v>0</v>
      </c>
      <c r="I188" s="174" t="n">
        <f aca="false">IF($D$129="Standard",V188,IF($D$129="Soumdproof",V189,))</f>
        <v>0</v>
      </c>
      <c r="J188" s="175" t="n">
        <f aca="false">ROUNDUP((H188)/100,0)</f>
        <v>0</v>
      </c>
      <c r="N188" s="107" t="s">
        <v>445</v>
      </c>
      <c r="O188" s="62" t="s">
        <v>452</v>
      </c>
      <c r="P188" s="62" t="s">
        <v>453</v>
      </c>
      <c r="Q188" s="55" t="s">
        <v>232</v>
      </c>
      <c r="R188" s="158"/>
      <c r="S188" s="158" t="s">
        <v>232</v>
      </c>
      <c r="T188" s="158" t="s">
        <v>409</v>
      </c>
      <c r="U188" s="168" t="n">
        <f aca="false">((($I$143*$G$143*2)+($I$144*$G$144*2)+($I$141*$G$141*2))/1000)*$J$120</f>
        <v>4.52</v>
      </c>
      <c r="V188" s="168" t="n">
        <v>350</v>
      </c>
      <c r="W188" s="169" t="n">
        <f aca="false">ROUNDUP((U188)/V188,0)</f>
        <v>1</v>
      </c>
    </row>
    <row r="189" s="96" customFormat="true" ht="18" hidden="false" customHeight="true" outlineLevel="0" collapsed="false">
      <c r="A189" s="170" t="str">
        <f aca="false">IFERROR(IF(B189="","",+A188+1),"")</f>
        <v/>
      </c>
      <c r="B189" s="176" t="str">
        <f aca="false">IF($D$127=5,$O$177,IF($D$127=6,$O$178,IF($D$127=8,$O$179,IF($D$127=10,$O$177,IF($D$127=12,$O$177,IF($D$127=14,$O$179,IF($D$127=18,$O$177,IF($D$127=20,$O$178,IF($D$127=22,"")))))))))</f>
        <v>6,20 mm ยางอัดกระจก</v>
      </c>
      <c r="C189" s="176" t="str">
        <f aca="false">IF($D$127=5,$P$177,IF($D$127=6,$P$178,IF($D$127=8,$P$179,IF($D$127=10,$P$177,IF($D$127=12,$P$177,IF($D$127=14,$P$179,IF($D$127=18,$P$177,IF($D$127=20,$P$178,IF($D$127=22,"")))))))))</f>
        <v>6,20 mm ROLL IN WEDGE</v>
      </c>
      <c r="D189" s="176" t="str">
        <f aca="false">IF($D$127=5,$Q$177,IF($D$127=6,$Q$178,IF($D$127=8,$Q$179,IF($D$127=10,$Q$177,IF($D$127=12,$Q$177,IF($D$127=14,$Q$179,IF($D$127=18,$Q$177,IF($D$127=20,$Q$178,IF($D$127=22,"")))))))))</f>
        <v>02-034</v>
      </c>
      <c r="E189" s="176" t="n">
        <f aca="false">IF($D$129=5,R177,IF($D$129=6,R178,IF($D$129=8,R179,IF($D$129=10,R177,IF($D$129=12,R177,IF($D$129=14,R179,IF($D$129=18,R177,IF($D$129=20,R178,IF($D$129=22,"",)))))))))</f>
        <v>0</v>
      </c>
      <c r="F189" s="167" t="str">
        <f aca="false">IF($D$127=5,$S$177,IF($D$127=6,$S$178,IF($D$127=8,$S$179,IF($D$127=10,$S$177,IF($D$127=12,$S$177,IF($D$127=14,$S$179,IF($D$127=18,$S$177,IF($D$127=20,$S$178,IF($D$127=22,"")))))))))</f>
        <v>02-034</v>
      </c>
      <c r="G189" s="167" t="str">
        <f aca="false">IF($D$127=5,$T$177,IF($D$127=6,$T$178,IF($D$127=8,$T$179,IF($D$127=10,$T$177,IF($D$127=12,$T$177,IF($D$127=14,$T$179,IF($D$127=18,$T$177,IF($D$127=20,$T$178,IF($D$127=22,"")))))))))</f>
        <v>M</v>
      </c>
      <c r="H189" s="173" t="n">
        <f aca="false">IF($D$127=5,$U$177,IF($D$127=6,$U$178,IF($D$127=8,$U$179,IF($D$127=10,$U$177*2,IF($D$127=12,$U$177,IF($D$127=14,$U$179*2,IF($D$127=18,$U$177,IF($D$127=20,$U$178,IF($D$127=22,"")))))))))</f>
        <v>2.888</v>
      </c>
      <c r="I189" s="174" t="n">
        <f aca="false">IF($D$127=5,$V$177,IF($D$127=6,$V$178,IF($D$127=8,$V$179,IF($D$127=10,$V$177,IF($D$127=12,$V$177,IF($D$127=14,$V$179,IF($D$127=18,$V$177,IF($D$127=20,$V$178,IF($D$127=22,"")))))))))</f>
        <v>100</v>
      </c>
      <c r="J189" s="177" t="n">
        <f aca="false">ROUNDUP((H189)/100,0)</f>
        <v>1</v>
      </c>
      <c r="N189" s="107" t="s">
        <v>448</v>
      </c>
      <c r="O189" s="62" t="s">
        <v>454</v>
      </c>
      <c r="P189" s="62" t="s">
        <v>455</v>
      </c>
      <c r="Q189" s="55" t="s">
        <v>456</v>
      </c>
      <c r="R189" s="158"/>
      <c r="S189" s="158" t="s">
        <v>456</v>
      </c>
      <c r="T189" s="158" t="s">
        <v>409</v>
      </c>
      <c r="U189" s="168" t="n">
        <f aca="false">((($I$143*$G$143*2)+($I$144*$G$144*2)+($I$141*$G$141*2))/1000)*$J$120</f>
        <v>4.52</v>
      </c>
      <c r="V189" s="168" t="n">
        <v>100</v>
      </c>
      <c r="W189" s="169" t="n">
        <f aca="false">ROUNDUP((U189)/V189,0)</f>
        <v>1</v>
      </c>
    </row>
    <row r="190" s="96" customFormat="true" ht="18" hidden="false" customHeight="true" outlineLevel="0" collapsed="false">
      <c r="A190" s="170" t="str">
        <f aca="false">IFERROR(IF(B190="","",+A189+1),"")</f>
        <v/>
      </c>
      <c r="B190" s="176" t="str">
        <f aca="false">IF($D$127=5,$O$175,IF($D$127=6,$O$175,IF($D$127=8,$O$177,IF($D$127=10,"",IF($D$127=12,$O$176,IF($D$127=14,"",IF($D$127=18,$O$175,IF($D$127=20,$O$176,IF($D$127=22,"",)))))))))</f>
        <v>5,6,18 mm ยางรองกระจก</v>
      </c>
      <c r="C190" s="176" t="str">
        <f aca="false">IF($D$127=5,$P$175,IF($D$127=6,$P$175,IF($D$127=8,$P$177,IF($D$127=10,"",IF($D$127=12,$P$176,IF($D$127=14,"",IF($D$127=18,$P$175,IF($D$127=20,$P$176,IF($D$127=22,"",)))))))))</f>
        <v>5,6,18 mm CAPTIVE WEDGE</v>
      </c>
      <c r="D190" s="176" t="str">
        <f aca="false">IF($D$127=5,$Q$175,IF($D$127=6,$Q$175,IF($D$127=8,$Q$177,IF($D$127=10,"",IF($D$127=12,$Q$176,IF($D$127=14,"",IF($D$127=18,$Q$175,IF($D$127=20,$Q$176,IF($D$127=22,"",)))))))))</f>
        <v>02-022</v>
      </c>
      <c r="E190" s="176" t="n">
        <f aca="false">IF($D$129=5,R175,IF($D$129=6,R175,IF($D$129=8,R177,IF($D$129=10,"",IF($D$129=12,R176,IF($D$129=14,"",IF($D$129=18,R175,IF($D$129=20,R176,IF($D$129=22,"",)))))))))</f>
        <v>0</v>
      </c>
      <c r="F190" s="167" t="str">
        <f aca="false">IF($D$127=5,$S$175,IF($D$127=6,$S$175,IF($D$127=8,$S$177,IF($D$127=10,"",IF($D$127=12,$S$176,IF($D$127=14,"",IF($D$127=18,$S$175,IF($D$127=20,$S$176,IF($D$127=22,"",)))))))))</f>
        <v>02-022</v>
      </c>
      <c r="G190" s="167" t="str">
        <f aca="false">IF($D$127=5,$T$175,IF($D$127=6,$T$175,IF($D$127=8,$T$177,IF($D$127=10,"",IF($D$127=12,$T$176,IF($D$127=14,"",IF($D$127=18,$T$175,IF($D$127=20,$T$176,IF($D$127=22,"",)))))))))</f>
        <v>M</v>
      </c>
      <c r="H190" s="173" t="n">
        <f aca="false">IF($D$127=5,$U$175,IF($D$127=6,$U$175,IF($D$127=8,$U$177,IF($D$127=10,"",IF($D$127=12,$U$176,IF($D$127=14,"",IF($D$127=18,$U$175,IF($D$127=20,$U$176,IF($D$127=22,"")))))))))</f>
        <v>2.888</v>
      </c>
      <c r="I190" s="174" t="n">
        <f aca="false">IF($D$127=5,$V$175,IF($D$127=6,$V$175,IF($D$127=8,$V$177,IF($D$127=10,"",IF($D$127=12,$V$176,IF($D$127=14,"",IF($D$127=18,$V$175,IF($D$127=20,$V$176,IF($D$127=22,"",)))))))))</f>
        <v>100</v>
      </c>
      <c r="J190" s="177" t="n">
        <f aca="false">ROUNDUP((H190)/100,0)</f>
        <v>1</v>
      </c>
    </row>
    <row r="191" s="96" customFormat="true" ht="18" hidden="false" customHeight="true" outlineLevel="0" collapsed="false">
      <c r="A191" s="170" t="str">
        <f aca="false">IF(B191="","",+A190+1)</f>
        <v/>
      </c>
      <c r="B191" s="131"/>
      <c r="C191" s="131"/>
      <c r="D191" s="132"/>
      <c r="E191" s="130"/>
      <c r="F191" s="130"/>
      <c r="G191" s="130"/>
      <c r="H191" s="130"/>
      <c r="I191" s="142"/>
      <c r="J191" s="134" t="n">
        <f aca="false">$J$120*H191</f>
        <v>0</v>
      </c>
    </row>
    <row r="192" s="96" customFormat="true" ht="18" hidden="false" customHeight="true" outlineLevel="0" collapsed="false">
      <c r="A192" s="170" t="str">
        <f aca="false">IF(B192="","",+A191+1)</f>
        <v/>
      </c>
      <c r="B192" s="131"/>
      <c r="C192" s="131"/>
      <c r="D192" s="132"/>
      <c r="E192" s="130"/>
      <c r="F192" s="130"/>
      <c r="G192" s="130"/>
      <c r="H192" s="130"/>
      <c r="I192" s="142"/>
      <c r="J192" s="134" t="n">
        <f aca="false">$J$120*H192</f>
        <v>0</v>
      </c>
    </row>
    <row r="193" s="96" customFormat="true" ht="18" hidden="false" customHeight="true" outlineLevel="0" collapsed="false">
      <c r="A193" s="170" t="str">
        <f aca="false">IF(B193="","",+A192+1)</f>
        <v/>
      </c>
      <c r="B193" s="131"/>
      <c r="C193" s="131"/>
      <c r="D193" s="132"/>
      <c r="E193" s="130"/>
      <c r="F193" s="130"/>
      <c r="G193" s="130"/>
      <c r="H193" s="130"/>
      <c r="I193" s="142"/>
      <c r="J193" s="134" t="n">
        <f aca="false">$J$120*H193</f>
        <v>0</v>
      </c>
    </row>
    <row r="194" s="96" customFormat="true" ht="18" hidden="false" customHeight="true" outlineLevel="0" collapsed="false">
      <c r="A194" s="170" t="str">
        <f aca="false">IF(B194="","",+A193+1)</f>
        <v/>
      </c>
      <c r="B194" s="131"/>
      <c r="C194" s="131"/>
      <c r="D194" s="132"/>
      <c r="E194" s="130"/>
      <c r="F194" s="130"/>
      <c r="G194" s="130"/>
      <c r="H194" s="130"/>
      <c r="I194" s="142"/>
      <c r="J194" s="134" t="n">
        <f aca="false">$J$120*H194</f>
        <v>0</v>
      </c>
    </row>
    <row r="195" customFormat="false" ht="18" hidden="false" customHeight="true" outlineLevel="0" collapsed="false">
      <c r="A195" s="170" t="str">
        <f aca="false">IF(B195="","",+A194+1)</f>
        <v/>
      </c>
      <c r="B195" s="131"/>
      <c r="C195" s="131"/>
      <c r="D195" s="132"/>
      <c r="E195" s="130"/>
      <c r="F195" s="130"/>
      <c r="G195" s="130"/>
      <c r="H195" s="130"/>
      <c r="I195" s="142"/>
      <c r="J195" s="134" t="n">
        <f aca="false">$J$120*H195</f>
        <v>0</v>
      </c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30"/>
      <c r="I196" s="142"/>
      <c r="J196" s="134" t="n">
        <f aca="false">$J$120*H196</f>
        <v>0</v>
      </c>
      <c r="N196" s="97"/>
      <c r="O196" s="98"/>
      <c r="P196" s="98"/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42"/>
      <c r="J197" s="134" t="n">
        <f aca="false">$J$120*H197</f>
        <v>0</v>
      </c>
      <c r="N197" s="97"/>
      <c r="O197" s="98"/>
      <c r="P197" s="98"/>
    </row>
    <row r="198" s="96" customFormat="true" ht="18" hidden="false" customHeight="true" outlineLevel="0" collapsed="false">
      <c r="A198" s="170" t="str">
        <f aca="false">IF(B198="","",+""+1)</f>
        <v/>
      </c>
      <c r="B198" s="131"/>
      <c r="C198" s="131"/>
      <c r="D198" s="132"/>
      <c r="E198" s="130"/>
      <c r="F198" s="130"/>
      <c r="G198" s="130"/>
      <c r="H198" s="130"/>
      <c r="I198" s="142"/>
      <c r="J198" s="134" t="n">
        <f aca="false">$J$120*H198</f>
        <v>0</v>
      </c>
      <c r="N198" s="97"/>
      <c r="O198" s="98"/>
      <c r="P198" s="98"/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42"/>
      <c r="J199" s="134" t="n">
        <f aca="false">$J$120*H199</f>
        <v>0</v>
      </c>
      <c r="N199" s="97"/>
      <c r="O199" s="98"/>
      <c r="P199" s="178"/>
    </row>
    <row r="200" s="96" customFormat="true" ht="18" hidden="false" customHeight="true" outlineLevel="0" collapsed="false">
      <c r="A200" s="170"/>
      <c r="B200" s="131"/>
      <c r="C200" s="131"/>
      <c r="D200" s="132"/>
      <c r="E200" s="130"/>
      <c r="F200" s="130"/>
      <c r="G200" s="130"/>
      <c r="H200" s="130"/>
      <c r="I200" s="142"/>
      <c r="J200" s="134"/>
      <c r="N200" s="97"/>
      <c r="O200" s="98"/>
      <c r="P200" s="178"/>
    </row>
    <row r="201" s="96" customFormat="true" ht="18" hidden="false" customHeight="true" outlineLevel="0" collapsed="false">
      <c r="A201" s="170"/>
      <c r="B201" s="131"/>
      <c r="C201" s="131"/>
      <c r="D201" s="132"/>
      <c r="E201" s="130"/>
      <c r="F201" s="130"/>
      <c r="G201" s="130"/>
      <c r="H201" s="130"/>
      <c r="I201" s="142"/>
      <c r="J201" s="134"/>
      <c r="N201" s="97"/>
      <c r="O201" s="98"/>
      <c r="P201" s="178"/>
    </row>
    <row r="202" s="96" customFormat="true" ht="18" hidden="false" customHeight="true" outlineLevel="0" collapsed="false">
      <c r="A202" s="170" t="str">
        <f aca="false">IF(B202="","",+A199+1)</f>
        <v/>
      </c>
      <c r="B202" s="131"/>
      <c r="C202" s="131"/>
      <c r="D202" s="132"/>
      <c r="E202" s="130"/>
      <c r="F202" s="130"/>
      <c r="G202" s="130"/>
      <c r="H202" s="130"/>
      <c r="I202" s="142"/>
      <c r="J202" s="134" t="n">
        <f aca="false">$J$120*H202</f>
        <v>0</v>
      </c>
      <c r="N202" s="97"/>
      <c r="O202" s="98"/>
    </row>
    <row r="203" s="96" customFormat="true" ht="18" hidden="false" customHeight="true" outlineLevel="0" collapsed="false">
      <c r="A203" s="170" t="str">
        <f aca="false">IF(B203="","",+""+1)</f>
        <v/>
      </c>
      <c r="B203" s="131"/>
      <c r="C203" s="131"/>
      <c r="D203" s="132"/>
      <c r="E203" s="130"/>
      <c r="F203" s="130"/>
      <c r="G203" s="130"/>
      <c r="H203" s="130"/>
      <c r="I203" s="142"/>
      <c r="J203" s="134" t="n">
        <f aca="false">$J$120*H203</f>
        <v>0</v>
      </c>
      <c r="N203" s="97"/>
      <c r="O203" s="98"/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42"/>
      <c r="J204" s="134" t="n">
        <f aca="false">$J$120*H204</f>
        <v>0</v>
      </c>
      <c r="N204" s="97"/>
      <c r="O204" s="98"/>
    </row>
    <row r="205" s="96" customFormat="true" ht="18" hidden="false" customHeight="true" outlineLevel="0" collapsed="false">
      <c r="A205" s="179" t="str">
        <f aca="false">IF(B205="","",+A204+1)</f>
        <v/>
      </c>
      <c r="B205" s="135"/>
      <c r="C205" s="135"/>
      <c r="D205" s="139"/>
      <c r="E205" s="136"/>
      <c r="F205" s="136"/>
      <c r="G205" s="136"/>
      <c r="H205" s="136"/>
      <c r="I205" s="180"/>
      <c r="J205" s="137" t="n">
        <f aca="false">$J$120*H205</f>
        <v>0</v>
      </c>
      <c r="N205" s="97"/>
      <c r="O205" s="98"/>
    </row>
    <row r="206" customFormat="false" ht="18" hidden="false" customHeight="true" outlineLevel="0" collapsed="false">
      <c r="A206" s="97"/>
      <c r="B206" s="96"/>
      <c r="C206" s="96"/>
      <c r="D206" s="98"/>
      <c r="E206" s="97"/>
      <c r="F206" s="97"/>
      <c r="G206" s="97"/>
      <c r="H206" s="97"/>
      <c r="J206" s="92" t="str">
        <f aca="false">LEFT($J$111,10)&amp;"-02"</f>
        <v>FG-240-2PL-02</v>
      </c>
      <c r="N206" s="97"/>
      <c r="O206" s="98"/>
    </row>
    <row r="207" customFormat="false" ht="12.75" hidden="false" customHeight="true" outlineLevel="0" collapsed="false">
      <c r="K207" s="78"/>
      <c r="L207" s="78"/>
      <c r="M207" s="79"/>
      <c r="N207" s="97"/>
      <c r="O207" s="98"/>
    </row>
    <row r="208" customFormat="false" ht="30" hidden="false" customHeight="true" outlineLevel="0" collapsed="false">
      <c r="C208" s="75"/>
      <c r="D208" s="76"/>
      <c r="E208" s="76"/>
      <c r="F208" s="76"/>
      <c r="G208" s="76"/>
      <c r="H208" s="76"/>
      <c r="I208" s="76"/>
      <c r="J208" s="77" t="str">
        <f aca="false">$J$2</f>
        <v>HOMELIFE</v>
      </c>
      <c r="K208" s="83"/>
      <c r="L208" s="83"/>
      <c r="M208" s="79"/>
      <c r="N208" s="97"/>
      <c r="O208" s="98"/>
    </row>
    <row r="209" customFormat="false" ht="24.75" hidden="false" customHeight="true" outlineLevel="0" collapsed="false">
      <c r="C209" s="82"/>
      <c r="D209" s="82"/>
      <c r="E209" s="82"/>
      <c r="F209" s="82"/>
      <c r="G209" s="82"/>
      <c r="H209" s="82"/>
      <c r="I209" s="82"/>
      <c r="J209" s="80" t="str">
        <f aca="false">$J$3</f>
        <v>Fabricators Guide</v>
      </c>
      <c r="K209" s="83"/>
      <c r="L209" s="83"/>
      <c r="M209" s="79"/>
      <c r="N209" s="97"/>
      <c r="O209" s="98"/>
    </row>
    <row r="210" customFormat="false" ht="24.75" hidden="false" customHeight="true" outlineLevel="0" collapsed="false">
      <c r="B210" s="81"/>
      <c r="C210" s="82"/>
      <c r="D210" s="82"/>
      <c r="E210" s="82"/>
      <c r="F210" s="82"/>
      <c r="G210" s="82"/>
      <c r="H210" s="82"/>
      <c r="I210" s="82"/>
      <c r="J210" s="80" t="str">
        <f aca="false">$J$4</f>
        <v>240 Series Bi Fold Door </v>
      </c>
      <c r="M210" s="87"/>
      <c r="N210" s="97"/>
      <c r="O210" s="98"/>
    </row>
    <row r="211" s="96" customFormat="true" ht="15" hidden="false" customHeight="true" outlineLevel="0" collapsed="false">
      <c r="A211" s="84"/>
      <c r="B211" s="84"/>
      <c r="C211" s="84"/>
      <c r="D211" s="85"/>
      <c r="E211" s="84"/>
      <c r="F211" s="84"/>
      <c r="G211" s="84"/>
      <c r="H211" s="84"/>
      <c r="I211" s="84"/>
      <c r="J211" s="94"/>
      <c r="K211" s="87"/>
      <c r="L211" s="87"/>
      <c r="M211" s="87"/>
      <c r="N211" s="97"/>
      <c r="O211" s="98"/>
    </row>
    <row r="212" s="96" customFormat="true" ht="24.75" hidden="false" customHeight="true" outlineLevel="0" collapsed="false">
      <c r="A212" s="88" t="s">
        <v>457</v>
      </c>
      <c r="B212" s="88"/>
      <c r="C212" s="88"/>
      <c r="D212" s="88"/>
      <c r="E212" s="88"/>
      <c r="F212" s="88"/>
      <c r="G212" s="88"/>
      <c r="H212" s="88"/>
      <c r="I212" s="88"/>
      <c r="J212" s="88"/>
      <c r="N212" s="97"/>
      <c r="O212" s="98"/>
    </row>
    <row r="213" customFormat="false" ht="14.25" hidden="false" customHeight="false" outlineLevel="0" collapsed="false">
      <c r="N213" s="97"/>
      <c r="O213" s="98"/>
    </row>
    <row r="214" customFormat="false" ht="14.25" hidden="false" customHeight="false" outlineLevel="0" collapsed="false">
      <c r="N214" s="97"/>
      <c r="O214" s="98"/>
    </row>
    <row r="215" customFormat="false" ht="14.25" hidden="false" customHeight="false" outlineLevel="0" collapsed="false">
      <c r="N215" s="97"/>
      <c r="O215" s="98"/>
    </row>
    <row r="216" customFormat="false" ht="15" hidden="false" customHeight="true" outlineLevel="0" collapsed="false">
      <c r="A216" s="97"/>
      <c r="B216" s="96"/>
      <c r="C216" s="181"/>
      <c r="D216" s="98"/>
      <c r="E216" s="83"/>
      <c r="F216" s="98"/>
      <c r="G216" s="96"/>
      <c r="H216" s="96"/>
      <c r="N216" s="97"/>
      <c r="O216" s="98"/>
    </row>
    <row r="217" customFormat="false" ht="15" hidden="false" customHeight="true" outlineLevel="0" collapsed="false">
      <c r="A217" s="97"/>
      <c r="B217" s="96"/>
      <c r="C217" s="181"/>
      <c r="D217" s="98"/>
      <c r="E217" s="97"/>
      <c r="F217" s="98"/>
      <c r="G217" s="96"/>
      <c r="H217" s="181"/>
      <c r="N217" s="97"/>
      <c r="O217" s="98"/>
    </row>
    <row r="218" s="96" customFormat="true" ht="15" hidden="false" customHeight="true" outlineLevel="0" collapsed="false">
      <c r="A218" s="182"/>
      <c r="B218" s="182"/>
      <c r="D218" s="98"/>
      <c r="E218" s="83"/>
      <c r="F218" s="183"/>
      <c r="H218" s="181"/>
      <c r="I218" s="183"/>
      <c r="J218" s="99"/>
      <c r="N218" s="97"/>
      <c r="O218" s="98"/>
    </row>
    <row r="219" s="96" customFormat="true" ht="15" hidden="false" customHeight="true" outlineLevel="0" collapsed="false">
      <c r="A219" s="97"/>
      <c r="C219" s="184" t="s">
        <v>458</v>
      </c>
      <c r="D219" s="98"/>
      <c r="E219" s="83"/>
      <c r="F219" s="98"/>
      <c r="J219" s="97"/>
    </row>
    <row r="220" s="96" customFormat="true" ht="15" hidden="false" customHeight="true" outlineLevel="0" collapsed="false">
      <c r="A220" s="97"/>
      <c r="C220" s="181" t="s">
        <v>459</v>
      </c>
      <c r="D220" s="98"/>
      <c r="E220" s="83"/>
      <c r="F220" s="98"/>
      <c r="H220" s="184"/>
      <c r="J220" s="97"/>
    </row>
    <row r="221" s="96" customFormat="true" ht="15" hidden="false" customHeight="true" outlineLevel="0" collapsed="false">
      <c r="A221" s="97"/>
      <c r="C221" s="181" t="s">
        <v>460</v>
      </c>
      <c r="D221" s="98"/>
      <c r="E221" s="97"/>
      <c r="F221" s="98"/>
      <c r="J221" s="97"/>
    </row>
    <row r="222" s="96" customFormat="true" ht="15" hidden="false" customHeight="true" outlineLevel="0" collapsed="false">
      <c r="A222" s="97"/>
      <c r="C222" s="185" t="n">
        <f aca="false">$I$133</f>
        <v>640</v>
      </c>
      <c r="D222" s="98"/>
      <c r="E222" s="83"/>
      <c r="F222" s="98"/>
      <c r="G222" s="186"/>
      <c r="I222" s="97"/>
      <c r="J222" s="97"/>
    </row>
    <row r="223" s="96" customFormat="true" ht="15" hidden="false" customHeight="true" outlineLevel="0" collapsed="false">
      <c r="A223" s="97"/>
      <c r="C223" s="187" t="n">
        <f aca="false">$J$133</f>
        <v>1</v>
      </c>
      <c r="D223" s="98"/>
      <c r="E223" s="83"/>
      <c r="F223" s="98"/>
      <c r="G223" s="110"/>
      <c r="I223" s="97"/>
      <c r="J223" s="97"/>
    </row>
    <row r="224" s="96" customFormat="true" ht="15" hidden="false" customHeight="true" outlineLevel="0" collapsed="false">
      <c r="A224" s="97"/>
      <c r="D224" s="98"/>
      <c r="E224" s="97"/>
      <c r="F224" s="98"/>
      <c r="G224" s="110"/>
      <c r="J224" s="97"/>
    </row>
    <row r="225" s="96" customFormat="true" ht="15" hidden="false" customHeight="true" outlineLevel="0" collapsed="false">
      <c r="A225" s="99"/>
      <c r="B225" s="99"/>
      <c r="C225" s="83"/>
      <c r="D225" s="98"/>
      <c r="E225" s="97"/>
      <c r="F225" s="98"/>
      <c r="G225" s="186"/>
      <c r="J225" s="97"/>
    </row>
    <row r="226" s="96" customFormat="true" ht="15" hidden="false" customHeight="true" outlineLevel="0" collapsed="false">
      <c r="A226" s="99"/>
      <c r="B226" s="99"/>
      <c r="C226" s="83"/>
      <c r="D226" s="98"/>
      <c r="E226" s="97"/>
      <c r="F226" s="98"/>
      <c r="H226" s="97"/>
      <c r="J226" s="97"/>
    </row>
    <row r="227" s="96" customFormat="true" ht="1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" hidden="false" customHeight="true" outlineLevel="0" collapsed="false">
      <c r="A228" s="99"/>
      <c r="B228" s="99"/>
      <c r="C228" s="181"/>
      <c r="D228" s="98"/>
      <c r="E228" s="97"/>
      <c r="F228" s="98"/>
      <c r="H228" s="97"/>
      <c r="I228" s="97"/>
      <c r="J228" s="97"/>
    </row>
    <row r="229" s="96" customFormat="true" ht="1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97"/>
      <c r="J229" s="97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97"/>
      <c r="J230" s="97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97"/>
      <c r="J231" s="97"/>
    </row>
    <row r="232" s="96" customFormat="true" ht="15.75" hidden="false" customHeight="true" outlineLevel="0" collapsed="false">
      <c r="A232" s="81"/>
      <c r="D232" s="98"/>
      <c r="E232" s="97"/>
      <c r="F232" s="97"/>
      <c r="I232" s="189"/>
      <c r="J232" s="190"/>
    </row>
    <row r="233" s="96" customFormat="true" ht="15.75" hidden="false" customHeight="true" outlineLevel="0" collapsed="false">
      <c r="A233" s="191"/>
      <c r="B233" s="191"/>
      <c r="C233" s="184" t="s">
        <v>461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I234" s="181"/>
      <c r="J234" s="193"/>
    </row>
    <row r="235" s="96" customFormat="true" ht="15.75" hidden="false" customHeight="true" outlineLevel="0" collapsed="false">
      <c r="A235" s="97"/>
      <c r="C235" s="181" t="s">
        <v>463</v>
      </c>
      <c r="D235" s="98"/>
      <c r="E235" s="97"/>
      <c r="F235" s="98"/>
      <c r="G235" s="97"/>
      <c r="H235" s="97"/>
      <c r="I235" s="181"/>
      <c r="J235" s="193"/>
    </row>
    <row r="236" s="96" customFormat="true" ht="15.75" hidden="false" customHeight="true" outlineLevel="0" collapsed="false">
      <c r="A236" s="97"/>
      <c r="C236" s="185" t="n">
        <f aca="false">$I$134</f>
        <v>614</v>
      </c>
      <c r="D236" s="98"/>
      <c r="E236" s="97"/>
      <c r="F236" s="98"/>
      <c r="G236" s="97"/>
      <c r="H236" s="97"/>
      <c r="I236" s="181"/>
      <c r="J236" s="193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1"/>
      <c r="J237" s="193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J238" s="97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97"/>
      <c r="J239" s="196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97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197"/>
      <c r="I242" s="184"/>
      <c r="J242" s="198"/>
    </row>
    <row r="243" s="96" customFormat="true" ht="15.75" hidden="false" customHeight="true" outlineLevel="0" collapsed="false">
      <c r="A243" s="97"/>
      <c r="D243" s="98"/>
      <c r="E243" s="97"/>
      <c r="F243" s="98"/>
      <c r="G243" s="97"/>
      <c r="H243" s="97"/>
      <c r="I243" s="181"/>
      <c r="J243" s="193"/>
    </row>
    <row r="244" s="96" customFormat="true" ht="15.75" hidden="false" customHeight="true" outlineLevel="0" collapsed="false">
      <c r="A244" s="97"/>
      <c r="C244" s="184" t="s">
        <v>464</v>
      </c>
      <c r="D244" s="98"/>
      <c r="E244" s="97"/>
      <c r="F244" s="98"/>
      <c r="G244" s="97"/>
      <c r="H244" s="97"/>
      <c r="I244" s="181"/>
      <c r="J244" s="193"/>
    </row>
    <row r="245" s="96" customFormat="true" ht="15.75" hidden="false" customHeight="true" outlineLevel="0" collapsed="false">
      <c r="A245" s="97"/>
      <c r="C245" s="181" t="s">
        <v>459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1" t="s">
        <v>460</v>
      </c>
      <c r="D246" s="98"/>
      <c r="E246" s="97"/>
      <c r="F246" s="98"/>
      <c r="G246" s="97"/>
      <c r="H246" s="97"/>
      <c r="I246" s="196"/>
      <c r="J246" s="196"/>
    </row>
    <row r="247" s="96" customFormat="true" ht="15.75" hidden="false" customHeight="true" outlineLevel="0" collapsed="false">
      <c r="A247" s="97"/>
      <c r="C247" s="185" t="n">
        <f aca="false">$I$135</f>
        <v>640</v>
      </c>
      <c r="D247" s="98"/>
      <c r="E247" s="97"/>
      <c r="F247" s="98"/>
      <c r="G247" s="97"/>
      <c r="H247" s="97"/>
      <c r="I247" s="97"/>
      <c r="J247" s="196"/>
    </row>
    <row r="248" s="96" customFormat="true" ht="15.75" hidden="false" customHeight="true" outlineLevel="0" collapsed="false">
      <c r="A248" s="97"/>
      <c r="C248" s="187" t="n">
        <f aca="false">$J$135</f>
        <v>1</v>
      </c>
      <c r="D248" s="98"/>
      <c r="E248" s="97"/>
      <c r="F248" s="98"/>
      <c r="G248" s="97"/>
      <c r="H248" s="97"/>
      <c r="I248" s="196"/>
      <c r="J248" s="196"/>
    </row>
    <row r="249" s="96" customFormat="true" ht="15.75" hidden="false" customHeight="true" outlineLevel="0" collapsed="false">
      <c r="A249" s="97"/>
      <c r="C249" s="98"/>
      <c r="D249" s="98"/>
      <c r="E249" s="97"/>
      <c r="F249" s="98"/>
      <c r="G249" s="97"/>
      <c r="H249" s="97"/>
      <c r="I249" s="196"/>
      <c r="J249" s="196"/>
    </row>
    <row r="250" s="96" customFormat="true" ht="15" hidden="false" customHeight="true" outlineLevel="0" collapsed="false">
      <c r="A250" s="97"/>
      <c r="D250" s="98"/>
      <c r="E250" s="97"/>
      <c r="F250" s="97"/>
      <c r="G250" s="191"/>
      <c r="H250" s="97"/>
      <c r="I250" s="196"/>
      <c r="J250" s="196"/>
    </row>
    <row r="251" s="96" customFormat="true" ht="15.75" hidden="false" customHeight="true" outlineLevel="0" collapsed="false">
      <c r="A251" s="97"/>
      <c r="D251" s="98"/>
      <c r="E251" s="97"/>
      <c r="F251" s="97"/>
      <c r="G251" s="191"/>
      <c r="H251" s="97"/>
      <c r="I251" s="191"/>
      <c r="J251" s="199"/>
    </row>
    <row r="252" s="96" customFormat="true" ht="15.75" hidden="false" customHeight="true" outlineLevel="0" collapsed="false">
      <c r="A252" s="97"/>
      <c r="D252" s="98"/>
      <c r="E252" s="97"/>
      <c r="F252" s="97"/>
      <c r="G252" s="191"/>
      <c r="H252" s="97"/>
      <c r="I252" s="191"/>
      <c r="J252" s="199"/>
    </row>
    <row r="253" s="96" customFormat="true" ht="15.75" hidden="false" customHeight="true" outlineLevel="0" collapsed="false">
      <c r="A253" s="97"/>
      <c r="D253" s="98"/>
      <c r="E253" s="97"/>
      <c r="F253" s="97"/>
      <c r="G253" s="190"/>
      <c r="H253" s="97"/>
      <c r="I253" s="189"/>
      <c r="J253" s="190"/>
    </row>
    <row r="254" s="96" customFormat="true" ht="15.75" hidden="false" customHeight="true" outlineLevel="0" collapsed="false">
      <c r="A254" s="97"/>
      <c r="D254" s="98"/>
      <c r="E254" s="97"/>
      <c r="F254" s="97"/>
      <c r="G254" s="97"/>
      <c r="H254" s="97"/>
      <c r="J254" s="97"/>
    </row>
    <row r="255" s="96" customFormat="true" ht="15.75" hidden="false" customHeight="true" outlineLevel="0" collapsed="false">
      <c r="A255" s="191"/>
      <c r="B255" s="191"/>
      <c r="D255" s="192"/>
      <c r="E255" s="191"/>
      <c r="F255" s="191"/>
      <c r="G255" s="97"/>
      <c r="H255" s="97"/>
      <c r="J255" s="97"/>
    </row>
    <row r="256" s="96" customFormat="true" ht="15.75" hidden="false" customHeight="true" outlineLevel="0" collapsed="false">
      <c r="A256" s="190"/>
      <c r="B256" s="190"/>
      <c r="C256" s="184" t="s">
        <v>465</v>
      </c>
      <c r="D256" s="194"/>
      <c r="E256" s="190"/>
      <c r="F256" s="189"/>
      <c r="G256" s="97"/>
      <c r="J256" s="97"/>
    </row>
    <row r="257" s="96" customFormat="true" ht="15.75" hidden="false" customHeight="true" outlineLevel="0" collapsed="false">
      <c r="A257" s="200"/>
      <c r="C257" s="181" t="s">
        <v>459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1" t="s">
        <v>460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C259" s="185" t="n">
        <f aca="false">$I$136</f>
        <v>640</v>
      </c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C260" s="187" t="n">
        <f aca="false">$J$136</f>
        <v>1</v>
      </c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D264" s="98"/>
      <c r="E264" s="97"/>
      <c r="F264" s="97"/>
      <c r="G264" s="97"/>
      <c r="I264" s="196"/>
      <c r="J264" s="196"/>
    </row>
    <row r="265" s="96" customFormat="true" ht="15.75" hidden="false" customHeight="true" outlineLevel="0" collapsed="false">
      <c r="A265" s="200"/>
      <c r="D265" s="98"/>
      <c r="E265" s="97"/>
      <c r="F265" s="97"/>
      <c r="G265" s="97"/>
      <c r="I265" s="196"/>
      <c r="J265" s="196"/>
    </row>
    <row r="266" s="96" customFormat="true" ht="15.75" hidden="false" customHeight="true" outlineLevel="0" collapsed="false">
      <c r="A266" s="200"/>
      <c r="C266" s="98"/>
      <c r="D266" s="98"/>
      <c r="E266" s="97"/>
      <c r="F266" s="97"/>
      <c r="G266" s="97"/>
      <c r="I266" s="196"/>
      <c r="J266" s="196"/>
    </row>
    <row r="267" s="96" customFormat="true" ht="15.75" hidden="false" customHeight="true" outlineLevel="0" collapsed="false">
      <c r="A267" s="200"/>
      <c r="D267" s="98"/>
      <c r="E267" s="97"/>
      <c r="F267" s="97"/>
      <c r="G267" s="97"/>
      <c r="I267" s="196"/>
      <c r="J267" s="196"/>
    </row>
    <row r="268" s="96" customFormat="true" ht="15.75" hidden="false" customHeight="true" outlineLevel="0" collapsed="false">
      <c r="A268" s="200"/>
      <c r="C268" s="184" t="s">
        <v>466</v>
      </c>
      <c r="D268" s="98"/>
      <c r="E268" s="97"/>
      <c r="F268" s="97"/>
      <c r="G268" s="97"/>
      <c r="H268" s="97"/>
      <c r="I268" s="196"/>
      <c r="J268" s="196"/>
    </row>
    <row r="269" s="96" customFormat="true" ht="15.75" hidden="false" customHeight="true" outlineLevel="0" collapsed="false">
      <c r="A269" s="200"/>
      <c r="C269" s="181" t="s">
        <v>467</v>
      </c>
      <c r="D269" s="181"/>
      <c r="E269" s="181"/>
      <c r="F269" s="97"/>
      <c r="G269" s="97"/>
      <c r="H269" s="97"/>
      <c r="I269" s="196"/>
      <c r="J269" s="196"/>
    </row>
    <row r="270" s="96" customFormat="true" ht="15.75" hidden="false" customHeight="true" outlineLevel="0" collapsed="false">
      <c r="A270" s="200"/>
      <c r="C270" s="181" t="s">
        <v>468</v>
      </c>
      <c r="D270" s="181"/>
      <c r="E270" s="181"/>
      <c r="F270" s="97"/>
      <c r="G270" s="97"/>
      <c r="H270" s="97"/>
      <c r="I270" s="196"/>
      <c r="J270" s="196"/>
    </row>
    <row r="271" s="96" customFormat="true" ht="15.75" hidden="false" customHeight="true" outlineLevel="0" collapsed="false">
      <c r="A271" s="200"/>
      <c r="C271" s="185" t="n">
        <f aca="false">$I$137</f>
        <v>500</v>
      </c>
      <c r="D271" s="98"/>
      <c r="E271" s="97"/>
      <c r="F271" s="97"/>
      <c r="I271" s="196"/>
      <c r="J271" s="196"/>
    </row>
    <row r="272" s="96" customFormat="true" ht="15.75" hidden="false" customHeight="true" outlineLevel="0" collapsed="false">
      <c r="A272" s="200"/>
      <c r="C272" s="187" t="n">
        <f aca="false">$J$137+$J$138</f>
        <v>2</v>
      </c>
      <c r="D272" s="98"/>
      <c r="E272" s="97"/>
      <c r="F272" s="97"/>
      <c r="G272" s="97"/>
      <c r="H272" s="97"/>
      <c r="I272" s="196"/>
      <c r="J272" s="196"/>
    </row>
    <row r="273" s="96" customFormat="true" ht="15.75" hidden="false" customHeight="true" outlineLevel="0" collapsed="false">
      <c r="A273" s="200"/>
      <c r="D273" s="184"/>
      <c r="E273" s="184"/>
      <c r="F273" s="97"/>
      <c r="G273" s="97"/>
      <c r="H273" s="97"/>
      <c r="I273" s="196"/>
      <c r="J273" s="196"/>
    </row>
    <row r="274" s="96" customFormat="true" ht="15.75" hidden="false" customHeight="true" outlineLevel="0" collapsed="false">
      <c r="A274" s="200"/>
      <c r="D274" s="184"/>
      <c r="E274" s="184"/>
      <c r="F274" s="97"/>
      <c r="G274" s="97"/>
      <c r="H274" s="97"/>
      <c r="J274" s="97"/>
    </row>
    <row r="275" s="96" customFormat="true" ht="15.75" hidden="false" customHeight="true" outlineLevel="0" collapsed="false">
      <c r="A275" s="200"/>
      <c r="D275" s="181"/>
      <c r="E275" s="181"/>
      <c r="F275" s="97"/>
      <c r="G275" s="97"/>
      <c r="H275" s="97"/>
      <c r="J275" s="97"/>
    </row>
    <row r="276" s="96" customFormat="true" ht="15.75" hidden="false" customHeight="true" outlineLevel="0" collapsed="false">
      <c r="A276" s="200"/>
      <c r="D276" s="181"/>
      <c r="E276" s="181"/>
      <c r="F276" s="97"/>
      <c r="G276" s="97"/>
      <c r="H276" s="97"/>
      <c r="J276" s="97"/>
    </row>
    <row r="277" s="96" customFormat="true" ht="15.75" hidden="false" customHeight="true" outlineLevel="0" collapsed="false">
      <c r="A277" s="200"/>
      <c r="D277" s="181"/>
      <c r="E277" s="181"/>
      <c r="F277" s="97"/>
      <c r="G277" s="97"/>
      <c r="H277" s="97"/>
      <c r="J277" s="97"/>
    </row>
    <row r="278" s="96" customFormat="true" ht="15.75" hidden="false" customHeight="true" outlineLevel="0" collapsed="false">
      <c r="A278" s="200"/>
      <c r="D278" s="181"/>
      <c r="E278" s="181"/>
      <c r="F278" s="97"/>
      <c r="G278" s="97"/>
      <c r="J278" s="97"/>
    </row>
    <row r="279" s="96" customFormat="true" ht="15.75" hidden="false" customHeight="true" outlineLevel="0" collapsed="false">
      <c r="A279" s="200"/>
      <c r="D279" s="98"/>
      <c r="E279" s="97"/>
      <c r="F279" s="97"/>
      <c r="G279" s="97"/>
      <c r="J279" s="97"/>
    </row>
    <row r="280" s="96" customFormat="true" ht="15.75" hidden="false" customHeight="true" outlineLevel="0" collapsed="false">
      <c r="A280" s="200"/>
      <c r="C280" s="184" t="s">
        <v>469</v>
      </c>
      <c r="D280" s="201"/>
      <c r="E280" s="196"/>
      <c r="F280" s="97"/>
      <c r="G280" s="97"/>
      <c r="J280" s="97"/>
    </row>
    <row r="281" s="96" customFormat="true" ht="15.75" hidden="false" customHeight="true" outlineLevel="0" collapsed="false">
      <c r="A281" s="200"/>
      <c r="C281" s="181" t="s">
        <v>470</v>
      </c>
      <c r="D281" s="181"/>
      <c r="E281" s="181"/>
      <c r="F281" s="97"/>
      <c r="G281" s="97"/>
      <c r="J281" s="97"/>
    </row>
    <row r="282" s="96" customFormat="true" ht="15.75" hidden="false" customHeight="true" outlineLevel="0" collapsed="false">
      <c r="A282" s="200"/>
      <c r="C282" s="181" t="s">
        <v>471</v>
      </c>
      <c r="D282" s="181"/>
      <c r="E282" s="181"/>
      <c r="F282" s="97"/>
      <c r="G282" s="97"/>
      <c r="I282" s="196"/>
      <c r="J282" s="196"/>
    </row>
    <row r="283" s="96" customFormat="true" ht="15.75" hidden="false" customHeight="true" outlineLevel="0" collapsed="false">
      <c r="A283" s="200"/>
      <c r="C283" s="185" t="n">
        <f aca="false">$I$139</f>
        <v>404</v>
      </c>
      <c r="F283" s="97"/>
      <c r="G283" s="97"/>
      <c r="I283" s="196"/>
      <c r="J283" s="196"/>
    </row>
    <row r="284" s="96" customFormat="true" ht="15.75" hidden="false" customHeight="true" outlineLevel="0" collapsed="false">
      <c r="A284" s="200"/>
      <c r="C284" s="187" t="n">
        <f aca="false">$J$139+$J$140</f>
        <v>2</v>
      </c>
      <c r="F284" s="97"/>
      <c r="G284" s="97"/>
      <c r="I284" s="196"/>
      <c r="J284" s="196"/>
    </row>
    <row r="285" s="96" customFormat="true" ht="15.75" hidden="false" customHeight="true" outlineLevel="0" collapsed="false">
      <c r="A285" s="200"/>
      <c r="F285" s="97"/>
      <c r="G285" s="97"/>
      <c r="H285" s="97"/>
      <c r="I285" s="97"/>
      <c r="J285" s="196"/>
    </row>
    <row r="286" s="96" customFormat="true" ht="15.75" hidden="false" customHeight="true" outlineLevel="0" collapsed="false">
      <c r="A286" s="200"/>
      <c r="F286" s="97"/>
      <c r="G286" s="97"/>
      <c r="H286" s="97"/>
      <c r="I286" s="97"/>
      <c r="J286" s="196"/>
    </row>
    <row r="287" s="96" customFormat="true" ht="15.75" hidden="false" customHeight="true" outlineLevel="0" collapsed="false">
      <c r="A287" s="200"/>
      <c r="D287" s="98"/>
      <c r="E287" s="97"/>
      <c r="F287" s="97"/>
      <c r="G287" s="97"/>
      <c r="H287" s="97"/>
      <c r="I287" s="97"/>
      <c r="J287" s="196"/>
    </row>
    <row r="288" s="96" customFormat="true" ht="15.75" hidden="false" customHeight="true" outlineLevel="0" collapsed="false">
      <c r="A288" s="200"/>
      <c r="D288" s="98"/>
      <c r="E288" s="97"/>
      <c r="F288" s="97"/>
      <c r="G288" s="97"/>
      <c r="H288" s="97"/>
      <c r="I288" s="97"/>
      <c r="J288" s="196"/>
    </row>
    <row r="289" s="96" customFormat="true" ht="15.75" hidden="false" customHeight="true" outlineLevel="0" collapsed="false">
      <c r="A289" s="200"/>
      <c r="F289" s="97"/>
      <c r="G289" s="97"/>
      <c r="H289" s="97"/>
      <c r="I289" s="97"/>
      <c r="J289" s="196"/>
    </row>
    <row r="290" s="96" customFormat="true" ht="15.75" hidden="false" customHeight="true" outlineLevel="0" collapsed="false">
      <c r="A290" s="200"/>
      <c r="F290" s="97"/>
      <c r="G290" s="97"/>
      <c r="H290" s="97"/>
      <c r="I290" s="97"/>
      <c r="J290" s="196"/>
    </row>
    <row r="291" s="96" customFormat="true" ht="15.75" hidden="false" customHeight="true" outlineLevel="0" collapsed="false">
      <c r="A291" s="200"/>
      <c r="C291" s="184" t="s">
        <v>472</v>
      </c>
      <c r="F291" s="97"/>
      <c r="G291" s="97"/>
      <c r="H291" s="97"/>
      <c r="J291" s="97"/>
    </row>
    <row r="292" s="96" customFormat="true" ht="15.75" hidden="false" customHeight="true" outlineLevel="0" collapsed="false">
      <c r="A292" s="200"/>
      <c r="C292" s="83" t="s">
        <v>473</v>
      </c>
      <c r="D292" s="98"/>
      <c r="E292" s="97"/>
      <c r="F292" s="97"/>
      <c r="G292" s="97"/>
      <c r="H292" s="97"/>
      <c r="J292" s="97"/>
    </row>
    <row r="293" s="96" customFormat="true" ht="15.75" hidden="false" customHeight="true" outlineLevel="0" collapsed="false">
      <c r="A293" s="200"/>
      <c r="C293" s="181" t="s">
        <v>474</v>
      </c>
      <c r="D293" s="98"/>
      <c r="E293" s="97"/>
      <c r="F293" s="97"/>
      <c r="G293" s="97"/>
      <c r="H293" s="97"/>
      <c r="J293" s="97"/>
    </row>
    <row r="294" s="96" customFormat="true" ht="15.75" hidden="false" customHeight="true" outlineLevel="0" collapsed="false">
      <c r="A294" s="200"/>
      <c r="C294" s="181" t="s">
        <v>475</v>
      </c>
      <c r="D294" s="181"/>
      <c r="E294" s="181"/>
      <c r="F294" s="97"/>
      <c r="G294" s="97"/>
      <c r="I294" s="201"/>
      <c r="J294" s="196"/>
    </row>
    <row r="295" s="96" customFormat="true" ht="15.75" hidden="false" customHeight="true" outlineLevel="0" collapsed="false">
      <c r="A295" s="200"/>
      <c r="C295" s="181" t="s">
        <v>476</v>
      </c>
      <c r="D295" s="181"/>
      <c r="E295" s="181"/>
      <c r="F295" s="97"/>
      <c r="G295" s="97"/>
      <c r="I295" s="97"/>
      <c r="J295" s="196"/>
    </row>
    <row r="296" s="96" customFormat="true" ht="15.75" hidden="false" customHeight="true" outlineLevel="0" collapsed="false">
      <c r="A296" s="200"/>
      <c r="C296" s="185" t="n">
        <f aca="false">$I$141</f>
        <v>314</v>
      </c>
      <c r="F296" s="97"/>
      <c r="G296" s="97"/>
      <c r="I296" s="196"/>
      <c r="J296" s="196"/>
    </row>
    <row r="297" s="96" customFormat="true" ht="15.75" hidden="false" customHeight="true" outlineLevel="0" collapsed="false">
      <c r="A297" s="200"/>
      <c r="C297" s="187" t="n">
        <f aca="false">$J$141+$J$142</f>
        <v>4</v>
      </c>
      <c r="D297" s="98"/>
      <c r="E297" s="97"/>
      <c r="F297" s="97"/>
      <c r="G297" s="97"/>
      <c r="H297" s="98"/>
      <c r="I297" s="196"/>
      <c r="J297" s="196"/>
    </row>
    <row r="298" s="96" customFormat="true" ht="15.75" hidden="false" customHeight="true" outlineLevel="0" collapsed="false">
      <c r="A298" s="200"/>
      <c r="C298" s="185" t="n">
        <f aca="false">$I$143</f>
        <v>408</v>
      </c>
      <c r="D298" s="98"/>
      <c r="E298" s="97"/>
      <c r="F298" s="97"/>
      <c r="G298" s="97"/>
      <c r="H298" s="97"/>
      <c r="I298" s="196"/>
      <c r="J298" s="196"/>
    </row>
    <row r="299" s="96" customFormat="true" ht="15.75" hidden="false" customHeight="true" outlineLevel="0" collapsed="false">
      <c r="A299" s="200"/>
      <c r="C299" s="187" t="n">
        <f aca="false">$J$143+$J$144</f>
        <v>4</v>
      </c>
      <c r="D299" s="98"/>
      <c r="E299" s="97"/>
      <c r="F299" s="97"/>
      <c r="G299" s="97"/>
      <c r="H299" s="97"/>
      <c r="I299" s="196"/>
      <c r="J299" s="196"/>
    </row>
    <row r="300" s="96" customFormat="true" ht="15.75" hidden="false" customHeight="true" outlineLevel="0" collapsed="false">
      <c r="A300" s="200"/>
      <c r="D300" s="98"/>
      <c r="E300" s="97"/>
      <c r="F300" s="97"/>
      <c r="G300" s="97"/>
      <c r="H300" s="97"/>
      <c r="I300" s="196"/>
      <c r="J300" s="196"/>
    </row>
    <row r="301" s="96" customFormat="true" ht="15.75" hidden="false" customHeight="true" outlineLevel="0" collapsed="false">
      <c r="A301" s="200"/>
      <c r="D301" s="98"/>
      <c r="E301" s="97"/>
      <c r="F301" s="97"/>
      <c r="G301" s="97"/>
      <c r="H301" s="97"/>
      <c r="I301" s="191"/>
      <c r="J301" s="199"/>
    </row>
    <row r="302" s="96" customFormat="true" ht="15.75" hidden="false" customHeight="true" outlineLevel="0" collapsed="false">
      <c r="A302" s="200"/>
      <c r="C302" s="202"/>
      <c r="D302" s="98"/>
      <c r="E302" s="97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200"/>
      <c r="C303" s="184" t="s">
        <v>477</v>
      </c>
      <c r="D303" s="98"/>
      <c r="E303" s="97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200"/>
      <c r="C304" s="83" t="s">
        <v>473</v>
      </c>
      <c r="D304" s="98"/>
      <c r="E304" s="97"/>
      <c r="F304" s="97"/>
      <c r="G304" s="191"/>
      <c r="H304" s="191"/>
      <c r="I304" s="97"/>
      <c r="J304" s="196"/>
    </row>
    <row r="305" s="96" customFormat="true" ht="15.75" hidden="false" customHeight="true" outlineLevel="0" collapsed="false">
      <c r="A305" s="200"/>
      <c r="C305" s="181" t="s">
        <v>474</v>
      </c>
      <c r="D305" s="181"/>
      <c r="E305" s="181"/>
      <c r="F305" s="97"/>
      <c r="G305" s="190"/>
      <c r="H305" s="189"/>
      <c r="I305" s="97"/>
      <c r="J305" s="196"/>
    </row>
    <row r="306" s="96" customFormat="true" ht="15.75" hidden="false" customHeight="true" outlineLevel="0" collapsed="false">
      <c r="A306" s="107"/>
      <c r="C306" s="181" t="s">
        <v>478</v>
      </c>
      <c r="D306" s="181"/>
      <c r="E306" s="181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191"/>
      <c r="B307" s="191"/>
      <c r="C307" s="181" t="s">
        <v>479</v>
      </c>
      <c r="D307" s="203"/>
      <c r="E307" s="204"/>
      <c r="F307" s="191"/>
      <c r="G307" s="97"/>
      <c r="H307" s="97"/>
      <c r="I307" s="97"/>
      <c r="J307" s="196"/>
    </row>
    <row r="308" s="96" customFormat="true" ht="15.75" hidden="false" customHeight="true" outlineLevel="0" collapsed="false">
      <c r="A308" s="190"/>
      <c r="B308" s="190"/>
      <c r="C308" s="185" t="n">
        <f aca="false">$I$145</f>
        <v>202.375</v>
      </c>
      <c r="D308" s="205"/>
      <c r="E308" s="206"/>
      <c r="F308" s="189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7" t="n">
        <f aca="false">$J$145</f>
        <v>4</v>
      </c>
      <c r="D309" s="98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5" t="n">
        <f aca="false">$I$146</f>
        <v>258</v>
      </c>
      <c r="D310" s="98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C311" s="187" t="n">
        <f aca="false">$J$146</f>
        <v>4</v>
      </c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200"/>
      <c r="B313" s="49"/>
      <c r="C313" s="49"/>
      <c r="D313" s="207"/>
      <c r="E313" s="200"/>
      <c r="F313" s="200"/>
      <c r="G313" s="200"/>
      <c r="H313" s="200"/>
      <c r="I313" s="200"/>
      <c r="J313" s="92" t="str">
        <f aca="false">LEFT($J$111,10)&amp;"-03"</f>
        <v>FG-240-2PL-03</v>
      </c>
    </row>
    <row r="314" customFormat="false" ht="12.75" hidden="false" customHeight="true" outlineLevel="0" collapsed="false">
      <c r="A314" s="97"/>
      <c r="B314" s="96"/>
      <c r="C314" s="96"/>
      <c r="D314" s="98"/>
      <c r="E314" s="97"/>
      <c r="F314" s="97"/>
      <c r="G314" s="97"/>
      <c r="H314" s="97"/>
      <c r="I314" s="208"/>
      <c r="J314" s="208"/>
    </row>
    <row r="315" customFormat="false" ht="30" hidden="false" customHeight="true" outlineLevel="0" collapsed="false">
      <c r="C315" s="75"/>
      <c r="D315" s="76"/>
      <c r="E315" s="76"/>
      <c r="F315" s="76"/>
      <c r="G315" s="76"/>
      <c r="H315" s="76"/>
      <c r="I315" s="76"/>
      <c r="J315" s="77" t="str">
        <f aca="false">$J$2</f>
        <v>HOMELIFE</v>
      </c>
      <c r="K315" s="83"/>
      <c r="L315" s="83"/>
      <c r="M315" s="79"/>
      <c r="N315" s="79"/>
    </row>
    <row r="316" customFormat="false" ht="24.75" hidden="false" customHeight="true" outlineLevel="0" collapsed="false">
      <c r="C316" s="82"/>
      <c r="D316" s="82"/>
      <c r="E316" s="82"/>
      <c r="F316" s="82"/>
      <c r="G316" s="82"/>
      <c r="H316" s="82"/>
      <c r="I316" s="82"/>
      <c r="J316" s="80" t="str">
        <f aca="false">$J$3</f>
        <v>Fabricators Guide</v>
      </c>
      <c r="K316" s="83"/>
      <c r="L316" s="83"/>
      <c r="M316" s="79"/>
      <c r="N316" s="79"/>
    </row>
    <row r="317" customFormat="false" ht="24.75" hidden="false" customHeight="true" outlineLevel="0" collapsed="false">
      <c r="B317" s="81"/>
      <c r="C317" s="82"/>
      <c r="D317" s="82"/>
      <c r="E317" s="82"/>
      <c r="F317" s="82"/>
      <c r="G317" s="82"/>
      <c r="H317" s="82"/>
      <c r="I317" s="82"/>
      <c r="J317" s="80" t="str">
        <f aca="false">$J$4</f>
        <v>240 Series Bi Fold Door </v>
      </c>
      <c r="M317" s="87"/>
      <c r="N317" s="87"/>
    </row>
    <row r="318" customFormat="false" ht="15" hidden="false" customHeight="true" outlineLevel="0" collapsed="false"/>
    <row r="319" s="96" customFormat="true" ht="24.75" hidden="false" customHeight="true" outlineLevel="0" collapsed="false">
      <c r="A319" s="88" t="s">
        <v>480</v>
      </c>
      <c r="B319" s="88"/>
      <c r="C319" s="88"/>
      <c r="D319" s="88"/>
      <c r="E319" s="88"/>
      <c r="F319" s="88"/>
      <c r="G319" s="88"/>
      <c r="H319" s="88"/>
      <c r="I319" s="88"/>
      <c r="J319" s="88"/>
    </row>
    <row r="320" s="96" customFormat="true" ht="15" hidden="false" customHeight="true" outlineLevel="0" collapsed="false">
      <c r="A320" s="97"/>
      <c r="D320" s="98"/>
      <c r="E320" s="83"/>
      <c r="F320" s="98"/>
      <c r="G320" s="83"/>
      <c r="H320" s="83"/>
      <c r="I320" s="83"/>
      <c r="J320" s="97"/>
    </row>
    <row r="321" s="96" customFormat="true" ht="15" hidden="false" customHeight="true" outlineLevel="0" collapsed="false">
      <c r="A321" s="97"/>
      <c r="C321" s="98"/>
      <c r="D321" s="98"/>
      <c r="E321" s="83"/>
      <c r="F321" s="98"/>
      <c r="G321" s="97"/>
      <c r="H321" s="83"/>
      <c r="I321" s="97"/>
      <c r="J321" s="97"/>
    </row>
    <row r="322" s="96" customFormat="true" ht="15" hidden="false" customHeight="true" outlineLevel="0" collapsed="false">
      <c r="A322" s="97"/>
      <c r="C322" s="98"/>
      <c r="D322" s="98"/>
      <c r="E322" s="97"/>
      <c r="F322" s="98"/>
      <c r="G322" s="97"/>
      <c r="H322" s="83"/>
      <c r="I322" s="97"/>
      <c r="J322" s="97"/>
    </row>
    <row r="323" s="96" customFormat="true" ht="15" hidden="false" customHeight="true" outlineLevel="0" collapsed="false">
      <c r="A323" s="97"/>
      <c r="C323" s="98"/>
      <c r="D323" s="98"/>
      <c r="E323" s="97"/>
      <c r="F323" s="98"/>
      <c r="G323" s="97"/>
      <c r="H323" s="83"/>
      <c r="I323" s="97"/>
      <c r="J323" s="97"/>
    </row>
    <row r="324" s="96" customFormat="true" ht="15" hidden="false" customHeight="true" outlineLevel="0" collapsed="false">
      <c r="A324" s="97"/>
      <c r="C324" s="98"/>
      <c r="D324" s="98"/>
      <c r="E324" s="97"/>
      <c r="F324" s="98"/>
      <c r="G324" s="97"/>
      <c r="H324" s="83"/>
      <c r="I324" s="97"/>
      <c r="J324" s="97"/>
    </row>
    <row r="325" s="96" customFormat="true" ht="15" hidden="false" customHeight="true" outlineLevel="0" collapsed="false">
      <c r="A325" s="97"/>
      <c r="C325" s="98"/>
      <c r="D325" s="98"/>
      <c r="E325" s="97"/>
      <c r="F325" s="98"/>
      <c r="G325" s="97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83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182"/>
      <c r="D328" s="98"/>
      <c r="E328" s="97"/>
      <c r="F328" s="209"/>
      <c r="G328" s="209"/>
      <c r="H328" s="110"/>
      <c r="I328" s="182"/>
      <c r="J328" s="97"/>
    </row>
    <row r="329" s="96" customFormat="true" ht="15" hidden="false" customHeight="true" outlineLevel="0" collapsed="false">
      <c r="A329" s="81"/>
      <c r="B329" s="81"/>
      <c r="C329" s="98"/>
      <c r="D329" s="98"/>
      <c r="E329" s="97"/>
      <c r="F329" s="210"/>
      <c r="G329" s="210"/>
      <c r="H329" s="110"/>
      <c r="I329" s="98"/>
      <c r="J329" s="97"/>
    </row>
    <row r="330" s="96" customFormat="true" ht="15" hidden="false" customHeight="true" outlineLevel="0" collapsed="false">
      <c r="A330" s="99"/>
      <c r="B330" s="99"/>
      <c r="C330" s="98"/>
      <c r="D330" s="98"/>
      <c r="E330" s="97"/>
      <c r="F330" s="110"/>
      <c r="G330" s="110"/>
      <c r="H330" s="110"/>
      <c r="I330" s="98"/>
      <c r="J330" s="97"/>
    </row>
    <row r="331" s="96" customFormat="true" ht="15" hidden="false" customHeight="true" outlineLevel="0" collapsed="false">
      <c r="A331" s="211" t="str">
        <f aca="false">A18</f>
        <v>240-2 Panel (L)</v>
      </c>
      <c r="B331" s="99"/>
      <c r="C331" s="98"/>
      <c r="D331" s="98"/>
      <c r="E331" s="97"/>
      <c r="F331" s="110"/>
      <c r="G331" s="110"/>
      <c r="H331" s="110"/>
      <c r="I331" s="97"/>
      <c r="J331" s="97"/>
    </row>
    <row r="332" s="96" customFormat="true" ht="15" hidden="false" customHeight="true" outlineLevel="0" collapsed="false">
      <c r="A332" s="90" t="str">
        <f aca="false">A19</f>
        <v>Outside Bi Fold Door </v>
      </c>
      <c r="B332" s="188"/>
      <c r="C332" s="182"/>
      <c r="D332" s="98"/>
      <c r="E332" s="97"/>
      <c r="F332" s="210"/>
      <c r="G332" s="210"/>
      <c r="H332" s="110"/>
      <c r="I332" s="97"/>
      <c r="J332" s="97"/>
    </row>
    <row r="333" s="96" customFormat="true" ht="15.75" hidden="false" customHeight="true" outlineLevel="0" collapsed="false">
      <c r="A333" s="97"/>
      <c r="B333" s="97"/>
      <c r="C333" s="98"/>
      <c r="D333" s="98"/>
      <c r="E333" s="97"/>
      <c r="F333" s="78"/>
      <c r="H333" s="97"/>
      <c r="I333" s="97"/>
      <c r="J333" s="97"/>
    </row>
    <row r="334" s="96" customFormat="true" ht="15.75" hidden="false" customHeight="true" outlineLevel="0" collapsed="false">
      <c r="A334" s="81"/>
      <c r="C334" s="212"/>
      <c r="D334" s="98"/>
      <c r="E334" s="97"/>
      <c r="F334" s="97"/>
      <c r="G334" s="97"/>
      <c r="H334" s="97"/>
      <c r="I334" s="97"/>
      <c r="J334" s="97"/>
    </row>
    <row r="335" s="96" customFormat="true" ht="15.75" hidden="false" customHeight="true" outlineLevel="0" collapsed="false">
      <c r="A335" s="191"/>
      <c r="C335" s="191"/>
      <c r="D335" s="192"/>
      <c r="E335" s="191"/>
      <c r="F335" s="191"/>
      <c r="G335" s="191"/>
      <c r="H335" s="191"/>
      <c r="I335" s="191"/>
      <c r="J335" s="199"/>
    </row>
    <row r="336" s="96" customFormat="true" ht="15.75" hidden="false" customHeight="true" outlineLevel="0" collapsed="false">
      <c r="A336" s="190"/>
      <c r="C336" s="98"/>
      <c r="D336" s="194"/>
      <c r="E336" s="190"/>
      <c r="F336" s="189"/>
      <c r="G336" s="190"/>
      <c r="H336" s="189"/>
      <c r="I336" s="189"/>
      <c r="J336" s="190"/>
    </row>
    <row r="337" s="96" customFormat="true" ht="15.75" hidden="false" customHeight="true" outlineLevel="0" collapsed="false">
      <c r="A337" s="97"/>
      <c r="C337" s="98"/>
      <c r="D337" s="98"/>
      <c r="E337" s="97"/>
      <c r="F337" s="98"/>
      <c r="G337" s="97"/>
      <c r="H337" s="97"/>
      <c r="I337" s="196"/>
      <c r="J337" s="196"/>
    </row>
    <row r="338" s="96" customFormat="true" ht="15.75" hidden="false" customHeight="true" outlineLevel="0" collapsed="false">
      <c r="A338" s="97"/>
      <c r="C338" s="98"/>
      <c r="D338" s="98"/>
      <c r="E338" s="97"/>
      <c r="F338" s="98"/>
      <c r="G338" s="97"/>
      <c r="H338" s="97"/>
      <c r="I338" s="196"/>
      <c r="J338" s="196"/>
    </row>
    <row r="339" s="96" customFormat="true" ht="15.75" hidden="false" customHeight="true" outlineLevel="0" collapsed="false">
      <c r="A339" s="97"/>
      <c r="C339" s="191"/>
      <c r="D339" s="98"/>
      <c r="E339" s="97"/>
      <c r="F339" s="98"/>
      <c r="G339" s="97"/>
      <c r="H339" s="201"/>
      <c r="I339" s="201"/>
      <c r="J339" s="201"/>
    </row>
    <row r="340" s="96" customFormat="true" ht="15.75" hidden="false" customHeight="true" outlineLevel="0" collapsed="false">
      <c r="A340" s="97"/>
      <c r="C340" s="182"/>
      <c r="D340" s="98"/>
      <c r="E340" s="97"/>
      <c r="F340" s="98"/>
      <c r="G340" s="97"/>
      <c r="H340" s="98"/>
      <c r="I340" s="98"/>
      <c r="J340" s="98"/>
    </row>
    <row r="341" s="96" customFormat="true" ht="15.75" hidden="false" customHeight="true" outlineLevel="0" collapsed="false">
      <c r="A341" s="97"/>
      <c r="C341" s="98"/>
      <c r="D341" s="98"/>
      <c r="E341" s="97"/>
      <c r="F341" s="98"/>
      <c r="G341" s="97"/>
      <c r="H341" s="98"/>
      <c r="I341" s="98"/>
      <c r="J341" s="98"/>
    </row>
    <row r="342" s="96" customFormat="true" ht="15.75" hidden="false" customHeight="true" outlineLevel="0" collapsed="false">
      <c r="A342" s="97"/>
      <c r="C342" s="98"/>
      <c r="D342" s="98"/>
      <c r="E342" s="97"/>
      <c r="F342" s="98"/>
      <c r="G342" s="97"/>
      <c r="H342" s="97"/>
      <c r="I342" s="97"/>
      <c r="J342" s="196"/>
    </row>
    <row r="343" s="96" customFormat="true" ht="15.75" hidden="false" customHeight="true" outlineLevel="0" collapsed="false">
      <c r="A343" s="97"/>
      <c r="D343" s="98"/>
      <c r="E343" s="97"/>
      <c r="F343" s="98"/>
      <c r="G343" s="97"/>
      <c r="H343" s="97"/>
      <c r="I343" s="196"/>
      <c r="J343" s="196"/>
    </row>
    <row r="344" s="96" customFormat="true" ht="15.75" hidden="false" customHeight="true" outlineLevel="0" collapsed="false">
      <c r="A344" s="97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C346" s="191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C347" s="98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98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97"/>
      <c r="J349" s="196"/>
    </row>
    <row r="350" s="96" customFormat="true" ht="15.75" hidden="false" customHeight="true" outlineLevel="0" collapsed="false">
      <c r="A350" s="97"/>
      <c r="D350" s="98"/>
      <c r="E350" s="97"/>
      <c r="F350" s="97"/>
      <c r="G350" s="97"/>
      <c r="H350" s="97"/>
      <c r="I350" s="196"/>
      <c r="J350" s="196"/>
    </row>
    <row r="351" s="96" customFormat="true" ht="15.75" hidden="false" customHeight="true" outlineLevel="0" collapsed="false">
      <c r="A351" s="97"/>
      <c r="D351" s="98"/>
      <c r="E351" s="97"/>
      <c r="F351" s="97"/>
      <c r="G351" s="97"/>
      <c r="H351" s="195"/>
      <c r="I351" s="196"/>
      <c r="J351" s="196"/>
    </row>
    <row r="352" s="96" customFormat="true" ht="1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202" customFormat="true" ht="15.75" hidden="false" customHeight="true" outlineLevel="0" collapsed="false">
      <c r="A353" s="97"/>
      <c r="B353" s="96"/>
      <c r="C353" s="96"/>
      <c r="D353" s="98"/>
      <c r="E353" s="97"/>
      <c r="F353" s="97"/>
      <c r="G353" s="97"/>
      <c r="H353" s="97"/>
      <c r="I353" s="97"/>
      <c r="J353" s="97"/>
    </row>
    <row r="354" s="96" customFormat="true" ht="15.75" hidden="false" customHeight="true" outlineLevel="0" collapsed="false">
      <c r="A354" s="191"/>
      <c r="B354" s="191"/>
      <c r="C354" s="191"/>
      <c r="D354" s="192"/>
      <c r="E354" s="191"/>
      <c r="F354" s="191"/>
      <c r="G354" s="191"/>
      <c r="H354" s="191"/>
      <c r="I354" s="191"/>
      <c r="J354" s="199"/>
    </row>
    <row r="355" s="96" customFormat="true" ht="15.75" hidden="false" customHeight="true" outlineLevel="0" collapsed="false">
      <c r="A355" s="190"/>
      <c r="B355" s="190"/>
      <c r="C355" s="191"/>
      <c r="D355" s="194"/>
      <c r="E355" s="190"/>
      <c r="F355" s="189"/>
      <c r="G355" s="190"/>
      <c r="H355" s="189"/>
      <c r="I355" s="189"/>
      <c r="J355" s="190"/>
    </row>
    <row r="356" s="96" customFormat="true" ht="15.75" hidden="false" customHeight="true" outlineLevel="0" collapsed="false">
      <c r="A356" s="200"/>
      <c r="C356" s="182"/>
      <c r="D356" s="98"/>
      <c r="E356" s="97"/>
      <c r="F356" s="97"/>
      <c r="G356" s="97"/>
      <c r="H356" s="182"/>
      <c r="I356" s="196"/>
      <c r="J356" s="196"/>
    </row>
    <row r="357" s="96" customFormat="true" ht="15.75" hidden="false" customHeight="true" outlineLevel="0" collapsed="false">
      <c r="A357" s="200"/>
      <c r="C357" s="98"/>
      <c r="D357" s="98"/>
      <c r="E357" s="97"/>
      <c r="F357" s="97"/>
      <c r="G357" s="97"/>
      <c r="H357" s="98"/>
      <c r="I357" s="98"/>
      <c r="J357" s="98"/>
    </row>
    <row r="358" s="96" customFormat="true" ht="15.75" hidden="false" customHeight="true" outlineLevel="0" collapsed="false">
      <c r="A358" s="200"/>
      <c r="C358" s="98"/>
      <c r="D358" s="98"/>
      <c r="E358" s="97"/>
      <c r="F358" s="97"/>
      <c r="G358" s="97"/>
      <c r="H358" s="98"/>
      <c r="I358" s="98"/>
      <c r="J358" s="98"/>
    </row>
    <row r="359" s="96" customFormat="true" ht="15.75" hidden="false" customHeight="true" outlineLevel="0" collapsed="false">
      <c r="A359" s="200"/>
      <c r="D359" s="98"/>
      <c r="E359" s="97"/>
      <c r="F359" s="97"/>
      <c r="G359" s="97"/>
      <c r="H359" s="97"/>
      <c r="I359" s="196"/>
      <c r="J359" s="196"/>
    </row>
    <row r="360" s="96" customFormat="true" ht="15.75" hidden="false" customHeight="true" outlineLevel="0" collapsed="false">
      <c r="A360" s="200"/>
      <c r="D360" s="98"/>
      <c r="E360" s="97"/>
      <c r="F360" s="97"/>
      <c r="G360" s="97"/>
      <c r="H360" s="97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C362" s="98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G372" s="97"/>
      <c r="H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182"/>
      <c r="I374" s="196"/>
      <c r="J374" s="196"/>
    </row>
    <row r="375" s="96" customFormat="true" ht="15.75" hidden="false" customHeight="true" outlineLevel="0" collapsed="false">
      <c r="A375" s="200"/>
      <c r="C375" s="188"/>
      <c r="D375" s="98"/>
      <c r="E375" s="97"/>
      <c r="F375" s="97"/>
      <c r="G375" s="97"/>
      <c r="H375" s="98"/>
      <c r="I375" s="98"/>
      <c r="J375" s="98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98"/>
      <c r="I376" s="98"/>
      <c r="J376" s="98"/>
    </row>
    <row r="377" s="96" customFormat="true" ht="15.75" hidden="false" customHeight="true" outlineLevel="0" collapsed="false">
      <c r="A377" s="200"/>
      <c r="C377" s="98"/>
      <c r="D377" s="98"/>
      <c r="E377" s="97"/>
      <c r="F377" s="97"/>
      <c r="G377" s="97"/>
      <c r="H377" s="182"/>
      <c r="I377" s="196"/>
      <c r="J377" s="196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98"/>
      <c r="J378" s="98"/>
    </row>
    <row r="379" s="96" customFormat="true" ht="15.75" hidden="false" customHeight="true" outlineLevel="0" collapsed="false">
      <c r="A379" s="200"/>
      <c r="D379" s="98"/>
      <c r="E379" s="97"/>
      <c r="F379" s="97"/>
      <c r="G379" s="97"/>
      <c r="H379" s="98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7"/>
      <c r="I380" s="196"/>
      <c r="J380" s="196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7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97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213"/>
      <c r="I387" s="213"/>
      <c r="J387" s="213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97"/>
      <c r="J388" s="97"/>
    </row>
    <row r="389" s="96" customFormat="true" ht="15.75" hidden="false" customHeight="true" outlineLevel="0" collapsed="false">
      <c r="A389" s="200"/>
      <c r="C389" s="188"/>
      <c r="D389" s="98"/>
      <c r="E389" s="97"/>
      <c r="F389" s="97"/>
      <c r="G389" s="97"/>
      <c r="H389" s="98"/>
      <c r="I389" s="98"/>
      <c r="J389" s="98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196"/>
      <c r="J390" s="196"/>
    </row>
    <row r="391" s="96" customFormat="true" ht="15.75" hidden="false" customHeight="true" outlineLevel="0" collapsed="false">
      <c r="A391" s="200"/>
      <c r="C391" s="98"/>
      <c r="D391" s="98"/>
      <c r="E391" s="97"/>
      <c r="F391" s="97"/>
      <c r="G391" s="97"/>
      <c r="H391" s="97"/>
      <c r="I391" s="97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196"/>
      <c r="J392" s="196"/>
    </row>
    <row r="393" s="96" customFormat="true" ht="15.75" hidden="false" customHeight="true" outlineLevel="0" collapsed="false">
      <c r="A393" s="200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107"/>
      <c r="D395" s="98"/>
      <c r="E395" s="97"/>
      <c r="F395" s="97"/>
      <c r="G395" s="97"/>
      <c r="H395" s="97"/>
      <c r="I395" s="97"/>
      <c r="J395" s="97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202" customFormat="true" ht="15.75" hidden="false" customHeight="true" outlineLevel="0" collapsed="false">
      <c r="A403" s="107"/>
      <c r="B403" s="96"/>
      <c r="C403" s="96"/>
      <c r="D403" s="98"/>
      <c r="E403" s="97"/>
      <c r="F403" s="97"/>
      <c r="G403" s="97"/>
      <c r="H403" s="97"/>
      <c r="I403" s="97"/>
      <c r="J403" s="97"/>
    </row>
    <row r="404" s="96" customFormat="true" ht="15.75" hidden="false" customHeight="true" outlineLevel="0" collapsed="false">
      <c r="A404" s="191"/>
      <c r="B404" s="191"/>
      <c r="C404" s="191"/>
      <c r="D404" s="192"/>
      <c r="E404" s="191"/>
      <c r="F404" s="191"/>
      <c r="G404" s="191"/>
      <c r="H404" s="191"/>
      <c r="I404" s="191"/>
      <c r="J404" s="199"/>
    </row>
    <row r="405" s="96" customFormat="true" ht="15.75" hidden="false" customHeight="true" outlineLevel="0" collapsed="false">
      <c r="A405" s="191"/>
      <c r="B405" s="191"/>
      <c r="C405" s="191"/>
      <c r="D405" s="192"/>
      <c r="E405" s="191"/>
      <c r="F405" s="191"/>
      <c r="G405" s="191"/>
      <c r="H405" s="191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97"/>
      <c r="D418" s="98"/>
      <c r="E418" s="97"/>
      <c r="F418" s="97"/>
      <c r="G418" s="97"/>
      <c r="H418" s="97"/>
      <c r="I418" s="196"/>
      <c r="J418" s="196"/>
      <c r="K418" s="214"/>
    </row>
    <row r="419" s="96" customFormat="true" ht="15.75" hidden="false" customHeight="true" outlineLevel="0" collapsed="false">
      <c r="A419" s="97"/>
      <c r="D419" s="98"/>
      <c r="E419" s="97"/>
      <c r="F419" s="97"/>
      <c r="G419" s="97"/>
      <c r="H419" s="97"/>
      <c r="I419" s="196"/>
    </row>
    <row r="420" customFormat="false" ht="18" hidden="false" customHeight="true" outlineLevel="0" collapsed="false">
      <c r="A420" s="97"/>
      <c r="B420" s="96"/>
      <c r="C420" s="96"/>
      <c r="D420" s="98"/>
      <c r="E420" s="97"/>
      <c r="F420" s="97"/>
      <c r="G420" s="97"/>
      <c r="H420" s="97"/>
      <c r="I420" s="97"/>
      <c r="J420" s="92" t="str">
        <f aca="false">LEFT($J$111,10)&amp;"-04"</f>
        <v>FG-240-2PL-04</v>
      </c>
      <c r="K420" s="78"/>
      <c r="L420" s="78"/>
      <c r="M420" s="79"/>
      <c r="N420" s="79"/>
    </row>
    <row r="421" customFormat="false" ht="12.75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215"/>
      <c r="K421" s="78"/>
      <c r="L421" s="78"/>
      <c r="M421" s="79"/>
      <c r="N421" s="79"/>
    </row>
    <row r="422" customFormat="false" ht="30" hidden="false" customHeight="true" outlineLevel="0" collapsed="false">
      <c r="C422" s="75"/>
      <c r="D422" s="76"/>
      <c r="E422" s="76"/>
      <c r="F422" s="76"/>
      <c r="G422" s="76"/>
      <c r="H422" s="76"/>
      <c r="I422" s="76"/>
      <c r="J422" s="77" t="str">
        <f aca="false">J2</f>
        <v>HOMELIFE</v>
      </c>
      <c r="K422" s="83"/>
      <c r="L422" s="83"/>
      <c r="M422" s="79"/>
      <c r="N422" s="79"/>
    </row>
    <row r="423" customFormat="false" ht="24.75" hidden="false" customHeight="true" outlineLevel="0" collapsed="false">
      <c r="C423" s="82"/>
      <c r="D423" s="82"/>
      <c r="E423" s="82"/>
      <c r="F423" s="82"/>
      <c r="G423" s="82"/>
      <c r="H423" s="82"/>
      <c r="I423" s="82"/>
      <c r="J423" s="80" t="str">
        <f aca="false">J3</f>
        <v>Fabricators Guide</v>
      </c>
      <c r="K423" s="83"/>
      <c r="L423" s="83"/>
      <c r="M423" s="79"/>
      <c r="N423" s="79"/>
    </row>
    <row r="424" customFormat="false" ht="24.75" hidden="false" customHeight="true" outlineLevel="0" collapsed="false">
      <c r="B424" s="81"/>
      <c r="C424" s="82"/>
      <c r="D424" s="82"/>
      <c r="E424" s="82"/>
      <c r="F424" s="82"/>
      <c r="G424" s="82"/>
      <c r="H424" s="82"/>
      <c r="I424" s="82"/>
      <c r="J424" s="80" t="str">
        <f aca="false">J4</f>
        <v>240 Series Bi Fold Door </v>
      </c>
      <c r="M424" s="87"/>
      <c r="N424" s="87"/>
    </row>
    <row r="425" s="96" customFormat="true" ht="15" hidden="false" customHeight="true" outlineLevel="0" collapsed="false">
      <c r="A425" s="84"/>
      <c r="B425" s="84"/>
      <c r="C425" s="84"/>
      <c r="D425" s="85"/>
      <c r="E425" s="84"/>
      <c r="F425" s="84"/>
      <c r="G425" s="84"/>
      <c r="H425" s="84"/>
      <c r="I425" s="84"/>
      <c r="J425" s="86"/>
      <c r="K425" s="87"/>
      <c r="L425" s="87"/>
      <c r="M425" s="87"/>
      <c r="N425" s="87"/>
    </row>
    <row r="426" s="96" customFormat="true" ht="24.75" hidden="false" customHeight="true" outlineLevel="0" collapsed="false">
      <c r="A426" s="88" t="s">
        <v>481</v>
      </c>
      <c r="B426" s="88"/>
      <c r="C426" s="88"/>
      <c r="D426" s="88"/>
      <c r="E426" s="88"/>
      <c r="F426" s="88"/>
      <c r="G426" s="88"/>
      <c r="H426" s="88"/>
      <c r="I426" s="88"/>
      <c r="J426" s="88"/>
    </row>
    <row r="427" s="96" customFormat="true" ht="15" hidden="false" customHeight="true" outlineLevel="0" collapsed="false">
      <c r="A427" s="97"/>
      <c r="D427" s="98"/>
      <c r="E427" s="83"/>
      <c r="F427" s="98"/>
      <c r="H427" s="191"/>
      <c r="I427" s="191"/>
      <c r="J427" s="199"/>
    </row>
    <row r="428" s="96" customFormat="true" ht="15" hidden="false" customHeight="true" outlineLevel="0" collapsed="false">
      <c r="A428" s="97"/>
      <c r="D428" s="98"/>
      <c r="E428" s="83"/>
      <c r="F428" s="98"/>
      <c r="H428" s="191"/>
      <c r="I428" s="191"/>
      <c r="J428" s="199"/>
    </row>
    <row r="429" s="96" customFormat="true" ht="15" hidden="false" customHeight="true" outlineLevel="0" collapsed="false">
      <c r="A429" s="97"/>
      <c r="D429" s="98"/>
      <c r="E429" s="83"/>
      <c r="F429" s="98"/>
      <c r="H429" s="191"/>
      <c r="I429" s="191"/>
      <c r="J429" s="199"/>
    </row>
    <row r="430" s="96" customFormat="true" ht="15" hidden="false" customHeight="true" outlineLevel="0" collapsed="false">
      <c r="A430" s="97"/>
      <c r="C430" s="98"/>
      <c r="D430" s="98"/>
      <c r="E430" s="97"/>
      <c r="F430" s="98"/>
      <c r="H430" s="191"/>
      <c r="I430" s="191"/>
      <c r="J430" s="199"/>
    </row>
    <row r="431" s="96" customFormat="true" ht="15" hidden="false" customHeight="true" outlineLevel="0" collapsed="false">
      <c r="A431" s="97"/>
      <c r="C431" s="98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C432" s="98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182"/>
      <c r="D433" s="98"/>
      <c r="E433" s="97"/>
      <c r="F433" s="216"/>
      <c r="H433" s="191"/>
      <c r="I433" s="191"/>
      <c r="J433" s="199"/>
    </row>
    <row r="434" s="96" customFormat="true" ht="15" hidden="false" customHeight="true" outlineLevel="0" collapsed="false">
      <c r="A434" s="81"/>
      <c r="B434" s="81"/>
      <c r="C434" s="98"/>
      <c r="D434" s="98"/>
      <c r="E434" s="97"/>
      <c r="F434" s="186"/>
      <c r="H434" s="191"/>
      <c r="I434" s="191"/>
      <c r="J434" s="199"/>
    </row>
    <row r="435" s="96" customFormat="true" ht="15" hidden="false" customHeight="true" outlineLevel="0" collapsed="false">
      <c r="A435" s="99"/>
      <c r="B435" s="99"/>
      <c r="C435" s="98"/>
      <c r="D435" s="98"/>
      <c r="E435" s="97"/>
      <c r="F435" s="110"/>
      <c r="H435" s="191"/>
      <c r="I435" s="191"/>
      <c r="J435" s="199"/>
    </row>
    <row r="436" s="96" customFormat="true" ht="15" hidden="false" customHeight="true" outlineLevel="0" collapsed="false">
      <c r="B436" s="99"/>
      <c r="C436" s="98"/>
      <c r="D436" s="98"/>
      <c r="E436" s="97"/>
      <c r="F436" s="110"/>
      <c r="H436" s="191"/>
      <c r="I436" s="191"/>
      <c r="J436" s="199"/>
    </row>
    <row r="437" s="96" customFormat="true" ht="15" hidden="false" customHeight="true" outlineLevel="0" collapsed="false">
      <c r="A437" s="211" t="str">
        <f aca="false">A18</f>
        <v>240-2 Panel (L)</v>
      </c>
      <c r="C437" s="182"/>
      <c r="D437" s="98"/>
      <c r="E437" s="97"/>
      <c r="F437" s="186"/>
      <c r="H437" s="191"/>
      <c r="I437" s="191"/>
      <c r="J437" s="199"/>
    </row>
    <row r="438" s="96" customFormat="true" ht="15.75" hidden="false" customHeight="true" outlineLevel="0" collapsed="false">
      <c r="A438" s="90" t="str">
        <f aca="false">A19</f>
        <v>Outside Bi Fold Door </v>
      </c>
      <c r="C438" s="98"/>
      <c r="D438" s="98"/>
      <c r="E438" s="97"/>
      <c r="F438" s="78"/>
      <c r="H438" s="191"/>
      <c r="I438" s="191"/>
      <c r="J438" s="199"/>
    </row>
    <row r="439" s="96" customFormat="true" ht="15.75" hidden="false" customHeight="true" outlineLevel="0" collapsed="false">
      <c r="A439" s="81"/>
      <c r="C439" s="212"/>
      <c r="D439" s="98"/>
      <c r="E439" s="97"/>
      <c r="F439" s="97"/>
      <c r="H439" s="191"/>
      <c r="I439" s="191"/>
      <c r="J439" s="199"/>
    </row>
    <row r="440" s="96" customFormat="true" ht="15.75" hidden="false" customHeight="true" outlineLevel="0" collapsed="false">
      <c r="A440" s="191"/>
      <c r="C440" s="191"/>
      <c r="D440" s="192"/>
      <c r="E440" s="191"/>
      <c r="F440" s="191"/>
      <c r="H440" s="191"/>
      <c r="I440" s="191"/>
      <c r="J440" s="199"/>
    </row>
    <row r="441" s="96" customFormat="true" ht="15.75" hidden="false" customHeight="true" outlineLevel="0" collapsed="false">
      <c r="A441" s="190"/>
      <c r="C441" s="98"/>
      <c r="D441" s="194"/>
      <c r="E441" s="190"/>
      <c r="F441" s="189"/>
      <c r="H441" s="191"/>
      <c r="I441" s="191"/>
      <c r="J441" s="199"/>
    </row>
    <row r="442" s="96" customFormat="true" ht="34.5" hidden="false" customHeight="true" outlineLevel="0" collapsed="false">
      <c r="A442" s="97"/>
      <c r="B442" s="211"/>
      <c r="C442" s="98"/>
      <c r="D442" s="98"/>
      <c r="E442" s="97"/>
      <c r="F442" s="98"/>
      <c r="G442" s="97"/>
      <c r="H442" s="97"/>
      <c r="I442" s="196"/>
      <c r="J442" s="196"/>
    </row>
    <row r="448" s="96" customFormat="true" ht="15.75" hidden="false" customHeight="true" outlineLevel="0" collapsed="false">
      <c r="A448" s="97"/>
      <c r="D448" s="98"/>
      <c r="E448" s="97"/>
      <c r="F448" s="98"/>
      <c r="G448" s="97"/>
      <c r="H448" s="97"/>
      <c r="I448" s="196"/>
      <c r="J448" s="196"/>
    </row>
    <row r="449" s="96" customFormat="true" ht="15.75" hidden="false" customHeight="true" outlineLevel="0" collapsed="false">
      <c r="A449" s="97"/>
      <c r="D449" s="98"/>
      <c r="E449" s="97"/>
      <c r="F449" s="98"/>
      <c r="G449" s="97"/>
      <c r="H449" s="97"/>
      <c r="I449" s="196"/>
      <c r="J449" s="196"/>
    </row>
    <row r="450" s="96" customFormat="true" ht="15.75" hidden="false" customHeight="true" outlineLevel="0" collapsed="false">
      <c r="A450" s="97"/>
      <c r="D450" s="98"/>
      <c r="E450" s="97"/>
      <c r="F450" s="98"/>
      <c r="G450" s="97"/>
      <c r="H450" s="97"/>
      <c r="I450" s="196"/>
      <c r="J450" s="196"/>
    </row>
    <row r="451" s="96" customFormat="true" ht="15.75" hidden="false" customHeight="true" outlineLevel="0" collapsed="false">
      <c r="A451" s="97"/>
      <c r="C451" s="191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C452" s="98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C453" s="98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98"/>
      <c r="D454" s="98"/>
      <c r="E454" s="97"/>
      <c r="F454" s="98"/>
      <c r="G454" s="97"/>
      <c r="H454" s="97"/>
      <c r="I454" s="97"/>
      <c r="J454" s="196"/>
    </row>
    <row r="455" s="96" customFormat="true" ht="15.75" hidden="false" customHeight="true" outlineLevel="0" collapsed="false">
      <c r="A455" s="97"/>
      <c r="D455" s="98"/>
      <c r="E455" s="97"/>
      <c r="F455" s="97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D456" s="98"/>
      <c r="E456" s="97"/>
      <c r="F456" s="97"/>
      <c r="G456" s="97"/>
      <c r="H456" s="195"/>
      <c r="I456" s="196"/>
      <c r="J456" s="196"/>
    </row>
    <row r="457" s="96" customFormat="true" ht="15" hidden="false" customHeight="true" outlineLevel="0" collapsed="false">
      <c r="A457" s="97"/>
      <c r="D457" s="98"/>
      <c r="E457" s="97"/>
      <c r="F457" s="97"/>
      <c r="G457" s="97"/>
      <c r="H457" s="97"/>
      <c r="I457" s="196"/>
      <c r="J457" s="196"/>
    </row>
    <row r="458" s="202" customFormat="true" ht="15.75" hidden="false" customHeight="true" outlineLevel="0" collapsed="false">
      <c r="A458" s="97"/>
      <c r="B458" s="96"/>
      <c r="C458" s="96"/>
      <c r="D458" s="98"/>
      <c r="E458" s="97"/>
      <c r="F458" s="97"/>
      <c r="G458" s="97"/>
      <c r="H458" s="97"/>
      <c r="I458" s="97"/>
      <c r="J458" s="97"/>
    </row>
    <row r="459" s="96" customFormat="true" ht="15.75" hidden="false" customHeight="true" outlineLevel="0" collapsed="false">
      <c r="A459" s="191"/>
      <c r="B459" s="191"/>
      <c r="C459" s="191"/>
      <c r="D459" s="192"/>
      <c r="E459" s="191"/>
      <c r="F459" s="191"/>
      <c r="G459" s="191"/>
      <c r="H459" s="191"/>
      <c r="I459" s="191"/>
      <c r="J459" s="199"/>
    </row>
    <row r="460" s="96" customFormat="true" ht="15.75" hidden="false" customHeight="true" outlineLevel="0" collapsed="false">
      <c r="A460" s="190"/>
      <c r="B460" s="190"/>
      <c r="C460" s="191"/>
      <c r="D460" s="194"/>
      <c r="E460" s="190"/>
      <c r="F460" s="189"/>
      <c r="G460" s="190"/>
      <c r="H460" s="189"/>
      <c r="I460" s="189"/>
      <c r="J460" s="190"/>
    </row>
    <row r="461" s="96" customFormat="true" ht="15.75" hidden="false" customHeight="true" outlineLevel="0" collapsed="false">
      <c r="A461" s="200"/>
      <c r="C461" s="182"/>
      <c r="D461" s="98"/>
      <c r="E461" s="97"/>
      <c r="F461" s="97"/>
      <c r="G461" s="97"/>
      <c r="H461" s="182"/>
      <c r="I461" s="196"/>
      <c r="J461" s="196"/>
    </row>
    <row r="462" s="96" customFormat="true" ht="15.75" hidden="false" customHeight="true" outlineLevel="0" collapsed="false">
      <c r="A462" s="200"/>
      <c r="C462" s="98"/>
      <c r="D462" s="98"/>
      <c r="E462" s="97"/>
      <c r="F462" s="97"/>
      <c r="G462" s="97"/>
      <c r="J462" s="97"/>
    </row>
    <row r="463" s="96" customFormat="true" ht="15.75" hidden="false" customHeight="true" outlineLevel="0" collapsed="false">
      <c r="A463" s="200"/>
      <c r="C463" s="98"/>
      <c r="D463" s="98"/>
      <c r="E463" s="97"/>
      <c r="F463" s="97"/>
      <c r="G463" s="97"/>
      <c r="J463" s="97"/>
    </row>
    <row r="464" s="96" customFormat="true" ht="15.75" hidden="false" customHeight="true" outlineLevel="0" collapsed="false">
      <c r="A464" s="200"/>
      <c r="D464" s="98"/>
      <c r="E464" s="97"/>
      <c r="F464" s="97"/>
      <c r="G464" s="97"/>
      <c r="H464" s="97"/>
      <c r="I464" s="196"/>
      <c r="J464" s="196"/>
    </row>
    <row r="465" s="96" customFormat="true" ht="15.75" hidden="false" customHeight="true" outlineLevel="0" collapsed="false">
      <c r="A465" s="200"/>
      <c r="D465" s="98"/>
      <c r="E465" s="97"/>
      <c r="F465" s="97"/>
      <c r="G465" s="97"/>
      <c r="H465" s="97"/>
      <c r="I465" s="196"/>
      <c r="J465" s="196"/>
    </row>
    <row r="466" s="96" customFormat="true" ht="15.75" hidden="false" customHeight="true" outlineLevel="0" collapsed="false">
      <c r="A466" s="200"/>
      <c r="D466" s="98"/>
      <c r="E466" s="97"/>
      <c r="F466" s="97"/>
      <c r="G466" s="97"/>
      <c r="H466" s="97"/>
      <c r="I466" s="196"/>
      <c r="J466" s="196"/>
    </row>
    <row r="467" s="96" customFormat="true" ht="15.75" hidden="false" customHeight="true" outlineLevel="0" collapsed="false">
      <c r="A467" s="200"/>
      <c r="C467" s="98"/>
      <c r="D467" s="98"/>
      <c r="E467" s="97"/>
      <c r="F467" s="97"/>
      <c r="G467" s="97"/>
      <c r="H467" s="97"/>
      <c r="I467" s="196"/>
      <c r="J467" s="196"/>
    </row>
    <row r="468" s="96" customFormat="true" ht="15.75" hidden="false" customHeight="true" outlineLevel="0" collapsed="false">
      <c r="A468" s="200"/>
      <c r="D468" s="98"/>
      <c r="E468" s="97"/>
      <c r="F468" s="97"/>
      <c r="G468" s="97"/>
      <c r="H468" s="97"/>
      <c r="I468" s="196"/>
      <c r="J468" s="196"/>
    </row>
    <row r="469" s="96" customFormat="true" ht="15.75" hidden="false" customHeight="true" outlineLevel="0" collapsed="false">
      <c r="A469" s="200"/>
      <c r="D469" s="98"/>
      <c r="E469" s="97"/>
      <c r="F469" s="97"/>
      <c r="G469" s="97"/>
      <c r="H469" s="97"/>
      <c r="I469" s="196"/>
      <c r="J469" s="196"/>
    </row>
    <row r="470" s="96" customFormat="true" ht="15.75" hidden="false" customHeight="true" outlineLevel="0" collapsed="false">
      <c r="A470" s="200"/>
      <c r="D470" s="98"/>
      <c r="E470" s="97"/>
      <c r="F470" s="97"/>
      <c r="G470" s="97"/>
      <c r="H470" s="97"/>
      <c r="I470" s="196"/>
      <c r="J470" s="196"/>
    </row>
    <row r="471" s="96" customFormat="true" ht="15.75" hidden="false" customHeight="true" outlineLevel="0" collapsed="false">
      <c r="A471" s="200"/>
      <c r="D471" s="98"/>
      <c r="E471" s="97"/>
      <c r="F471" s="97"/>
      <c r="G471" s="97"/>
      <c r="H471" s="97"/>
      <c r="I471" s="196"/>
      <c r="J471" s="196"/>
    </row>
    <row r="472" s="96" customFormat="true" ht="15.75" hidden="false" customHeight="true" outlineLevel="0" collapsed="false">
      <c r="A472" s="200"/>
      <c r="D472" s="98"/>
      <c r="E472" s="97"/>
      <c r="F472" s="97"/>
      <c r="G472" s="97"/>
      <c r="H472" s="97"/>
      <c r="I472" s="196"/>
      <c r="J472" s="196"/>
    </row>
    <row r="473" s="96" customFormat="true" ht="15.75" hidden="false" customHeight="true" outlineLevel="0" collapsed="false">
      <c r="A473" s="200"/>
      <c r="D473" s="98"/>
      <c r="E473" s="97"/>
      <c r="F473" s="97"/>
      <c r="G473" s="97"/>
      <c r="H473" s="97"/>
      <c r="I473" s="196"/>
      <c r="J473" s="196"/>
    </row>
    <row r="474" s="96" customFormat="true" ht="15.75" hidden="false" customHeight="true" outlineLevel="0" collapsed="false">
      <c r="A474" s="200"/>
      <c r="D474" s="98"/>
      <c r="E474" s="97"/>
      <c r="F474" s="97"/>
      <c r="G474" s="97"/>
      <c r="H474" s="97"/>
      <c r="I474" s="196"/>
      <c r="J474" s="196"/>
    </row>
    <row r="475" s="96" customFormat="true" ht="15.75" hidden="false" customHeight="true" outlineLevel="0" collapsed="false">
      <c r="A475" s="200"/>
      <c r="D475" s="98"/>
      <c r="E475" s="97"/>
      <c r="F475" s="97"/>
      <c r="I475" s="196"/>
      <c r="J475" s="196"/>
    </row>
    <row r="476" s="96" customFormat="true" ht="15.75" hidden="false" customHeight="true" outlineLevel="0" collapsed="false">
      <c r="A476" s="200"/>
      <c r="D476" s="98"/>
      <c r="E476" s="97"/>
      <c r="F476" s="97"/>
      <c r="G476" s="97"/>
      <c r="H476" s="97"/>
      <c r="I476" s="196"/>
      <c r="J476" s="196"/>
    </row>
    <row r="477" s="96" customFormat="true" ht="15.75" hidden="false" customHeight="true" outlineLevel="0" collapsed="false">
      <c r="A477" s="200"/>
      <c r="D477" s="98"/>
      <c r="E477" s="97"/>
      <c r="F477" s="97"/>
      <c r="G477" s="97"/>
      <c r="H477" s="97"/>
      <c r="I477" s="196"/>
      <c r="J477" s="196"/>
    </row>
    <row r="478" s="96" customFormat="true" ht="15.75" hidden="false" customHeight="true" outlineLevel="0" collapsed="false">
      <c r="A478" s="200"/>
      <c r="D478" s="98"/>
      <c r="E478" s="97"/>
      <c r="F478" s="97"/>
      <c r="G478" s="97"/>
      <c r="H478" s="97"/>
      <c r="I478" s="196"/>
      <c r="J478" s="196"/>
    </row>
    <row r="479" s="96" customFormat="true" ht="15.75" hidden="false" customHeight="true" outlineLevel="0" collapsed="false">
      <c r="A479" s="200"/>
      <c r="D479" s="98"/>
      <c r="E479" s="97"/>
      <c r="F479" s="97"/>
      <c r="G479" s="97"/>
      <c r="H479" s="182"/>
      <c r="I479" s="196"/>
      <c r="J479" s="196"/>
    </row>
    <row r="480" s="96" customFormat="true" ht="15.75" hidden="false" customHeight="true" outlineLevel="0" collapsed="false">
      <c r="A480" s="200"/>
      <c r="C480" s="188"/>
      <c r="D480" s="98"/>
      <c r="E480" s="97"/>
      <c r="F480" s="97"/>
      <c r="G480" s="97"/>
      <c r="J480" s="97"/>
    </row>
    <row r="481" s="96" customFormat="true" ht="15.75" hidden="false" customHeight="true" outlineLevel="0" collapsed="false">
      <c r="A481" s="200"/>
      <c r="D481" s="98"/>
      <c r="E481" s="97"/>
      <c r="F481" s="97"/>
      <c r="G481" s="97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H482" s="182"/>
      <c r="I482" s="196"/>
      <c r="J482" s="196"/>
    </row>
    <row r="483" s="96" customFormat="true" ht="15.75" hidden="false" customHeight="true" outlineLevel="0" collapsed="false">
      <c r="A483" s="200"/>
      <c r="D483" s="98"/>
      <c r="E483" s="97"/>
      <c r="F483" s="97"/>
      <c r="G483" s="97"/>
      <c r="J483" s="97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J484" s="97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97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97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97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97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97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97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97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G495" s="97"/>
      <c r="H495" s="97"/>
      <c r="I495" s="97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97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97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97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97"/>
      <c r="I499" s="97"/>
      <c r="J499" s="196"/>
    </row>
    <row r="500" s="96" customFormat="true" ht="15.75" hidden="false" customHeight="true" outlineLevel="0" collapsed="false">
      <c r="A500" s="200"/>
      <c r="D500" s="98"/>
      <c r="E500" s="97"/>
      <c r="F500" s="97"/>
      <c r="G500" s="97"/>
      <c r="H500" s="97"/>
      <c r="I500" s="97"/>
      <c r="J500" s="196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H501" s="97"/>
      <c r="I501" s="97"/>
      <c r="J501" s="196"/>
    </row>
    <row r="502" s="96" customFormat="true" ht="15.75" hidden="false" customHeight="true" outlineLevel="0" collapsed="false">
      <c r="A502" s="200"/>
      <c r="D502" s="98"/>
      <c r="E502" s="97"/>
      <c r="F502" s="97"/>
      <c r="G502" s="97"/>
      <c r="H502" s="97"/>
      <c r="I502" s="97"/>
      <c r="J502" s="196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H503" s="97"/>
      <c r="I503" s="97"/>
      <c r="J503" s="196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H504" s="97"/>
      <c r="I504" s="97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97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97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191"/>
      <c r="B513" s="191"/>
      <c r="C513" s="191"/>
      <c r="D513" s="192"/>
      <c r="E513" s="191"/>
      <c r="F513" s="191"/>
      <c r="G513" s="191"/>
      <c r="H513" s="191"/>
      <c r="I513" s="191"/>
      <c r="J513" s="199"/>
    </row>
    <row r="514" s="96" customFormat="true" ht="15.75" hidden="false" customHeight="true" outlineLevel="0" collapsed="false">
      <c r="A514" s="191"/>
      <c r="B514" s="191"/>
      <c r="C514" s="191"/>
      <c r="D514" s="192"/>
      <c r="E514" s="191"/>
      <c r="F514" s="191"/>
      <c r="G514" s="191"/>
      <c r="H514" s="191"/>
      <c r="I514" s="191"/>
      <c r="J514" s="199"/>
    </row>
    <row r="515" s="96" customFormat="true" ht="15.75" hidden="false" customHeight="true" outlineLevel="0" collapsed="false"/>
    <row r="516" s="96" customFormat="true" ht="15.75" hidden="false" customHeight="true" outlineLevel="0" collapsed="false"/>
    <row r="517" s="96" customFormat="true" ht="24.75" hidden="false" customHeight="true" outlineLevel="0" collapsed="false">
      <c r="A517" s="88" t="s">
        <v>482</v>
      </c>
      <c r="B517" s="88"/>
      <c r="C517" s="88"/>
      <c r="D517" s="88"/>
      <c r="E517" s="88"/>
      <c r="F517" s="88"/>
      <c r="G517" s="88"/>
      <c r="H517" s="88"/>
      <c r="I517" s="88"/>
      <c r="J517" s="88"/>
    </row>
    <row r="518" s="96" customFormat="true" ht="34.5" hidden="false" customHeight="true" outlineLevel="0" collapsed="false">
      <c r="A518" s="217" t="s">
        <v>319</v>
      </c>
      <c r="B518" s="218" t="s">
        <v>168</v>
      </c>
      <c r="C518" s="219" t="s">
        <v>168</v>
      </c>
      <c r="D518" s="220" t="s">
        <v>483</v>
      </c>
      <c r="E518" s="219" t="s">
        <v>321</v>
      </c>
      <c r="F518" s="221" t="s">
        <v>484</v>
      </c>
      <c r="G518" s="222"/>
      <c r="H518" s="220" t="s">
        <v>484</v>
      </c>
      <c r="I518" s="220" t="s">
        <v>485</v>
      </c>
      <c r="J518" s="223" t="s">
        <v>323</v>
      </c>
      <c r="N518" s="118" t="s">
        <v>168</v>
      </c>
      <c r="O518" s="118" t="s">
        <v>168</v>
      </c>
    </row>
    <row r="519" s="96" customFormat="true" ht="15.75" hidden="false" customHeight="true" outlineLevel="0" collapsed="false">
      <c r="A519" s="120" t="n">
        <f aca="false">IF(C519="","",1)</f>
        <v>1</v>
      </c>
      <c r="B519" s="121" t="str">
        <f aca="false">IF($D$127=5,N519,IF($D$127=6,N520,IF($D$127=8,N521,IF($D$127=10,N522,IF($D$127=12,N523,IF($D$127=14,N524,IF($D$127=18,N525,IF($D$127=20,N526,IF($D$127=22,N527,)))))))))</f>
        <v>กระจก 6 mm (สูง) (กว้าง)</v>
      </c>
      <c r="C519" s="121" t="str">
        <f aca="false">IF($D$127=5,O519,IF($D$127=6,O520,IF($D$127=8,O521,IF($D$127=10,O522,IF($D$127=12,O523,IF($D$127=14,O524,IF($D$127=18,O525,IF($D$127=20,O526,IF($D$127=22,O527,)))))))))</f>
        <v>GLASS thk.6 mm (H) (W)</v>
      </c>
      <c r="D519" s="123" t="n">
        <f aca="false">$J$123-215</f>
        <v>285</v>
      </c>
      <c r="E519" s="120" t="s">
        <v>486</v>
      </c>
      <c r="F519" s="224" t="s">
        <v>487</v>
      </c>
      <c r="G519" s="224"/>
      <c r="H519" s="120" t="s">
        <v>488</v>
      </c>
      <c r="I519" s="225" t="n">
        <f aca="false">(($J$126-182-113.25)/2)-13</f>
        <v>189.375</v>
      </c>
      <c r="J519" s="226" t="n">
        <f aca="false">$J$120*2</f>
        <v>2</v>
      </c>
      <c r="M519" s="96" t="n">
        <f aca="false">ROW()</f>
        <v>519</v>
      </c>
      <c r="N519" s="62" t="s">
        <v>489</v>
      </c>
      <c r="O519" s="62" t="s">
        <v>490</v>
      </c>
    </row>
    <row r="520" s="96" customFormat="true" ht="15.75" hidden="false" customHeight="true" outlineLevel="0" collapsed="false">
      <c r="A520" s="227"/>
      <c r="B520" s="131"/>
      <c r="C520" s="228"/>
      <c r="D520" s="176" t="s">
        <v>208</v>
      </c>
      <c r="E520" s="167"/>
      <c r="F520" s="229"/>
      <c r="G520" s="230"/>
      <c r="H520" s="228"/>
      <c r="I520" s="231"/>
      <c r="J520" s="232"/>
      <c r="M520" s="96" t="n">
        <f aca="false">ROW()</f>
        <v>520</v>
      </c>
      <c r="N520" s="62" t="s">
        <v>491</v>
      </c>
      <c r="O520" s="62" t="s">
        <v>492</v>
      </c>
    </row>
    <row r="521" s="96" customFormat="true" ht="15.75" hidden="false" customHeight="true" outlineLevel="0" collapsed="false">
      <c r="A521" s="227"/>
      <c r="B521" s="131"/>
      <c r="C521" s="228"/>
      <c r="D521" s="176"/>
      <c r="E521" s="167"/>
      <c r="F521" s="229"/>
      <c r="G521" s="230"/>
      <c r="H521" s="228"/>
      <c r="I521" s="231"/>
      <c r="J521" s="232"/>
      <c r="M521" s="96" t="n">
        <f aca="false">ROW()</f>
        <v>521</v>
      </c>
      <c r="N521" s="62" t="s">
        <v>493</v>
      </c>
      <c r="O521" s="62" t="s">
        <v>494</v>
      </c>
    </row>
    <row r="522" s="96" customFormat="true" ht="15.75" hidden="false" customHeight="true" outlineLevel="0" collapsed="false">
      <c r="A522" s="227"/>
      <c r="B522" s="131"/>
      <c r="C522" s="131"/>
      <c r="D522" s="132"/>
      <c r="E522" s="130"/>
      <c r="F522" s="233"/>
      <c r="G522" s="234"/>
      <c r="H522" s="130"/>
      <c r="I522" s="133"/>
      <c r="J522" s="235"/>
      <c r="M522" s="96" t="n">
        <f aca="false">ROW()</f>
        <v>522</v>
      </c>
      <c r="N522" s="62" t="s">
        <v>495</v>
      </c>
      <c r="O522" s="62" t="s">
        <v>496</v>
      </c>
    </row>
    <row r="523" s="96" customFormat="true" ht="15.75" hidden="false" customHeight="true" outlineLevel="0" collapsed="false">
      <c r="A523" s="136" t="str">
        <f aca="false">IF(B523="","",+A520+1)</f>
        <v/>
      </c>
      <c r="B523" s="135"/>
      <c r="C523" s="135"/>
      <c r="D523" s="139"/>
      <c r="E523" s="136"/>
      <c r="F523" s="236"/>
      <c r="G523" s="237"/>
      <c r="H523" s="136"/>
      <c r="I523" s="180"/>
      <c r="J523" s="140"/>
      <c r="M523" s="96" t="n">
        <f aca="false">ROW()</f>
        <v>523</v>
      </c>
      <c r="N523" s="62" t="s">
        <v>497</v>
      </c>
      <c r="O523" s="62" t="s">
        <v>498</v>
      </c>
    </row>
    <row r="524" s="96" customFormat="true" ht="15.75" hidden="false" customHeight="true" outlineLevel="0" collapsed="false">
      <c r="A524" s="97" t="str">
        <f aca="false">IF(B524="","",+A523+1)</f>
        <v/>
      </c>
      <c r="D524" s="98"/>
      <c r="E524" s="97"/>
      <c r="F524" s="97"/>
      <c r="G524" s="97"/>
      <c r="H524" s="97"/>
      <c r="I524" s="97"/>
      <c r="J524" s="92" t="str">
        <f aca="false">LEFT($J$111,10)&amp;"-05"</f>
        <v>FG-240-2PL-05</v>
      </c>
      <c r="M524" s="96" t="n">
        <f aca="false">ROW()</f>
        <v>524</v>
      </c>
      <c r="N524" s="62" t="s">
        <v>499</v>
      </c>
      <c r="O524" s="62" t="s">
        <v>500</v>
      </c>
    </row>
    <row r="525" customFormat="false" ht="14.25" hidden="false" customHeight="false" outlineLevel="0" collapsed="false">
      <c r="M525" s="96" t="n">
        <f aca="false">ROW()</f>
        <v>525</v>
      </c>
      <c r="N525" s="62" t="s">
        <v>501</v>
      </c>
      <c r="O525" s="62" t="s">
        <v>502</v>
      </c>
      <c r="P525" s="96"/>
      <c r="Q525" s="96"/>
      <c r="R525" s="96"/>
      <c r="S525" s="96"/>
      <c r="T525" s="96"/>
      <c r="U525" s="96"/>
      <c r="V525" s="96"/>
    </row>
    <row r="526" customFormat="false" ht="14.25" hidden="false" customHeight="false" outlineLevel="0" collapsed="false">
      <c r="M526" s="96" t="n">
        <f aca="false">ROW()</f>
        <v>526</v>
      </c>
      <c r="N526" s="62" t="s">
        <v>503</v>
      </c>
      <c r="O526" s="62" t="s">
        <v>504</v>
      </c>
      <c r="P526" s="96"/>
      <c r="Q526" s="96"/>
      <c r="R526" s="96"/>
      <c r="S526" s="96"/>
      <c r="T526" s="96"/>
      <c r="U526" s="96"/>
      <c r="V526" s="96"/>
    </row>
    <row r="527" customFormat="false" ht="14.25" hidden="false" customHeight="false" outlineLevel="0" collapsed="false">
      <c r="M527" s="96" t="n">
        <f aca="false">ROW()</f>
        <v>527</v>
      </c>
      <c r="N527" s="62" t="s">
        <v>505</v>
      </c>
      <c r="O527" s="62" t="s">
        <v>506</v>
      </c>
      <c r="P527" s="96"/>
    </row>
    <row r="528" customFormat="false" ht="14.25" hidden="false" customHeight="false" outlineLevel="0" collapsed="false">
      <c r="P528" s="96"/>
    </row>
    <row r="529" customFormat="false" ht="14.25" hidden="false" customHeight="false" outlineLevel="0" collapsed="false">
      <c r="P529" s="96"/>
    </row>
    <row r="530" customFormat="false" ht="14.25" hidden="false" customHeight="false" outlineLevel="0" collapsed="false">
      <c r="P530" s="96"/>
    </row>
    <row r="531" customFormat="false" ht="14.25" hidden="false" customHeight="false" outlineLevel="0" collapsed="false">
      <c r="P531" s="96"/>
    </row>
    <row r="532" customFormat="false" ht="14.25" hidden="false" customHeight="false" outlineLevel="0" collapsed="false">
      <c r="P532" s="96"/>
    </row>
    <row r="533" customFormat="false" ht="14.25" hidden="false" customHeight="false" outlineLevel="0" collapsed="false">
      <c r="P533" s="96"/>
    </row>
    <row r="534" customFormat="false" ht="14.25" hidden="false" customHeight="false" outlineLevel="0" collapsed="false">
      <c r="P534" s="96"/>
    </row>
  </sheetData>
  <mergeCells count="43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8:J158"/>
    <mergeCell ref="I159:J159"/>
    <mergeCell ref="I160:J160"/>
    <mergeCell ref="I161:J161"/>
    <mergeCell ref="I162:J162"/>
    <mergeCell ref="D163:D164"/>
    <mergeCell ref="H163:H164"/>
    <mergeCell ref="I163:J164"/>
    <mergeCell ref="D165:D166"/>
    <mergeCell ref="H165:H166"/>
    <mergeCell ref="I165:J165"/>
    <mergeCell ref="I166:J169"/>
    <mergeCell ref="D167:D170"/>
    <mergeCell ref="H167:H170"/>
    <mergeCell ref="I170:J171"/>
    <mergeCell ref="D171:D172"/>
    <mergeCell ref="H171:H172"/>
    <mergeCell ref="I172:J172"/>
    <mergeCell ref="A173:J173"/>
    <mergeCell ref="A212:J212"/>
    <mergeCell ref="A319:J319"/>
    <mergeCell ref="F328:G328"/>
    <mergeCell ref="F329:G329"/>
    <mergeCell ref="F332:G332"/>
    <mergeCell ref="A426:J426"/>
    <mergeCell ref="A517:J517"/>
    <mergeCell ref="F519:G519"/>
  </mergeCells>
  <dataValidations count="3">
    <dataValidation allowBlank="true" errorStyle="stop" operator="between" showDropDown="false" showErrorMessage="true" showInputMessage="true" sqref="D127:G127" type="list">
      <formula1>$N$120:$N$128</formula1>
      <formula2>0</formula2>
    </dataValidation>
    <dataValidation allowBlank="true" errorStyle="stop" operator="between" showDropDown="false" showErrorMessage="true" showInputMessage="true" sqref="D129:G129" type="list">
      <formula1>$O$120</formula1>
      <formula2>0</formula2>
    </dataValidation>
    <dataValidation allowBlank="true" errorStyle="stop" operator="between" showDropDown="false" showErrorMessage="true" showInputMessage="true" sqref="D123:G123" type="list">
      <formula1>$P$119:$P$128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6" man="true" max="16383" min="0"/>
    <brk id="313" man="true" max="16383" min="0"/>
    <brk id="420" man="true" max="16383" min="0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Y527"/>
  <sheetViews>
    <sheetView showFormulas="false" showGridLines="false" showRowColHeaders="true" showZeros="true" rightToLeft="false" tabSelected="false" showOutlineSymbols="true" defaultGridColor="true" view="pageBreakPreview" topLeftCell="A178" colorId="64" zoomScale="75" zoomScaleNormal="75" zoomScalePageLayoutView="75" workbookViewId="0">
      <selection pane="topLeft" activeCell="D183" activeCellId="0" sqref="D183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4.11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4.44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false" outlineLevel="0" max="13" min="13" style="0" width="10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18.34"/>
    <col collapsed="false" customWidth="true" hidden="true" outlineLevel="1" max="22" min="22" style="0" width="11.11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507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>
      <c r="G45" s="91"/>
    </row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508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5" hidden="false" customHeight="true" outlineLevel="0" collapsed="false">
      <c r="A118" s="97"/>
      <c r="C118" s="81"/>
      <c r="D118" s="98"/>
      <c r="E118" s="83"/>
      <c r="J118" s="99"/>
      <c r="K118" s="83"/>
    </row>
    <row r="119" s="96" customFormat="true" ht="15" hidden="false" customHeight="true" outlineLevel="0" collapsed="false">
      <c r="A119" s="97"/>
      <c r="C119" s="100" t="s">
        <v>286</v>
      </c>
      <c r="D119" s="101" t="s">
        <v>287</v>
      </c>
      <c r="E119" s="101"/>
      <c r="F119" s="101"/>
      <c r="G119" s="101"/>
      <c r="I119" s="83"/>
      <c r="J119" s="97"/>
      <c r="N119" s="102" t="s">
        <v>288</v>
      </c>
      <c r="O119" s="97" t="s">
        <v>289</v>
      </c>
      <c r="P119" s="102" t="s">
        <v>290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102" t="n">
        <v>5</v>
      </c>
      <c r="O120" s="97" t="s">
        <v>509</v>
      </c>
      <c r="P120" s="106" t="s">
        <v>294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102" t="n">
        <v>6</v>
      </c>
      <c r="O121" s="97" t="s">
        <v>296</v>
      </c>
      <c r="P121" s="106" t="s">
        <v>297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102" t="n">
        <v>8</v>
      </c>
      <c r="P122" s="106" t="s">
        <v>299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303</v>
      </c>
      <c r="E123" s="101"/>
      <c r="F123" s="101"/>
      <c r="G123" s="101"/>
      <c r="H123" s="104" t="s">
        <v>302</v>
      </c>
      <c r="I123" s="104"/>
      <c r="J123" s="105" t="n">
        <v>2500</v>
      </c>
      <c r="N123" s="102" t="n">
        <v>10</v>
      </c>
      <c r="P123" s="106" t="s">
        <v>303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102" t="n">
        <v>12</v>
      </c>
      <c r="P124" s="106" t="s">
        <v>305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510</v>
      </c>
      <c r="E125" s="101"/>
      <c r="F125" s="101"/>
      <c r="G125" s="101"/>
      <c r="H125" s="107"/>
      <c r="I125" s="107"/>
      <c r="J125" s="97"/>
      <c r="K125" s="110"/>
      <c r="L125" s="110"/>
      <c r="N125" s="102" t="n">
        <v>14</v>
      </c>
      <c r="P125" s="106" t="s">
        <v>308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3000</v>
      </c>
      <c r="K126" s="110"/>
      <c r="L126" s="110"/>
      <c r="N126" s="102" t="n">
        <v>18</v>
      </c>
      <c r="P126" s="106" t="s">
        <v>311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102" t="n">
        <v>20</v>
      </c>
      <c r="P127" s="106" t="s">
        <v>313</v>
      </c>
    </row>
    <row r="128" s="96" customFormat="true" ht="18.75" hidden="false" customHeight="true" outlineLevel="0" collapsed="false">
      <c r="C128" s="108" t="s">
        <v>314</v>
      </c>
      <c r="I128" s="97"/>
      <c r="J128" s="97"/>
      <c r="N128" s="102" t="n">
        <v>22</v>
      </c>
      <c r="P128" s="106" t="s">
        <v>315</v>
      </c>
    </row>
    <row r="129" s="96" customFormat="true" ht="15" hidden="false" customHeight="true" outlineLevel="0" collapsed="false">
      <c r="A129" s="89" t="str">
        <f aca="false">A18</f>
        <v>240-2 Panel (R)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330</v>
      </c>
      <c r="G133" s="120" t="n">
        <v>1</v>
      </c>
      <c r="H133" s="120" t="s">
        <v>331</v>
      </c>
      <c r="I133" s="123" t="n">
        <f aca="false">$J$126-60</f>
        <v>2940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4</v>
      </c>
      <c r="U133" s="127" t="s">
        <v>337</v>
      </c>
      <c r="V133" s="128" t="n">
        <f aca="false">($J$126-182-113.25)/2</f>
        <v>1352.375</v>
      </c>
      <c r="W133" s="129" t="n">
        <f aca="false">$J$120*T133</f>
        <v>4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2914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4</v>
      </c>
      <c r="U134" s="130" t="s">
        <v>337</v>
      </c>
      <c r="V134" s="128" t="n">
        <f aca="false">($J$126-182-113.25)/2</f>
        <v>1352.375</v>
      </c>
      <c r="W134" s="134" t="n">
        <f aca="false">$J$120*T134</f>
        <v>4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2940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4</v>
      </c>
      <c r="U135" s="136" t="s">
        <v>337</v>
      </c>
      <c r="V135" s="128" t="n">
        <f aca="false">($J$126-182-113.25)/2</f>
        <v>1352.375</v>
      </c>
      <c r="W135" s="137" t="n">
        <f aca="false">$J$120*T135</f>
        <v>4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2940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4</v>
      </c>
      <c r="U136" s="127" t="s">
        <v>360</v>
      </c>
      <c r="V136" s="138" t="n">
        <f aca="false">$J$123-242</f>
        <v>2258</v>
      </c>
      <c r="W136" s="129" t="n">
        <f aca="false">$J$120*T136</f>
        <v>4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2500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4</v>
      </c>
      <c r="U137" s="130" t="s">
        <v>360</v>
      </c>
      <c r="V137" s="133" t="n">
        <f aca="false">$J$123-242</f>
        <v>2258</v>
      </c>
      <c r="W137" s="134" t="n">
        <f aca="false">$J$120*T137</f>
        <v>4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2500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4</v>
      </c>
      <c r="U138" s="136" t="s">
        <v>360</v>
      </c>
      <c r="V138" s="140" t="n">
        <f aca="false">$J$123-242</f>
        <v>2258</v>
      </c>
      <c r="W138" s="137" t="n">
        <f aca="false">$J$120*T138</f>
        <v>4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2404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2404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2</v>
      </c>
      <c r="H141" s="130" t="s">
        <v>383</v>
      </c>
      <c r="I141" s="141" t="n">
        <f aca="false">($J$126-60-(2+1)*4)/2</f>
        <v>1464</v>
      </c>
      <c r="J141" s="134" t="n">
        <f aca="false">$J$120*G141</f>
        <v>2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2</v>
      </c>
      <c r="H142" s="130" t="s">
        <v>383</v>
      </c>
      <c r="I142" s="141" t="n">
        <f aca="false">($J$126-60-(2+1)*4)/2</f>
        <v>1464</v>
      </c>
      <c r="J142" s="134" t="n">
        <f aca="false">$J$120*G142</f>
        <v>2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3</v>
      </c>
      <c r="H143" s="130" t="s">
        <v>389</v>
      </c>
      <c r="I143" s="133" t="n">
        <f aca="false">$J$123-92</f>
        <v>2408</v>
      </c>
      <c r="J143" s="134" t="n">
        <f aca="false">$J$120*G143</f>
        <v>3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1</v>
      </c>
      <c r="H144" s="130" t="s">
        <v>389</v>
      </c>
      <c r="I144" s="133" t="n">
        <f aca="false">$J$123-92</f>
        <v>2408</v>
      </c>
      <c r="J144" s="134" t="n">
        <f aca="false">$J$120*G144</f>
        <v>1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5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5" s="131" t="str">
        <f aca="false">IF($D$127=5,Q133,IF($D$127=6,Q133,IF($D$127=8,Q134,IF($D$127=10,Q134,IF($D$127=12,Q134,IF($D$127=14,Q135,IF($D$127=18,Q135,IF($D$127=20,Q135,IF($D$127=22,Q135,)))))))))</f>
        <v>B24008</v>
      </c>
      <c r="E145" s="131" t="n">
        <f aca="false">IF($D$127=5,R133,IF($D$127=6,R133,IF($D$127=8,R134,IF($D$127=10,R134,IF($D$127=12,R134,IF($D$127=14,R135,IF($D$127=18,R135,IF($D$127=20,R135,IF($D$127=22,R135,)))))))))</f>
        <v>0.231</v>
      </c>
      <c r="F145" s="131" t="str">
        <f aca="false">IF($D$127=5,S133,IF($D$127=6,S133,IF($D$127=8,S134,IF($D$127=10,S134,IF($D$127=12,S134,IF($D$127=14,S135,IF($D$127=18,S135,IF($D$127=20,S135,IF($D$127=22,S135,)))))))))</f>
        <v>B24008-001</v>
      </c>
      <c r="G145" s="130" t="n">
        <f aca="false">IF($D$127=5,T133,IF($D$127=6,T133,IF($D$127=8,T134,IF($D$127=10,T134,IF($D$127=12,T134,IF($D$127=14,T135,IF($D$127=18,T135,IF($D$127=20,T135,IF($D$127=22,T135,)))))))))</f>
        <v>4</v>
      </c>
      <c r="H145" s="130" t="str">
        <f aca="false">IF($D$127=5,U133,IF($D$127=6,U133,IF($D$127=8,U134,IF($D$127=10,U134,IF($D$127=12,U134,IF($D$127=14,U135,IF($D$127=18,U135,IF($D$127=20,U135,IF($D$127=22,U135,)))))))))</f>
        <v>(W-182-113.25)/2</v>
      </c>
      <c r="I145" s="141" t="n">
        <f aca="false">IF($D$127=5,V133,IF($D$127=6,V133,IF($D$127=8,V134,IF($D$127=10,V134,IF($D$127=12,V134,IF($D$127=14,V135,IF($D$127=18,V135,IF($D$127=20,V135,IF($D$127=22,V135,)))))))))</f>
        <v>1352.375</v>
      </c>
      <c r="J145" s="134" t="n">
        <f aca="false">$J$120*G145</f>
        <v>4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6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6" s="131" t="str">
        <f aca="false">IF($D$127=5,Q136,IF($D$127=6,Q136,IF($D$127=8,Q137,IF($D$127=10,Q137,IF($D$127=12,Q137,IF($D$127=14,Q138,IF($D$127=18,Q138,IF($D$127=20,Q138,IF($D$127=22,Q138,)))))))))</f>
        <v>B24008</v>
      </c>
      <c r="E146" s="131" t="n">
        <f aca="false">IF($D$127=5,R136,IF($D$127=6,R136,IF($D$127=8,R137,IF($D$127=10,R137,IF($D$127=12,R137,IF($D$127=14,R138,IF($D$127=18,R138,IF($D$127=20,R138,IF($D$127=22,R138,)))))))))</f>
        <v>0.231</v>
      </c>
      <c r="F146" s="131" t="str">
        <f aca="false">IF($D$127=5,S136,IF($D$127=6,S136,IF($D$127=8,S137,IF($D$127=10,S137,IF($D$127=12,S137,IF($D$127=14,S138,IF($D$127=18,S138,IF($D$127=20,S138,IF($D$127=22,S138,)))))))))</f>
        <v>B24008-002</v>
      </c>
      <c r="G146" s="130" t="n">
        <f aca="false">IF($D$127=5,T136,IF($D$127=6,T136,IF($D$127=8,T137,IF($D$127=10,T137,IF($D$127=12,T137,IF($D$127=14,T138,IF($D$127=18,T138,IF($D$127=20,T138,IF($D$127=22,T138,)))))))))</f>
        <v>4</v>
      </c>
      <c r="H146" s="130" t="str">
        <f aca="false">IF($D$127=5,U136,IF($D$127=6,U136,IF($D$127=8,U137,IF($D$127=10,U137,IF($D$127=12,U137,IF($D$127=14,U138,IF($D$127=18,U138,IF($D$127=20,U138,IF($D$127=22,U138,)))))))))</f>
        <v>H-242</v>
      </c>
      <c r="I146" s="133" t="n">
        <f aca="false">IF($D$127=5,V136,IF($D$127=6,V136,IF($D$127=8,V137,IF($D$127=10,V137,IF($D$127=12,V137,IF($D$127=14,V138,IF($D$127=18,V138,IF($D$127=20,V138,IF($D$127=22,V138,)))))))))</f>
        <v>2258</v>
      </c>
      <c r="J146" s="134" t="n">
        <f aca="false">$J$120*G146</f>
        <v>4</v>
      </c>
    </row>
    <row r="147" s="96" customFormat="true" ht="18" hidden="false" customHeight="true" outlineLevel="0" collapsed="false">
      <c r="A147" s="130" t="str">
        <f aca="false">IF(B147="","",+A146+1)</f>
        <v/>
      </c>
      <c r="B147" s="131"/>
      <c r="C147" s="131"/>
      <c r="D147" s="132"/>
      <c r="E147" s="130"/>
      <c r="F147" s="132"/>
      <c r="G147" s="130"/>
      <c r="H147" s="130"/>
      <c r="I147" s="142"/>
      <c r="J147" s="134" t="n">
        <f aca="false">$J$120*G147</f>
        <v>0</v>
      </c>
    </row>
    <row r="148" s="96" customFormat="true" ht="18" hidden="false" customHeight="true" outlineLevel="0" collapsed="false">
      <c r="A148" s="130" t="str">
        <f aca="false">IF(B148="","",+A147+1)</f>
        <v/>
      </c>
      <c r="B148" s="131"/>
      <c r="C148" s="131"/>
      <c r="D148" s="132"/>
      <c r="E148" s="130"/>
      <c r="F148" s="132"/>
      <c r="G148" s="130"/>
      <c r="H148" s="130"/>
      <c r="I148" s="142"/>
      <c r="J148" s="134" t="n">
        <f aca="false">$J$120*G148</f>
        <v>0</v>
      </c>
    </row>
    <row r="149" s="96" customFormat="true" ht="18" hidden="false" customHeight="true" outlineLevel="0" collapsed="false">
      <c r="A149" s="130" t="str">
        <f aca="false">IF(B149="","",+A148+1)</f>
        <v/>
      </c>
      <c r="B149" s="131"/>
      <c r="C149" s="131"/>
      <c r="D149" s="132"/>
      <c r="E149" s="130"/>
      <c r="F149" s="132"/>
      <c r="G149" s="130"/>
      <c r="H149" s="130"/>
      <c r="I149" s="142"/>
      <c r="J149" s="134" t="n">
        <f aca="false">$J$120*G149</f>
        <v>0</v>
      </c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42"/>
      <c r="J150" s="134" t="n">
        <f aca="false">$J$120*G150</f>
        <v>0</v>
      </c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42"/>
      <c r="J151" s="134" t="n">
        <f aca="false">$J$120*G151</f>
        <v>0</v>
      </c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31"/>
      <c r="C153" s="131"/>
      <c r="D153" s="132"/>
      <c r="E153" s="130"/>
      <c r="F153" s="132"/>
      <c r="G153" s="130"/>
      <c r="H153" s="130"/>
      <c r="I153" s="142"/>
      <c r="J153" s="134" t="n">
        <f aca="false">$J$120*G153</f>
        <v>0</v>
      </c>
    </row>
    <row r="154" s="96" customFormat="true" ht="18" hidden="false" customHeight="true" outlineLevel="0" collapsed="false">
      <c r="A154" s="130" t="str">
        <f aca="false">IF(B154="","",+A153+1)</f>
        <v/>
      </c>
      <c r="B154" s="131"/>
      <c r="C154" s="131"/>
      <c r="D154" s="132"/>
      <c r="E154" s="130"/>
      <c r="F154" s="132"/>
      <c r="G154" s="130"/>
      <c r="H154" s="130"/>
      <c r="I154" s="142"/>
      <c r="J154" s="134" t="n">
        <f aca="false">$J$120*G154</f>
        <v>0</v>
      </c>
    </row>
    <row r="155" s="96" customFormat="true" ht="18" hidden="false" customHeight="true" outlineLevel="0" collapsed="false">
      <c r="A155" s="130" t="str">
        <f aca="false">IF(B155="","",+A154+1)</f>
        <v/>
      </c>
      <c r="B155" s="131"/>
      <c r="C155" s="131"/>
      <c r="D155" s="132"/>
      <c r="E155" s="130"/>
      <c r="F155" s="132"/>
      <c r="G155" s="130"/>
      <c r="H155" s="130"/>
      <c r="I155" s="142"/>
      <c r="J155" s="134" t="n">
        <f aca="false">$J$120*G155</f>
        <v>0</v>
      </c>
    </row>
    <row r="156" s="96" customFormat="true" ht="18" hidden="false" customHeight="true" outlineLevel="0" collapsed="false">
      <c r="A156" s="130" t="str">
        <f aca="false">IF(B156="","",+A155+1)</f>
        <v/>
      </c>
      <c r="B156" s="131"/>
      <c r="C156" s="131"/>
      <c r="D156" s="132"/>
      <c r="E156" s="130"/>
      <c r="F156" s="132"/>
      <c r="G156" s="130"/>
      <c r="H156" s="130"/>
      <c r="I156" s="142"/>
      <c r="J156" s="134" t="n">
        <f aca="false">$J$120*G156</f>
        <v>0</v>
      </c>
    </row>
    <row r="157" s="96" customFormat="true" ht="18" hidden="false" customHeight="true" outlineLevel="0" collapsed="false">
      <c r="A157" s="130" t="str">
        <f aca="false">IF(B157="","",+A156+1)</f>
        <v/>
      </c>
      <c r="B157" s="143"/>
      <c r="C157" s="143"/>
      <c r="D157" s="144"/>
      <c r="E157" s="145"/>
      <c r="F157" s="144"/>
      <c r="G157" s="145"/>
      <c r="H157" s="145"/>
      <c r="I157" s="146"/>
      <c r="J157" s="147" t="n">
        <f aca="false">$J$120*G157</f>
        <v>0</v>
      </c>
    </row>
    <row r="158" s="96" customFormat="true" ht="27" hidden="false" customHeight="true" outlineLevel="1" collapsed="false">
      <c r="A158" s="148" t="s">
        <v>319</v>
      </c>
      <c r="B158" s="148" t="s">
        <v>320</v>
      </c>
      <c r="C158" s="148" t="s">
        <v>168</v>
      </c>
      <c r="D158" s="148" t="s">
        <v>166</v>
      </c>
      <c r="E158" s="148" t="s">
        <v>321</v>
      </c>
      <c r="F158" s="149" t="s">
        <v>393</v>
      </c>
      <c r="G158" s="148" t="s">
        <v>394</v>
      </c>
      <c r="H158" s="150" t="s">
        <v>395</v>
      </c>
      <c r="I158" s="151"/>
      <c r="J158" s="151"/>
    </row>
    <row r="159" s="96" customFormat="true" ht="15" hidden="false" customHeight="true" outlineLevel="1" collapsed="false">
      <c r="A159" s="152" t="n">
        <f aca="false">IF(B159="","",1)</f>
        <v>1</v>
      </c>
      <c r="B159" s="153" t="str">
        <f aca="false">B133</f>
        <v>เฟรมบน</v>
      </c>
      <c r="C159" s="153" t="str">
        <f aca="false">C133</f>
        <v>HEAD</v>
      </c>
      <c r="D159" s="154" t="str">
        <f aca="false">VLOOKUP(C159,$C$133:$H$157,2,0)</f>
        <v>B24001</v>
      </c>
      <c r="E159" s="155" t="n">
        <f aca="false">VLOOKUP(C159,$C$133:$H$157,3,0)</f>
        <v>1.603</v>
      </c>
      <c r="F159" s="155" t="n">
        <f aca="false">VLOOKUP(C159,$C$133:$J$157,7,0)</f>
        <v>2940</v>
      </c>
      <c r="G159" s="155" t="n">
        <f aca="false">VLOOKUP(C159,$C$133:$J$157,8,0)</f>
        <v>1</v>
      </c>
      <c r="H159" s="156" t="n">
        <f aca="false">ROUNDUP((F159*G159)/6400,0)</f>
        <v>1</v>
      </c>
      <c r="I159" s="157"/>
      <c r="J159" s="157"/>
    </row>
    <row r="160" s="96" customFormat="true" ht="15" hidden="false" customHeight="true" outlineLevel="1" collapsed="false">
      <c r="A160" s="158" t="n">
        <f aca="false">IF(B160="","",+A159+1)</f>
        <v>2</v>
      </c>
      <c r="B160" s="153" t="str">
        <f aca="false">B134</f>
        <v>บังใบบน</v>
      </c>
      <c r="C160" s="153" t="str">
        <f aca="false">C134</f>
        <v>DOOR STOP HEAD</v>
      </c>
      <c r="D160" s="154" t="str">
        <f aca="false">VLOOKUP(C160,$C$133:$H$157,2,0)</f>
        <v>B24002</v>
      </c>
      <c r="E160" s="155" t="n">
        <f aca="false">VLOOKUP(C160,$C$133:$H$157,3,0)</f>
        <v>0.278</v>
      </c>
      <c r="F160" s="155" t="n">
        <f aca="false">VLOOKUP(C160,$C$133:$I$157,7,0)</f>
        <v>2914</v>
      </c>
      <c r="G160" s="155" t="n">
        <f aca="false">VLOOKUP(C160,$C$133:$J$157,8,0)</f>
        <v>1</v>
      </c>
      <c r="H160" s="156" t="n">
        <f aca="false">ROUNDUP((F160*G160)/6400,0)</f>
        <v>1</v>
      </c>
      <c r="I160" s="157"/>
      <c r="J160" s="157"/>
    </row>
    <row r="161" s="96" customFormat="true" ht="15" hidden="false" customHeight="true" outlineLevel="1" collapsed="false">
      <c r="A161" s="158" t="n">
        <f aca="false">IF(B161="","",+A160+1)</f>
        <v>3</v>
      </c>
      <c r="B161" s="153" t="str">
        <f aca="false">B135</f>
        <v>เฟรมล่าง </v>
      </c>
      <c r="C161" s="153" t="str">
        <f aca="false">C135</f>
        <v>SILL</v>
      </c>
      <c r="D161" s="154" t="str">
        <f aca="false">VLOOKUP(C161,$C$133:$H$157,2,0)</f>
        <v>B24003</v>
      </c>
      <c r="E161" s="155" t="n">
        <f aca="false">VLOOKUP(C161,$C$133:$H$157,3,0)</f>
        <v>1.603</v>
      </c>
      <c r="F161" s="155" t="n">
        <f aca="false">VLOOKUP(C161,$C$133:$I$157,7,0)</f>
        <v>2940</v>
      </c>
      <c r="G161" s="155" t="n">
        <f aca="false">VLOOKUP(C161,$C$133:$J$157,8,0)</f>
        <v>1</v>
      </c>
      <c r="H161" s="156" t="n">
        <f aca="false">ROUNDUP((F161*G161)/6400,0)</f>
        <v>1</v>
      </c>
      <c r="I161" s="157"/>
      <c r="J161" s="157"/>
    </row>
    <row r="162" s="96" customFormat="true" ht="15" hidden="false" customHeight="true" outlineLevel="1" collapsed="false">
      <c r="A162" s="158" t="n">
        <f aca="false">IF(B162="","",+A161+1)</f>
        <v>4</v>
      </c>
      <c r="B162" s="153" t="str">
        <f aca="false">B136</f>
        <v>ตัวตับธรณี</v>
      </c>
      <c r="C162" s="153" t="str">
        <f aca="false">C136</f>
        <v>DOOR STOP SILL</v>
      </c>
      <c r="D162" s="154" t="str">
        <f aca="false">VLOOKUP(C162,$C$133:$H$157,2,0)</f>
        <v>B24004</v>
      </c>
      <c r="E162" s="155" t="n">
        <f aca="false">VLOOKUP(C162,$C$133:$H$157,3,0)</f>
        <v>0.516</v>
      </c>
      <c r="F162" s="155" t="n">
        <f aca="false">VLOOKUP(C162,$C$133:$I$157,7,0)</f>
        <v>2940</v>
      </c>
      <c r="G162" s="155" t="n">
        <f aca="false">VLOOKUP(C162,$C$133:$J$157,8,0)</f>
        <v>1</v>
      </c>
      <c r="H162" s="156" t="n">
        <f aca="false">ROUNDUP((F162*G162)/6400,0)</f>
        <v>1</v>
      </c>
      <c r="I162" s="157"/>
      <c r="J162" s="157"/>
    </row>
    <row r="163" s="96" customFormat="true" ht="15" hidden="false" customHeight="true" outlineLevel="1" collapsed="false">
      <c r="A163" s="158" t="n">
        <f aca="false">IF(B163="","",+A162+1)</f>
        <v>5</v>
      </c>
      <c r="B163" s="153" t="str">
        <f aca="false">B137</f>
        <v>เฟรมข้าง (ซ้าย)</v>
      </c>
      <c r="C163" s="153" t="str">
        <f aca="false">C137</f>
        <v>JAMB (L)</v>
      </c>
      <c r="D163" s="159" t="str">
        <f aca="false">VLOOKUP(C163,$C$133:$H$157,2,0)</f>
        <v>B24005</v>
      </c>
      <c r="E163" s="155" t="n">
        <f aca="false">VLOOKUP(C163,$C$133:$H$157,3,0)</f>
        <v>0.893</v>
      </c>
      <c r="F163" s="155" t="n">
        <f aca="false">VLOOKUP(C163,$C$133:$I$157,7,0)</f>
        <v>2500</v>
      </c>
      <c r="G163" s="155" t="n">
        <f aca="false">VLOOKUP(C163,$C$133:$J$157,8,0)</f>
        <v>1</v>
      </c>
      <c r="H163" s="160" t="n">
        <f aca="false">ROUNDUP(((F163*G163)+(F164*G164))/6400,0)</f>
        <v>1</v>
      </c>
      <c r="I163" s="161"/>
      <c r="J163" s="161"/>
    </row>
    <row r="164" s="96" customFormat="true" ht="15" hidden="false" customHeight="true" outlineLevel="1" collapsed="false">
      <c r="A164" s="158" t="n">
        <f aca="false">IF(B164="","",+A163+1)</f>
        <v>6</v>
      </c>
      <c r="B164" s="153" t="str">
        <f aca="false">B138</f>
        <v>เฟรมข้าง (ขวา)</v>
      </c>
      <c r="C164" s="153" t="str">
        <f aca="false">C138</f>
        <v>JAMB (R)</v>
      </c>
      <c r="D164" s="159"/>
      <c r="E164" s="155" t="n">
        <f aca="false">VLOOKUP(C164,$C$133:$H$157,3,0)</f>
        <v>0.893</v>
      </c>
      <c r="F164" s="155" t="n">
        <f aca="false">VLOOKUP(C164,$C$133:$I$157,7,0)</f>
        <v>2500</v>
      </c>
      <c r="G164" s="155" t="n">
        <f aca="false">VLOOKUP(C164,$C$133:$J$157,8,0)</f>
        <v>1</v>
      </c>
      <c r="H164" s="160"/>
      <c r="I164" s="161"/>
      <c r="J164" s="161"/>
    </row>
    <row r="165" s="96" customFormat="true" ht="15" hidden="false" customHeight="true" outlineLevel="1" collapsed="false">
      <c r="A165" s="158" t="n">
        <f aca="false">IF(B165="","",+A164+1)</f>
        <v>7</v>
      </c>
      <c r="B165" s="153" t="str">
        <f aca="false">B139</f>
        <v>บังใบข้าง (ซ้าย)</v>
      </c>
      <c r="C165" s="153" t="str">
        <f aca="false">C139</f>
        <v>DOOR STOP JAMB (L)</v>
      </c>
      <c r="D165" s="159" t="str">
        <f aca="false">VLOOKUP(C165,$C$133:$H$157,2,0)</f>
        <v>B24006</v>
      </c>
      <c r="E165" s="155" t="n">
        <f aca="false">VLOOKUP(C165,$C$133:$H$157,3,0)</f>
        <v>0.235</v>
      </c>
      <c r="F165" s="155" t="n">
        <f aca="false">VLOOKUP(C165,$C$133:$I$157,7,0)</f>
        <v>2404</v>
      </c>
      <c r="G165" s="155" t="n">
        <f aca="false">VLOOKUP(C165,$C$133:$J$157,8,0)</f>
        <v>1</v>
      </c>
      <c r="H165" s="160" t="n">
        <f aca="false">ROUNDUP(((F165*G165)+(F166*G166))/6400,0)</f>
        <v>1</v>
      </c>
      <c r="I165" s="157"/>
      <c r="J165" s="157"/>
    </row>
    <row r="166" s="96" customFormat="true" ht="15" hidden="false" customHeight="true" outlineLevel="1" collapsed="false">
      <c r="A166" s="158" t="n">
        <f aca="false">IF(B166="","",+A165+1)</f>
        <v>8</v>
      </c>
      <c r="B166" s="153" t="str">
        <f aca="false">B140</f>
        <v>บังใบข้าง (ขวา)</v>
      </c>
      <c r="C166" s="153" t="str">
        <f aca="false">C140</f>
        <v>DOOR STOP JAMB (R)</v>
      </c>
      <c r="D166" s="159"/>
      <c r="E166" s="155" t="n">
        <f aca="false">VLOOKUP(C166,$C$133:$H$157,3,0)</f>
        <v>0.235</v>
      </c>
      <c r="F166" s="155" t="n">
        <f aca="false">VLOOKUP(C166,$C$133:$I$157,7,0)</f>
        <v>2404</v>
      </c>
      <c r="G166" s="155" t="n">
        <f aca="false">VLOOKUP(C166,$C$133:$J$157,8,0)</f>
        <v>1</v>
      </c>
      <c r="H166" s="160"/>
      <c r="I166" s="162"/>
      <c r="J166" s="162"/>
    </row>
    <row r="167" s="96" customFormat="true" ht="13.5" hidden="false" customHeight="true" outlineLevel="1" collapsed="false">
      <c r="A167" s="158" t="n">
        <f aca="false">IF(B167="","",+A166+1)</f>
        <v>9</v>
      </c>
      <c r="B167" s="153" t="str">
        <f aca="false">B141</f>
        <v>ขวางบน</v>
      </c>
      <c r="C167" s="153" t="str">
        <f aca="false">C141</f>
        <v>SASH (Hor) (T)</v>
      </c>
      <c r="D167" s="159" t="str">
        <f aca="false">VLOOKUP(C167,$C$133:$H$157,2,0)</f>
        <v>B24007</v>
      </c>
      <c r="E167" s="155" t="n">
        <f aca="false">VLOOKUP(C167,$C$133:$H$157,3,0)</f>
        <v>1.106</v>
      </c>
      <c r="F167" s="155" t="n">
        <f aca="false">VLOOKUP(C167,$C$133:$I$157,7,0)</f>
        <v>1464</v>
      </c>
      <c r="G167" s="155" t="n">
        <f aca="false">VLOOKUP(C167,$C$133:$J$157,8,0)</f>
        <v>2</v>
      </c>
      <c r="H167" s="160" t="n">
        <f aca="false">ROUNDUP(((F167*G167)+(F168*G168)+(F169*G169)+(F170*G170))/6400,0)</f>
        <v>3</v>
      </c>
      <c r="I167" s="162"/>
      <c r="J167" s="162"/>
    </row>
    <row r="168" s="96" customFormat="true" ht="13.5" hidden="false" customHeight="true" outlineLevel="1" collapsed="false">
      <c r="A168" s="158" t="n">
        <f aca="false">IF(B168="","",+A167+1)</f>
        <v>10</v>
      </c>
      <c r="B168" s="153" t="str">
        <f aca="false">B142</f>
        <v>ขวางล่าง</v>
      </c>
      <c r="C168" s="153" t="str">
        <f aca="false">C142</f>
        <v>SASH (Hor) (B)</v>
      </c>
      <c r="D168" s="159"/>
      <c r="E168" s="155" t="n">
        <f aca="false">VLOOKUP(C168,$C$133:$H$157,3,0)</f>
        <v>1.106</v>
      </c>
      <c r="F168" s="155" t="n">
        <f aca="false">VLOOKUP(C168,$C$133:$I$157,7,0)</f>
        <v>1464</v>
      </c>
      <c r="G168" s="155" t="n">
        <f aca="false">VLOOKUP(C168,$C$133:$J$157,8,0)</f>
        <v>2</v>
      </c>
      <c r="H168" s="160"/>
      <c r="I168" s="162"/>
      <c r="J168" s="162"/>
    </row>
    <row r="169" s="96" customFormat="true" ht="13.5" hidden="false" customHeight="true" outlineLevel="1" collapsed="false">
      <c r="A169" s="158" t="n">
        <f aca="false">IF(B169="","",+A168+1)</f>
        <v>11</v>
      </c>
      <c r="B169" s="153" t="str">
        <f aca="false">B143</f>
        <v>เสา</v>
      </c>
      <c r="C169" s="153" t="str">
        <f aca="false">C143</f>
        <v>SASH (Ver) </v>
      </c>
      <c r="D169" s="159"/>
      <c r="E169" s="155" t="n">
        <f aca="false">VLOOKUP(C169,$C$133:$H$157,3,0)</f>
        <v>1.106</v>
      </c>
      <c r="F169" s="155" t="n">
        <f aca="false">VLOOKUP(C169,$C$133:$I$157,7,0)</f>
        <v>2408</v>
      </c>
      <c r="G169" s="155" t="n">
        <f aca="false">VLOOKUP(C169,$C$133:$J$157,8,0)</f>
        <v>3</v>
      </c>
      <c r="H169" s="160"/>
      <c r="I169" s="162"/>
      <c r="J169" s="162"/>
    </row>
    <row r="170" s="96" customFormat="true" ht="13.5" hidden="false" customHeight="true" outlineLevel="1" collapsed="false">
      <c r="A170" s="158" t="n">
        <f aca="false">IF(B170="","",+A169+1)</f>
        <v>12</v>
      </c>
      <c r="B170" s="153" t="str">
        <f aca="false">B144</f>
        <v>เสากุญแจ</v>
      </c>
      <c r="C170" s="153" t="str">
        <f aca="false">C144</f>
        <v>SASH (Ver) LOCK </v>
      </c>
      <c r="D170" s="159"/>
      <c r="E170" s="155" t="n">
        <f aca="false">VLOOKUP(C170,$C$133:$H$157,3,0)</f>
        <v>1.106</v>
      </c>
      <c r="F170" s="155" t="n">
        <f aca="false">VLOOKUP(C170,$C$133:$I$157,7,0)</f>
        <v>2408</v>
      </c>
      <c r="G170" s="155" t="n">
        <f aca="false">VLOOKUP(C170,$C$133:$J$157,8,0)</f>
        <v>1</v>
      </c>
      <c r="H170" s="160"/>
      <c r="I170" s="162"/>
      <c r="J170" s="162"/>
    </row>
    <row r="171" s="96" customFormat="true" ht="13.5" hidden="false" customHeight="true" outlineLevel="1" collapsed="false">
      <c r="A171" s="158" t="n">
        <f aca="false">IF(B171="","",+A170+1)</f>
        <v>13</v>
      </c>
      <c r="B171" s="153" t="str">
        <f aca="false">B145</f>
        <v>5-6mm คิ้วตบกระจกแนวนอน</v>
      </c>
      <c r="C171" s="153" t="str">
        <f aca="false">C145</f>
        <v>5-6mm GLAZING BEAD HORIZONTAL</v>
      </c>
      <c r="D171" s="163" t="str">
        <f aca="false">VLOOKUP(C171,$C$133:$H$157,2,0)</f>
        <v>B24008</v>
      </c>
      <c r="E171" s="155" t="n">
        <f aca="false">VLOOKUP(C171,$C$133:$H$157,3,0)</f>
        <v>0.231</v>
      </c>
      <c r="F171" s="155" t="n">
        <f aca="false">VLOOKUP(C171,$C$133:$I$157,7,0)</f>
        <v>1352.375</v>
      </c>
      <c r="G171" s="155" t="n">
        <f aca="false">VLOOKUP(C171,$C$133:$J$157,8,0)</f>
        <v>4</v>
      </c>
      <c r="H171" s="160" t="n">
        <f aca="false">ROUNDUP(((F171*G171)+(F172*G172))/6400,0)</f>
        <v>3</v>
      </c>
      <c r="I171" s="162"/>
      <c r="J171" s="162"/>
    </row>
    <row r="172" s="96" customFormat="true" ht="14.25" hidden="false" customHeight="false" outlineLevel="1" collapsed="false">
      <c r="A172" s="158" t="n">
        <f aca="false">IF(B172="","",+A171+1)</f>
        <v>14</v>
      </c>
      <c r="B172" s="153" t="str">
        <f aca="false">B146</f>
        <v>5-6mm คิ้วตบกระจกแนวตั้ง</v>
      </c>
      <c r="C172" s="153" t="str">
        <f aca="false">C146</f>
        <v>5-6mm GLAZING BEAD VERTICAL</v>
      </c>
      <c r="D172" s="163"/>
      <c r="E172" s="155" t="n">
        <f aca="false">VLOOKUP(C172,$C$133:$H$157,3,0)</f>
        <v>0.231</v>
      </c>
      <c r="F172" s="155" t="n">
        <f aca="false">VLOOKUP(C172,$C$133:$I$157,7,0)</f>
        <v>2258</v>
      </c>
      <c r="G172" s="155" t="n">
        <f aca="false">VLOOKUP(C172,$C$133:$J$157,8,0)</f>
        <v>4</v>
      </c>
      <c r="H172" s="160"/>
      <c r="I172" s="157"/>
      <c r="J172" s="157"/>
    </row>
    <row r="173" s="96" customFormat="true" ht="24.75" hidden="false" customHeight="true" outlineLevel="0" collapsed="false">
      <c r="A173" s="113" t="s">
        <v>396</v>
      </c>
      <c r="B173" s="113"/>
      <c r="C173" s="113"/>
      <c r="D173" s="113"/>
      <c r="E173" s="113"/>
      <c r="F173" s="113"/>
      <c r="G173" s="113"/>
      <c r="H173" s="113"/>
      <c r="I173" s="113"/>
      <c r="J173" s="113"/>
    </row>
    <row r="174" s="96" customFormat="true" ht="34.5" hidden="false" customHeight="true" outlineLevel="0" collapsed="false">
      <c r="A174" s="114" t="s">
        <v>319</v>
      </c>
      <c r="B174" s="115" t="s">
        <v>320</v>
      </c>
      <c r="C174" s="115" t="s">
        <v>168</v>
      </c>
      <c r="D174" s="115" t="s">
        <v>397</v>
      </c>
      <c r="E174" s="115" t="s">
        <v>321</v>
      </c>
      <c r="F174" s="116" t="s">
        <v>398</v>
      </c>
      <c r="G174" s="115" t="s">
        <v>399</v>
      </c>
      <c r="H174" s="116" t="s">
        <v>400</v>
      </c>
      <c r="I174" s="116" t="s">
        <v>401</v>
      </c>
      <c r="J174" s="117" t="s">
        <v>402</v>
      </c>
      <c r="N174" s="107" t="s">
        <v>288</v>
      </c>
      <c r="O174" s="165" t="s">
        <v>320</v>
      </c>
      <c r="P174" s="165" t="s">
        <v>168</v>
      </c>
      <c r="Q174" s="165" t="s">
        <v>397</v>
      </c>
      <c r="R174" s="165" t="s">
        <v>321</v>
      </c>
      <c r="S174" s="165" t="s">
        <v>398</v>
      </c>
      <c r="T174" s="165" t="s">
        <v>399</v>
      </c>
      <c r="U174" s="165" t="s">
        <v>400</v>
      </c>
      <c r="V174" s="165" t="s">
        <v>401</v>
      </c>
      <c r="W174" s="165" t="s">
        <v>402</v>
      </c>
    </row>
    <row r="175" s="96" customFormat="true" ht="18" hidden="false" customHeight="true" outlineLevel="0" collapsed="false">
      <c r="A175" s="166" t="n">
        <f aca="false">IF(B175="","",1)</f>
        <v>1</v>
      </c>
      <c r="B175" s="131" t="s">
        <v>403</v>
      </c>
      <c r="C175" s="131" t="s">
        <v>404</v>
      </c>
      <c r="D175" s="132" t="s">
        <v>276</v>
      </c>
      <c r="E175" s="130"/>
      <c r="F175" s="130" t="s">
        <v>276</v>
      </c>
      <c r="G175" s="130" t="s">
        <v>405</v>
      </c>
      <c r="H175" s="130" t="n">
        <v>1</v>
      </c>
      <c r="I175" s="133"/>
      <c r="J175" s="134" t="n">
        <f aca="false">$J$120*H175</f>
        <v>1</v>
      </c>
      <c r="N175" s="107" t="s">
        <v>406</v>
      </c>
      <c r="O175" s="55" t="s">
        <v>407</v>
      </c>
      <c r="P175" s="62" t="s">
        <v>408</v>
      </c>
      <c r="Q175" s="55" t="s">
        <v>227</v>
      </c>
      <c r="R175" s="158"/>
      <c r="S175" s="158" t="s">
        <v>227</v>
      </c>
      <c r="T175" s="158" t="s">
        <v>409</v>
      </c>
      <c r="U175" s="168" t="n">
        <f aca="false">((($I$141*$G$141)+($I$142*$G$142)+($I$143*$G$143)+($I$144*$G$144))/1000)*$J$120</f>
        <v>15.488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2</v>
      </c>
      <c r="B176" s="131" t="s">
        <v>410</v>
      </c>
      <c r="C176" s="131" t="s">
        <v>411</v>
      </c>
      <c r="D176" s="132" t="s">
        <v>267</v>
      </c>
      <c r="E176" s="130"/>
      <c r="F176" s="130" t="s">
        <v>267</v>
      </c>
      <c r="G176" s="130" t="s">
        <v>405</v>
      </c>
      <c r="H176" s="130" t="n">
        <v>4</v>
      </c>
      <c r="I176" s="133"/>
      <c r="J176" s="134" t="n">
        <f aca="false">$J$120*H176</f>
        <v>4</v>
      </c>
      <c r="N176" s="107" t="s">
        <v>412</v>
      </c>
      <c r="O176" s="55" t="s">
        <v>413</v>
      </c>
      <c r="P176" s="62" t="s">
        <v>414</v>
      </c>
      <c r="Q176" s="55" t="s">
        <v>234</v>
      </c>
      <c r="R176" s="158"/>
      <c r="S176" s="158" t="s">
        <v>234</v>
      </c>
      <c r="T176" s="158" t="s">
        <v>409</v>
      </c>
      <c r="U176" s="168" t="n">
        <f aca="false">((($I$141*$G$141)+($I$142*$G$142)+($I$143*$G$143)+($I$144*$G$144))/1000)*$J$120</f>
        <v>15.488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3</v>
      </c>
      <c r="B177" s="131" t="s">
        <v>415</v>
      </c>
      <c r="C177" s="131" t="s">
        <v>416</v>
      </c>
      <c r="D177" s="132" t="s">
        <v>222</v>
      </c>
      <c r="E177" s="130"/>
      <c r="F177" s="130" t="s">
        <v>222</v>
      </c>
      <c r="G177" s="130" t="s">
        <v>405</v>
      </c>
      <c r="H177" s="130" t="n">
        <v>2</v>
      </c>
      <c r="I177" s="133"/>
      <c r="J177" s="134" t="n">
        <f aca="false">$J$120*H177</f>
        <v>2</v>
      </c>
      <c r="N177" s="107" t="s">
        <v>417</v>
      </c>
      <c r="O177" s="62" t="s">
        <v>418</v>
      </c>
      <c r="P177" s="62" t="s">
        <v>419</v>
      </c>
      <c r="Q177" s="55" t="s">
        <v>236</v>
      </c>
      <c r="R177" s="158"/>
      <c r="S177" s="158" t="s">
        <v>236</v>
      </c>
      <c r="T177" s="158" t="s">
        <v>409</v>
      </c>
      <c r="U177" s="168" t="n">
        <f aca="false">((($I$141*$G$141)+($I$142*$G$142)+($I$143*$G$143)+($I$144*$G$144))/1000)*$J$120</f>
        <v>15.488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4</v>
      </c>
      <c r="B178" s="131" t="s">
        <v>420</v>
      </c>
      <c r="C178" s="131" t="s">
        <v>421</v>
      </c>
      <c r="D178" s="132" t="s">
        <v>225</v>
      </c>
      <c r="E178" s="130"/>
      <c r="F178" s="130" t="s">
        <v>225</v>
      </c>
      <c r="G178" s="130" t="s">
        <v>405</v>
      </c>
      <c r="H178" s="130" t="n">
        <v>2</v>
      </c>
      <c r="I178" s="133"/>
      <c r="J178" s="134" t="n">
        <f aca="false">$J$120*H178</f>
        <v>2</v>
      </c>
      <c r="N178" s="107" t="s">
        <v>422</v>
      </c>
      <c r="O178" s="62" t="s">
        <v>423</v>
      </c>
      <c r="P178" s="62" t="s">
        <v>424</v>
      </c>
      <c r="Q178" s="55" t="s">
        <v>238</v>
      </c>
      <c r="R178" s="158"/>
      <c r="S178" s="158" t="s">
        <v>238</v>
      </c>
      <c r="T178" s="158" t="s">
        <v>409</v>
      </c>
      <c r="U178" s="168" t="n">
        <f aca="false">((($I$141*$G$141)+($I$142*$G$142)+($I$143*$G$143)+($I$144*$G$144))/1000)*$J$120</f>
        <v>15.488</v>
      </c>
      <c r="V178" s="168" t="n">
        <v>100</v>
      </c>
      <c r="W178" s="169" t="n">
        <f aca="false">ROUNDUP((U178)/100,0)</f>
        <v>1</v>
      </c>
    </row>
    <row r="179" s="96" customFormat="true" ht="18" hidden="false" customHeight="true" outlineLevel="0" collapsed="false">
      <c r="A179" s="170" t="n">
        <f aca="false">IF(B179="","",+A178+1)</f>
        <v>5</v>
      </c>
      <c r="B179" s="131" t="s">
        <v>425</v>
      </c>
      <c r="C179" s="131" t="s">
        <v>426</v>
      </c>
      <c r="D179" s="132" t="n">
        <v>9</v>
      </c>
      <c r="E179" s="130"/>
      <c r="F179" s="130" t="n">
        <v>9</v>
      </c>
      <c r="G179" s="130" t="s">
        <v>405</v>
      </c>
      <c r="H179" s="130" t="n">
        <v>16</v>
      </c>
      <c r="I179" s="133"/>
      <c r="J179" s="134" t="n">
        <f aca="false">$J$120*H179</f>
        <v>16</v>
      </c>
      <c r="N179" s="107" t="s">
        <v>427</v>
      </c>
      <c r="O179" s="62" t="s">
        <v>428</v>
      </c>
      <c r="P179" s="62" t="s">
        <v>429</v>
      </c>
      <c r="Q179" s="55" t="s">
        <v>240</v>
      </c>
      <c r="R179" s="158"/>
      <c r="S179" s="158" t="s">
        <v>240</v>
      </c>
      <c r="T179" s="158" t="s">
        <v>409</v>
      </c>
      <c r="U179" s="168" t="n">
        <f aca="false">((($I$141*$G$141)+($I$142*$G$142)+($I$143*$G$143)+($I$144*$G$144))/1000)*$J$120</f>
        <v>15.488</v>
      </c>
      <c r="V179" s="168" t="n">
        <v>100</v>
      </c>
      <c r="W179" s="169" t="n">
        <f aca="false">ROUNDUP((U179)/100,0)</f>
        <v>1</v>
      </c>
    </row>
    <row r="180" s="96" customFormat="true" ht="18" hidden="false" customHeight="true" outlineLevel="0" collapsed="false">
      <c r="A180" s="170" t="n">
        <f aca="false">IF(B180="","",+A179+1)</f>
        <v>6</v>
      </c>
      <c r="B180" s="131" t="s">
        <v>430</v>
      </c>
      <c r="C180" s="131" t="s">
        <v>431</v>
      </c>
      <c r="D180" s="132" t="n">
        <v>9</v>
      </c>
      <c r="E180" s="130"/>
      <c r="F180" s="130" t="n">
        <v>9</v>
      </c>
      <c r="G180" s="130" t="s">
        <v>405</v>
      </c>
      <c r="H180" s="130" t="n">
        <v>32</v>
      </c>
      <c r="I180" s="133"/>
      <c r="J180" s="134" t="n">
        <f aca="false">$J$120*H180</f>
        <v>32</v>
      </c>
    </row>
    <row r="181" s="96" customFormat="true" ht="18" hidden="false" customHeight="true" outlineLevel="0" collapsed="false">
      <c r="A181" s="170" t="n">
        <f aca="false">IF(B181="","",+A180+1)</f>
        <v>7</v>
      </c>
      <c r="B181" s="131" t="s">
        <v>512</v>
      </c>
      <c r="C181" s="131" t="s">
        <v>513</v>
      </c>
      <c r="D181" s="132" t="s">
        <v>7</v>
      </c>
      <c r="E181" s="130"/>
      <c r="F181" s="130" t="s">
        <v>7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8</v>
      </c>
      <c r="B182" s="131" t="s">
        <v>514</v>
      </c>
      <c r="C182" s="131" t="s">
        <v>515</v>
      </c>
      <c r="D182" s="132" t="s">
        <v>8</v>
      </c>
      <c r="E182" s="130"/>
      <c r="F182" s="130" t="s">
        <v>8</v>
      </c>
      <c r="G182" s="130" t="s">
        <v>434</v>
      </c>
      <c r="H182" s="130" t="n">
        <v>1</v>
      </c>
      <c r="I182" s="133"/>
      <c r="J182" s="134" t="n">
        <f aca="false">$J$120*H182</f>
        <v>1</v>
      </c>
    </row>
    <row r="183" s="96" customFormat="true" ht="18" hidden="false" customHeight="true" outlineLevel="0" collapsed="false">
      <c r="A183" s="170" t="n">
        <f aca="false">IF(B183="","",+A182+1)</f>
        <v>9</v>
      </c>
      <c r="B183" s="131" t="s">
        <v>437</v>
      </c>
      <c r="C183" s="131" t="s">
        <v>438</v>
      </c>
      <c r="D183" s="132" t="s">
        <v>4</v>
      </c>
      <c r="E183" s="130"/>
      <c r="F183" s="130" t="s">
        <v>4</v>
      </c>
      <c r="G183" s="130" t="s">
        <v>434</v>
      </c>
      <c r="H183" s="130" t="n">
        <v>1</v>
      </c>
      <c r="I183" s="133"/>
      <c r="J183" s="134" t="n">
        <f aca="false">$J$120*H183</f>
        <v>1</v>
      </c>
    </row>
    <row r="184" s="96" customFormat="true" ht="18" hidden="false" customHeight="true" outlineLevel="0" collapsed="false">
      <c r="A184" s="170" t="n">
        <f aca="false">IF(B184="","",+A183+1)</f>
        <v>10</v>
      </c>
      <c r="B184" s="131" t="s">
        <v>439</v>
      </c>
      <c r="C184" s="131" t="s">
        <v>440</v>
      </c>
      <c r="D184" s="132" t="s">
        <v>12</v>
      </c>
      <c r="E184" s="130"/>
      <c r="F184" s="130" t="s">
        <v>12</v>
      </c>
      <c r="G184" s="130" t="s">
        <v>434</v>
      </c>
      <c r="H184" s="130" t="n">
        <v>1</v>
      </c>
      <c r="I184" s="133"/>
      <c r="J184" s="134" t="n">
        <f aca="false">$J$120*H184</f>
        <v>1</v>
      </c>
      <c r="Q184" s="172"/>
      <c r="R184" s="172"/>
      <c r="S184" s="172"/>
      <c r="T184" s="97"/>
      <c r="U184" s="97"/>
      <c r="V184" s="97"/>
    </row>
    <row r="185" s="96" customFormat="true" ht="18" hidden="false" customHeight="true" outlineLevel="0" collapsed="false">
      <c r="A185" s="170" t="n">
        <f aca="false">IF(B185="","",+A184+1)</f>
        <v>11</v>
      </c>
      <c r="B185" s="131" t="s">
        <v>441</v>
      </c>
      <c r="C185" s="131" t="s">
        <v>442</v>
      </c>
      <c r="D185" s="132" t="s">
        <v>274</v>
      </c>
      <c r="E185" s="130"/>
      <c r="F185" s="130" t="s">
        <v>274</v>
      </c>
      <c r="G185" s="130" t="s">
        <v>405</v>
      </c>
      <c r="H185" s="130" t="n">
        <v>2</v>
      </c>
      <c r="I185" s="142"/>
      <c r="J185" s="134" t="n">
        <f aca="false">$J$120*H185</f>
        <v>2</v>
      </c>
      <c r="N185" s="107" t="s">
        <v>289</v>
      </c>
      <c r="O185" s="165" t="s">
        <v>320</v>
      </c>
      <c r="P185" s="165" t="s">
        <v>168</v>
      </c>
      <c r="Q185" s="165" t="s">
        <v>397</v>
      </c>
      <c r="R185" s="165" t="s">
        <v>321</v>
      </c>
      <c r="S185" s="165" t="s">
        <v>398</v>
      </c>
      <c r="T185" s="165" t="s">
        <v>399</v>
      </c>
      <c r="U185" s="165" t="s">
        <v>400</v>
      </c>
      <c r="V185" s="165" t="s">
        <v>401</v>
      </c>
      <c r="W185" s="165" t="s">
        <v>402</v>
      </c>
    </row>
    <row r="186" s="96" customFormat="true" ht="18" hidden="false" customHeight="true" outlineLevel="0" collapsed="false">
      <c r="A186" s="170" t="n">
        <f aca="false">IF(B186="","",+A185+1)</f>
        <v>12</v>
      </c>
      <c r="B186" s="131" t="s">
        <v>443</v>
      </c>
      <c r="C186" s="131" t="s">
        <v>444</v>
      </c>
      <c r="D186" s="132" t="s">
        <v>272</v>
      </c>
      <c r="E186" s="130"/>
      <c r="F186" s="130" t="s">
        <v>272</v>
      </c>
      <c r="G186" s="130" t="s">
        <v>405</v>
      </c>
      <c r="H186" s="130" t="n">
        <v>1</v>
      </c>
      <c r="I186" s="142"/>
      <c r="J186" s="134" t="n">
        <f aca="false">$J$120*H186</f>
        <v>1</v>
      </c>
      <c r="N186" s="107" t="s">
        <v>445</v>
      </c>
      <c r="O186" s="62" t="s">
        <v>446</v>
      </c>
      <c r="P186" s="62" t="s">
        <v>447</v>
      </c>
      <c r="Q186" s="55" t="s">
        <v>230</v>
      </c>
      <c r="R186" s="158"/>
      <c r="S186" s="158" t="s">
        <v>230</v>
      </c>
      <c r="T186" s="158" t="s">
        <v>409</v>
      </c>
      <c r="U186" s="168" t="n">
        <f aca="false">((($I$134*$G$134)+($I$136*$G$136)+($I$139*$G$139))/1000)*$J$120</f>
        <v>8.258</v>
      </c>
      <c r="V186" s="168" t="n">
        <v>300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13</v>
      </c>
      <c r="B187" s="132" t="str">
        <f aca="false">IF($D$129="Standard",O186,IF($D$129="Soumdproof",O187,))</f>
        <v>ยางเฟรมกันน้ำ (ธรรมดา)</v>
      </c>
      <c r="C187" s="132" t="str">
        <f aca="false">IF($D$129="Standard",P186,IF($D$129="Soumdproof",P187,))</f>
        <v>FRAME SEAL (Standard)</v>
      </c>
      <c r="D187" s="132" t="str">
        <f aca="false">IF($D$129="Standard",Q186,IF($D$129="Soumdproof",Q187,))</f>
        <v>02-026</v>
      </c>
      <c r="E187" s="132" t="n">
        <f aca="false">IF($D$129="Standard",R186,IF($D$129="Soumdproof",R187,))</f>
        <v>0</v>
      </c>
      <c r="F187" s="130" t="str">
        <f aca="false">IF($D$129="Standard",S186,IF($D$129="Soumdproof",S187,))</f>
        <v>02-026</v>
      </c>
      <c r="G187" s="130" t="str">
        <f aca="false">IF($D$129="Standard",T186,IF($D$129="Soumdproof",T187,))</f>
        <v>M</v>
      </c>
      <c r="H187" s="173" t="n">
        <f aca="false">IF($D$129="Standard",U186,IF($D$129="Soumdproof",U187,))</f>
        <v>8.258</v>
      </c>
      <c r="I187" s="174" t="n">
        <f aca="false">IF($D$129="Standard",V186,IF($D$129="Soumdproof",V187,))</f>
        <v>300</v>
      </c>
      <c r="J187" s="175" t="n">
        <f aca="false">ROUNDUP((H187)/100,0)</f>
        <v>1</v>
      </c>
      <c r="N187" s="107" t="s">
        <v>448</v>
      </c>
      <c r="O187" s="62" t="s">
        <v>449</v>
      </c>
      <c r="P187" s="62" t="s">
        <v>450</v>
      </c>
      <c r="Q187" s="55" t="s">
        <v>451</v>
      </c>
      <c r="R187" s="158"/>
      <c r="S187" s="158" t="s">
        <v>451</v>
      </c>
      <c r="T187" s="158" t="s">
        <v>409</v>
      </c>
      <c r="U187" s="168" t="n">
        <f aca="false">((($I$134*$G$134)+($I$136*$G$136)+($I$139*$G$139))/1000)*$J$120</f>
        <v>8.258</v>
      </c>
      <c r="V187" s="168" t="n">
        <v>100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14</v>
      </c>
      <c r="B188" s="132" t="str">
        <f aca="false">IF($D$129="Standard",O188,IF($D$129="Soumdproof",O189,))</f>
        <v>ยางแซชกันน้ำ (ธรรมดา)</v>
      </c>
      <c r="C188" s="132" t="str">
        <f aca="false">IF($D$129="Standard",P188,IF($D$129="Soumdproof",P189,))</f>
        <v>SASH SEAL FOAM (Standard)</v>
      </c>
      <c r="D188" s="132" t="str">
        <f aca="false">IF($D$129="Standard",Q188,IF($D$129="Soumdproof",Q189,))</f>
        <v>02-031</v>
      </c>
      <c r="E188" s="132" t="n">
        <f aca="false">IF($D$129="Standard",R188,IF($D$129="Soumdproof",R189,))</f>
        <v>0</v>
      </c>
      <c r="F188" s="130" t="str">
        <f aca="false">IF($D$129="Standard",S188,IF($D$129="Soumdproof",S189,))</f>
        <v>02-031</v>
      </c>
      <c r="G188" s="130" t="str">
        <f aca="false">IF($D$129="Standard",T188,IF($D$129="Soumdproof",T189,))</f>
        <v>M</v>
      </c>
      <c r="H188" s="173" t="n">
        <f aca="false">IF($D$129="Standard",U188,IF($D$129="Soumdproof",U189,))</f>
        <v>25.12</v>
      </c>
      <c r="I188" s="174" t="n">
        <f aca="false">IF($D$129="Standard",V188,IF($D$129="Soumdproof",V189,))</f>
        <v>350</v>
      </c>
      <c r="J188" s="175" t="n">
        <f aca="false">ROUNDUP((H188)/100,0)</f>
        <v>1</v>
      </c>
      <c r="N188" s="107" t="s">
        <v>445</v>
      </c>
      <c r="O188" s="62" t="s">
        <v>452</v>
      </c>
      <c r="P188" s="62" t="s">
        <v>453</v>
      </c>
      <c r="Q188" s="55" t="s">
        <v>232</v>
      </c>
      <c r="R188" s="158"/>
      <c r="S188" s="158" t="s">
        <v>232</v>
      </c>
      <c r="T188" s="158" t="s">
        <v>409</v>
      </c>
      <c r="U188" s="168" t="n">
        <f aca="false">((($I$143*$G$143*2)+($I$144*$G$144*2)+($I$141*$G$141*2))/1000)*$J$120</f>
        <v>25.12</v>
      </c>
      <c r="V188" s="168" t="n">
        <v>350</v>
      </c>
      <c r="W188" s="169" t="n">
        <f aca="false">ROUNDUP((U188)/V188,0)</f>
        <v>1</v>
      </c>
    </row>
    <row r="189" s="96" customFormat="true" ht="18" hidden="false" customHeight="true" outlineLevel="0" collapsed="false">
      <c r="A189" s="170" t="n">
        <f aca="false">IF(B189="","",+A188+1)</f>
        <v>15</v>
      </c>
      <c r="B189" s="176" t="str">
        <f aca="false">IF($D$127=5,$O$177,IF($D$127=6,$O$178,IF($D$127=8,$O$179,IF($D$127=10,$O$177,IF($D$127=12,$O$177,IF($D$127=14,$O$179,IF($D$127=18,$O$177,IF($D$127=20,$O$178,IF($D$127=22,"")))))))))</f>
        <v>6,20 mm ยางอัดกระจก</v>
      </c>
      <c r="C189" s="176" t="str">
        <f aca="false">IF($D$127=5,$P$177,IF($D$127=6,$P$178,IF($D$127=8,$P$179,IF($D$127=10,$P$177,IF($D$127=12,$P$177,IF($D$127=14,$P$179,IF($D$127=18,$P$177,IF($D$127=20,$P$178,IF($D$127=22,"")))))))))</f>
        <v>6,20 mm ROLL IN WEDGE</v>
      </c>
      <c r="D189" s="176" t="str">
        <f aca="false">IF($D$127=5,$Q$177,IF($D$127=6,$Q$178,IF($D$127=8,$Q$179,IF($D$127=10,$Q$177,IF($D$127=12,$Q$177,IF($D$127=14,$Q$179,IF($D$127=18,$Q$177,IF($D$127=20,$Q$178,IF($D$127=22,"")))))))))</f>
        <v>02-034</v>
      </c>
      <c r="E189" s="176" t="n">
        <f aca="false">IF($D$127=5,R177,IF($D$127=6,R178,IF($D$127=8,R179,IF($D$127=10,R177,IF($D$127=12,R177,IF($D$127=14,R179,IF($D$127=18,R177,IF($D$127=20,R178,IF($D$127=22,"",)))))))))</f>
        <v>0</v>
      </c>
      <c r="F189" s="167" t="str">
        <f aca="false">IF($D$127=5,$S$177,IF($D$127=6,$S$178,IF($D$127=8,$S$179,IF($D$127=10,$S$177,IF($D$127=12,$S$177,IF($D$127=14,$S$179,IF($D$127=18,$S$177,IF($D$127=20,$S$178,IF($D$127=22,"")))))))))</f>
        <v>02-034</v>
      </c>
      <c r="G189" s="167" t="str">
        <f aca="false">IF($D$127=5,$T$177,IF($D$127=6,$T$178,IF($D$127=8,$T$179,IF($D$127=10,$T$177,IF($D$127=12,$T$177,IF($D$127=14,$T$179,IF($D$127=18,$T$177,IF($D$127=20,$T$178,IF($D$127=22,"")))))))))</f>
        <v>M</v>
      </c>
      <c r="H189" s="173" t="n">
        <f aca="false">IF($D$127=5,$U$177,IF($D$127=6,$U$178,IF($D$127=8,$U$179,IF($D$127=10,$U$177*2,IF($D$127=12,$U$177,IF($D$127=14,$U$179*2,IF($D$127=18,$U$177,IF($D$127=20,$U$178,IF($D$127=22,"")))))))))</f>
        <v>15.488</v>
      </c>
      <c r="I189" s="174" t="n">
        <f aca="false">IF($D$127=5,$V$177,IF($D$127=6,$V$178,IF($D$127=8,$V$179,IF($D$127=10,$V$177,IF($D$127=12,$V$177,IF($D$127=14,$V$179,IF($D$127=18,$V$177,IF($D$127=20,$V$178,IF($D$127=22,"")))))))))</f>
        <v>100</v>
      </c>
      <c r="J189" s="175" t="n">
        <f aca="false">ROUNDUP((H189)/100,0)</f>
        <v>1</v>
      </c>
      <c r="N189" s="107" t="s">
        <v>448</v>
      </c>
      <c r="O189" s="62" t="s">
        <v>454</v>
      </c>
      <c r="P189" s="62" t="s">
        <v>455</v>
      </c>
      <c r="Q189" s="55" t="s">
        <v>456</v>
      </c>
      <c r="R189" s="158"/>
      <c r="S189" s="158" t="s">
        <v>456</v>
      </c>
      <c r="T189" s="158" t="s">
        <v>409</v>
      </c>
      <c r="U189" s="168" t="n">
        <f aca="false">((($I$143*$G$143*2)+($I$144*$G$144*2)+($I$141*$G$141*2))/1000)*$J$120</f>
        <v>25.12</v>
      </c>
      <c r="V189" s="168" t="n">
        <v>100</v>
      </c>
      <c r="W189" s="169" t="n">
        <f aca="false">ROUNDUP((U189)/V189,0)</f>
        <v>1</v>
      </c>
    </row>
    <row r="190" s="96" customFormat="true" ht="18" hidden="false" customHeight="true" outlineLevel="0" collapsed="false">
      <c r="A190" s="170" t="n">
        <f aca="false">IF(B190="","",+A189+1)</f>
        <v>16</v>
      </c>
      <c r="B190" s="176" t="str">
        <f aca="false">IF($D$127=5,$O$175,IF($D$127=6,$O$175,IF($D$127=8,$O$177,IF($D$127=10,"",IF($D$127=12,$O$176,IF($D$127=14,"",IF($D$127=18,$O$175,IF($D$127=20,$O$176,IF($D$127=22,"",)))))))))</f>
        <v>5,6,18 mm ยางรองกระจก</v>
      </c>
      <c r="C190" s="176" t="str">
        <f aca="false">IF($D$127=5,$P$175,IF($D$127=6,$P$175,IF($D$127=8,$P$177,IF($D$127=10,"",IF($D$127=12,$P$176,IF($D$127=14,"",IF($D$127=18,$P$175,IF($D$127=20,$P$176,IF($D$127=22,"",)))))))))</f>
        <v>5,6,18 mm CAPTIVE WEDGE</v>
      </c>
      <c r="D190" s="176" t="str">
        <f aca="false">IF($D$127=5,$Q$175,IF($D$127=6,$Q$175,IF($D$127=8,$Q$177,IF($D$127=10,"",IF($D$127=12,$Q$176,IF($D$127=14,"",IF($D$127=18,$Q$175,IF($D$127=20,$Q$176,IF($D$127=22,"",)))))))))</f>
        <v>02-022</v>
      </c>
      <c r="E190" s="176" t="n">
        <f aca="false">IF($D$127=5,R175,IF($D$127=6,R175,IF($D$127=8,R177,IF($D$127=10,"",IF($D$127=12,R176,IF($D$127=14,"",IF($D$127=18,R175,IF($D$127=20,R176,IF($D$127=22,"",)))))))))</f>
        <v>0</v>
      </c>
      <c r="F190" s="167" t="str">
        <f aca="false">IF($D$127=5,$S$175,IF($D$127=6,$S$175,IF($D$127=8,$S$177,IF($D$127=10,"",IF($D$127=12,$S$176,IF($D$127=14,"",IF($D$127=18,$S$175,IF($D$127=20,$S$176,IF($D$127=22,"",)))))))))</f>
        <v>02-022</v>
      </c>
      <c r="G190" s="167" t="str">
        <f aca="false">IF($D$127=5,$T$175,IF($D$127=6,$T$175,IF($D$127=8,$T$177,IF($D$127=10,"",IF($D$127=12,$T$176,IF($D$127=14,"",IF($D$127=18,$T$175,IF($D$127=20,$T$176,IF($D$127=22,"",)))))))))</f>
        <v>M</v>
      </c>
      <c r="H190" s="173" t="n">
        <f aca="false">IF($D$127=5,$U$175,IF($D$127=6,$U$175,IF($D$127=8,$U$177,IF($D$127=10,"",IF($D$127=12,$U$176,IF($D$127=14,"",IF($D$127=18,$U$175,IF($D$127=20,$U$176,IF($D$127=22,"")))))))))</f>
        <v>15.488</v>
      </c>
      <c r="I190" s="174" t="n">
        <f aca="false">IF($D$127=5,$V$175,IF($D$127=6,$V$175,IF($D$127=8,$V$177,IF($D$127=10,"",IF($D$127=12,$V$176,IF($D$127=14,"",IF($D$127=18,$V$175,IF($D$127=20,$V$176,IF($D$127=22,"",)))))))))</f>
        <v>100</v>
      </c>
      <c r="J190" s="175" t="n">
        <f aca="false">ROUNDUP((H190)/100,0)</f>
        <v>1</v>
      </c>
    </row>
    <row r="191" s="96" customFormat="true" ht="18" hidden="false" customHeight="true" outlineLevel="0" collapsed="false">
      <c r="A191" s="170" t="str">
        <f aca="false">IF(B191="","",+A190+1)</f>
        <v/>
      </c>
      <c r="B191" s="131"/>
      <c r="C191" s="131"/>
      <c r="D191" s="132"/>
      <c r="E191" s="130"/>
      <c r="F191" s="130"/>
      <c r="G191" s="130"/>
      <c r="H191" s="130"/>
      <c r="I191" s="142"/>
      <c r="J191" s="134" t="n">
        <f aca="false">$J$120*H191</f>
        <v>0</v>
      </c>
    </row>
    <row r="192" s="96" customFormat="true" ht="18" hidden="false" customHeight="true" outlineLevel="0" collapsed="false">
      <c r="A192" s="170" t="str">
        <f aca="false">IF(B192="","",+A191+1)</f>
        <v/>
      </c>
      <c r="B192" s="131"/>
      <c r="C192" s="131"/>
      <c r="D192" s="132"/>
      <c r="E192" s="130"/>
      <c r="F192" s="130"/>
      <c r="G192" s="130"/>
      <c r="H192" s="130"/>
      <c r="I192" s="142"/>
      <c r="J192" s="134"/>
    </row>
    <row r="193" s="96" customFormat="true" ht="18" hidden="false" customHeight="true" outlineLevel="0" collapsed="false">
      <c r="A193" s="170" t="str">
        <f aca="false">IF(B193="","",+A192+1)</f>
        <v/>
      </c>
      <c r="B193" s="131"/>
      <c r="C193" s="131"/>
      <c r="D193" s="132"/>
      <c r="E193" s="130"/>
      <c r="F193" s="130"/>
      <c r="G193" s="130"/>
      <c r="H193" s="130"/>
      <c r="I193" s="142"/>
      <c r="J193" s="134"/>
    </row>
    <row r="194" s="96" customFormat="true" ht="18" hidden="false" customHeight="true" outlineLevel="0" collapsed="false">
      <c r="A194" s="170" t="str">
        <f aca="false">IF(B194="","",+A193+1)</f>
        <v/>
      </c>
      <c r="B194" s="131"/>
      <c r="C194" s="131"/>
      <c r="D194" s="132"/>
      <c r="E194" s="130"/>
      <c r="F194" s="130"/>
      <c r="G194" s="130"/>
      <c r="H194" s="130"/>
      <c r="I194" s="142"/>
      <c r="J194" s="134"/>
    </row>
    <row r="195" customFormat="false" ht="18" hidden="false" customHeight="true" outlineLevel="0" collapsed="false">
      <c r="A195" s="170" t="str">
        <f aca="false">IF(B195="","",+A194+1)</f>
        <v/>
      </c>
      <c r="B195" s="131"/>
      <c r="C195" s="131"/>
      <c r="D195" s="132"/>
      <c r="E195" s="130"/>
      <c r="F195" s="130"/>
      <c r="G195" s="130"/>
      <c r="H195" s="130"/>
      <c r="I195" s="142"/>
      <c r="J195" s="134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30"/>
      <c r="I196" s="142"/>
      <c r="J196" s="134"/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42"/>
      <c r="J197" s="134"/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42"/>
      <c r="J198" s="134"/>
    </row>
    <row r="199" s="96" customFormat="true" ht="18" hidden="false" customHeight="true" outlineLevel="0" collapsed="false">
      <c r="A199" s="170" t="str">
        <f aca="false">IF(B199="","",+""+1)</f>
        <v/>
      </c>
      <c r="B199" s="131"/>
      <c r="C199" s="131"/>
      <c r="D199" s="132"/>
      <c r="E199" s="130"/>
      <c r="F199" s="130"/>
      <c r="G199" s="130"/>
      <c r="H199" s="130"/>
      <c r="I199" s="142"/>
      <c r="J199" s="134"/>
    </row>
    <row r="200" s="96" customFormat="true" ht="18" hidden="false" customHeight="true" outlineLevel="0" collapsed="false">
      <c r="A200" s="170"/>
      <c r="B200" s="131"/>
      <c r="C200" s="131"/>
      <c r="D200" s="132"/>
      <c r="E200" s="130"/>
      <c r="F200" s="130"/>
      <c r="G200" s="130"/>
      <c r="H200" s="130"/>
      <c r="I200" s="142"/>
      <c r="J200" s="134"/>
    </row>
    <row r="201" s="96" customFormat="true" ht="18" hidden="false" customHeight="true" outlineLevel="0" collapsed="false">
      <c r="A201" s="170" t="str">
        <f aca="false">IF(B201="","",+A199+1)</f>
        <v/>
      </c>
      <c r="B201" s="131"/>
      <c r="C201" s="131"/>
      <c r="D201" s="132"/>
      <c r="E201" s="130"/>
      <c r="F201" s="130"/>
      <c r="G201" s="130"/>
      <c r="H201" s="130"/>
      <c r="I201" s="142"/>
      <c r="J201" s="134"/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42"/>
      <c r="J202" s="134"/>
    </row>
    <row r="203" s="96" customFormat="true" ht="18" hidden="false" customHeight="true" outlineLevel="0" collapsed="false">
      <c r="A203" s="170" t="str">
        <f aca="false">IF(B203="","",+""+1)</f>
        <v/>
      </c>
      <c r="B203" s="131"/>
      <c r="C203" s="131"/>
      <c r="D203" s="132"/>
      <c r="E203" s="130"/>
      <c r="F203" s="130"/>
      <c r="G203" s="130"/>
      <c r="H203" s="130"/>
      <c r="I203" s="142"/>
      <c r="J203" s="134"/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42"/>
      <c r="J204" s="134"/>
    </row>
    <row r="205" s="96" customFormat="true" ht="18" hidden="false" customHeight="true" outlineLevel="0" collapsed="false">
      <c r="A205" s="179" t="str">
        <f aca="false">IF(B205="","",+A204+1)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/>
    </row>
    <row r="206" customFormat="false" ht="18" hidden="false" customHeight="true" outlineLevel="0" collapsed="false">
      <c r="A206" s="97"/>
      <c r="B206" s="96"/>
      <c r="C206" s="96"/>
      <c r="D206" s="98"/>
      <c r="E206" s="97"/>
      <c r="F206" s="97"/>
      <c r="G206" s="97"/>
      <c r="H206" s="97"/>
      <c r="J206" s="92" t="str">
        <f aca="false">LEFT($J$111,10)&amp;"-02"</f>
        <v>FG-240-2PR-02</v>
      </c>
    </row>
    <row r="207" customFormat="false" ht="12.75" hidden="false" customHeight="true" outlineLevel="0" collapsed="false">
      <c r="K207" s="78"/>
      <c r="L207" s="78"/>
      <c r="M207" s="79"/>
      <c r="N207" s="79"/>
    </row>
    <row r="208" customFormat="false" ht="30" hidden="false" customHeight="true" outlineLevel="0" collapsed="false">
      <c r="C208" s="75"/>
      <c r="D208" s="76"/>
      <c r="E208" s="76"/>
      <c r="F208" s="76"/>
      <c r="G208" s="76"/>
      <c r="H208" s="76"/>
      <c r="I208" s="76"/>
      <c r="J208" s="77" t="str">
        <f aca="false">$J$2</f>
        <v>HOMELIFE</v>
      </c>
      <c r="K208" s="83"/>
      <c r="L208" s="83"/>
      <c r="M208" s="79"/>
      <c r="N208" s="79"/>
    </row>
    <row r="209" customFormat="false" ht="24.75" hidden="false" customHeight="true" outlineLevel="0" collapsed="false">
      <c r="C209" s="82"/>
      <c r="D209" s="82"/>
      <c r="E209" s="82"/>
      <c r="F209" s="82"/>
      <c r="G209" s="82"/>
      <c r="H209" s="82"/>
      <c r="I209" s="82"/>
      <c r="J209" s="80" t="str">
        <f aca="false">$J$3</f>
        <v>Fabricators Guide</v>
      </c>
      <c r="K209" s="83"/>
      <c r="L209" s="83"/>
      <c r="M209" s="79"/>
      <c r="N209" s="79"/>
    </row>
    <row r="210" customFormat="false" ht="24.75" hidden="false" customHeight="true" outlineLevel="0" collapsed="false">
      <c r="B210" s="81"/>
      <c r="C210" s="82"/>
      <c r="D210" s="82"/>
      <c r="E210" s="82"/>
      <c r="F210" s="82"/>
      <c r="G210" s="82"/>
      <c r="H210" s="82"/>
      <c r="I210" s="82"/>
      <c r="J210" s="80" t="str">
        <f aca="false">$J$4</f>
        <v>240 Series Bi Fold Door </v>
      </c>
      <c r="M210" s="87"/>
      <c r="N210" s="87"/>
    </row>
    <row r="211" s="96" customFormat="true" ht="15" hidden="false" customHeight="true" outlineLevel="0" collapsed="false">
      <c r="A211" s="84"/>
      <c r="B211" s="84"/>
      <c r="C211" s="84"/>
      <c r="D211" s="85"/>
      <c r="E211" s="84"/>
      <c r="F211" s="84"/>
      <c r="G211" s="84"/>
      <c r="H211" s="84"/>
      <c r="I211" s="84"/>
      <c r="J211" s="94"/>
      <c r="K211" s="87"/>
      <c r="L211" s="87"/>
      <c r="M211" s="87"/>
      <c r="N211" s="87"/>
    </row>
    <row r="212" s="96" customFormat="true" ht="24.75" hidden="false" customHeight="true" outlineLevel="0" collapsed="false">
      <c r="A212" s="88" t="s">
        <v>457</v>
      </c>
      <c r="B212" s="88"/>
      <c r="C212" s="88"/>
      <c r="D212" s="88"/>
      <c r="E212" s="88"/>
      <c r="F212" s="88"/>
      <c r="G212" s="88"/>
      <c r="H212" s="88"/>
      <c r="I212" s="88"/>
      <c r="J212" s="88"/>
    </row>
    <row r="216" customFormat="false" ht="15" hidden="false" customHeight="true" outlineLevel="0" collapsed="false">
      <c r="A216" s="97"/>
      <c r="B216" s="96"/>
      <c r="C216" s="181"/>
      <c r="D216" s="98"/>
      <c r="E216" s="83"/>
      <c r="F216" s="98"/>
      <c r="G216" s="96"/>
      <c r="H216" s="96"/>
    </row>
    <row r="217" s="96" customFormat="true" ht="15" hidden="false" customHeight="true" outlineLevel="0" collapsed="false">
      <c r="A217" s="97"/>
      <c r="C217" s="181"/>
      <c r="D217" s="98"/>
      <c r="E217" s="97"/>
      <c r="F217" s="98"/>
      <c r="H217" s="181"/>
      <c r="I217" s="183"/>
      <c r="J217" s="99"/>
    </row>
    <row r="218" s="96" customFormat="true" ht="15" hidden="false" customHeight="true" outlineLevel="0" collapsed="false">
      <c r="A218" s="182"/>
      <c r="B218" s="182"/>
      <c r="D218" s="98"/>
      <c r="E218" s="83"/>
      <c r="F218" s="183"/>
      <c r="H218" s="181"/>
      <c r="J218" s="97"/>
    </row>
    <row r="219" s="96" customFormat="true" ht="15" hidden="false" customHeight="true" outlineLevel="0" collapsed="false">
      <c r="A219" s="97"/>
      <c r="C219" s="184" t="s">
        <v>516</v>
      </c>
      <c r="D219" s="98"/>
      <c r="E219" s="83"/>
      <c r="F219" s="98"/>
      <c r="J219" s="97"/>
    </row>
    <row r="220" s="96" customFormat="true" ht="17.25" hidden="false" customHeight="true" outlineLevel="0" collapsed="false">
      <c r="A220" s="97"/>
      <c r="C220" s="181" t="s">
        <v>459</v>
      </c>
      <c r="D220" s="98"/>
      <c r="E220" s="83"/>
      <c r="F220" s="98"/>
      <c r="H220" s="184"/>
      <c r="J220" s="97"/>
    </row>
    <row r="221" s="96" customFormat="true" ht="15" hidden="false" customHeight="true" outlineLevel="0" collapsed="false">
      <c r="A221" s="97"/>
      <c r="C221" s="181" t="s">
        <v>460</v>
      </c>
      <c r="D221" s="98"/>
      <c r="E221" s="97"/>
      <c r="F221" s="98"/>
      <c r="I221" s="97"/>
      <c r="J221" s="97"/>
    </row>
    <row r="222" s="96" customFormat="true" ht="15" hidden="false" customHeight="true" outlineLevel="0" collapsed="false">
      <c r="A222" s="97"/>
      <c r="C222" s="185" t="n">
        <f aca="false">$I$133</f>
        <v>2940</v>
      </c>
      <c r="D222" s="98"/>
      <c r="E222" s="83"/>
      <c r="F222" s="98"/>
      <c r="G222" s="186"/>
      <c r="I222" s="97"/>
      <c r="J222" s="97"/>
    </row>
    <row r="223" s="96" customFormat="true" ht="15" hidden="false" customHeight="true" outlineLevel="0" collapsed="false">
      <c r="A223" s="97"/>
      <c r="C223" s="187" t="n">
        <f aca="false">$J$133</f>
        <v>1</v>
      </c>
      <c r="D223" s="98"/>
      <c r="E223" s="83"/>
      <c r="F223" s="98"/>
      <c r="G223" s="110"/>
      <c r="J223" s="97"/>
    </row>
    <row r="224" s="96" customFormat="true" ht="15" hidden="false" customHeight="true" outlineLevel="0" collapsed="false">
      <c r="A224" s="97"/>
      <c r="D224" s="98"/>
      <c r="E224" s="97"/>
      <c r="F224" s="98"/>
      <c r="G224" s="110"/>
      <c r="J224" s="97"/>
    </row>
    <row r="225" s="96" customFormat="true" ht="15" hidden="false" customHeight="true" outlineLevel="0" collapsed="false">
      <c r="A225" s="99"/>
      <c r="B225" s="99"/>
      <c r="C225" s="83"/>
      <c r="D225" s="98"/>
      <c r="E225" s="97"/>
      <c r="F225" s="98"/>
      <c r="G225" s="186"/>
      <c r="J225" s="97"/>
    </row>
    <row r="226" s="96" customFormat="true" ht="15" hidden="false" customHeight="true" outlineLevel="0" collapsed="false">
      <c r="A226" s="99"/>
      <c r="B226" s="99"/>
      <c r="C226" s="83"/>
      <c r="D226" s="98"/>
      <c r="E226" s="97"/>
      <c r="F226" s="98"/>
      <c r="H226" s="97"/>
      <c r="I226" s="97"/>
      <c r="J226" s="97"/>
    </row>
    <row r="227" s="96" customFormat="true" ht="1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181"/>
      <c r="D228" s="98"/>
      <c r="E228" s="97"/>
      <c r="F228" s="98"/>
      <c r="H228" s="97"/>
      <c r="I228" s="97"/>
      <c r="J228" s="97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97"/>
      <c r="J229" s="97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97"/>
      <c r="J230" s="97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9"/>
      <c r="J231" s="190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517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I234" s="181"/>
      <c r="J234" s="193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181"/>
      <c r="J235" s="193"/>
    </row>
    <row r="236" s="96" customFormat="true" ht="15.75" hidden="false" customHeight="true" outlineLevel="0" collapsed="false">
      <c r="A236" s="97"/>
      <c r="C236" s="185" t="n">
        <f aca="false">$I$134</f>
        <v>2914</v>
      </c>
      <c r="D236" s="98"/>
      <c r="E236" s="97"/>
      <c r="F236" s="98"/>
      <c r="G236" s="97"/>
      <c r="H236" s="97"/>
      <c r="I236" s="181"/>
      <c r="J236" s="193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J237" s="97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97"/>
      <c r="J238" s="196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96"/>
      <c r="J239" s="196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84"/>
      <c r="J240" s="198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97"/>
      <c r="I241" s="184"/>
      <c r="J241" s="198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197"/>
      <c r="I242" s="181"/>
      <c r="J242" s="193"/>
    </row>
    <row r="243" s="96" customFormat="true" ht="15.75" hidden="false" customHeight="true" outlineLevel="0" collapsed="false">
      <c r="A243" s="97"/>
      <c r="D243" s="98"/>
      <c r="E243" s="97"/>
      <c r="F243" s="98"/>
      <c r="G243" s="97"/>
      <c r="H243" s="97"/>
      <c r="I243" s="181"/>
      <c r="J243" s="193"/>
    </row>
    <row r="244" s="96" customFormat="true" ht="15.75" hidden="false" customHeight="true" outlineLevel="0" collapsed="false">
      <c r="A244" s="97"/>
      <c r="C244" s="184" t="s">
        <v>519</v>
      </c>
      <c r="D244" s="98"/>
      <c r="E244" s="97"/>
      <c r="F244" s="98"/>
      <c r="G244" s="97"/>
      <c r="H244" s="97"/>
      <c r="I244" s="196"/>
      <c r="J244" s="196"/>
    </row>
    <row r="245" s="96" customFormat="true" ht="15.75" hidden="false" customHeight="true" outlineLevel="0" collapsed="false">
      <c r="A245" s="97"/>
      <c r="C245" s="181" t="s">
        <v>459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1" t="s">
        <v>460</v>
      </c>
      <c r="D246" s="98"/>
      <c r="E246" s="97"/>
      <c r="F246" s="98"/>
      <c r="G246" s="97"/>
      <c r="H246" s="97"/>
      <c r="I246" s="97"/>
      <c r="J246" s="196"/>
    </row>
    <row r="247" s="96" customFormat="true" ht="15.75" hidden="false" customHeight="true" outlineLevel="0" collapsed="false">
      <c r="A247" s="97"/>
      <c r="C247" s="185" t="n">
        <f aca="false">$I$135</f>
        <v>2940</v>
      </c>
      <c r="D247" s="98"/>
      <c r="E247" s="97"/>
      <c r="F247" s="98"/>
      <c r="G247" s="97"/>
      <c r="H247" s="97"/>
      <c r="I247" s="196"/>
      <c r="J247" s="196"/>
    </row>
    <row r="248" s="96" customFormat="true" ht="15.75" hidden="false" customHeight="true" outlineLevel="0" collapsed="false">
      <c r="A248" s="97"/>
      <c r="C248" s="187" t="n">
        <f aca="false">$J$135</f>
        <v>1</v>
      </c>
      <c r="D248" s="98"/>
      <c r="E248" s="97"/>
      <c r="F248" s="98"/>
      <c r="G248" s="97"/>
      <c r="H248" s="97"/>
      <c r="I248" s="196"/>
      <c r="J248" s="196"/>
    </row>
    <row r="249" s="96" customFormat="true" ht="15" hidden="false" customHeight="true" outlineLevel="0" collapsed="false">
      <c r="A249" s="97"/>
      <c r="C249" s="185"/>
      <c r="D249" s="98"/>
      <c r="E249" s="97"/>
      <c r="F249" s="98"/>
      <c r="G249" s="97"/>
      <c r="H249" s="97"/>
      <c r="I249" s="196"/>
      <c r="J249" s="196"/>
    </row>
    <row r="250" s="96" customFormat="true" ht="15.75" hidden="false" customHeight="true" outlineLevel="0" collapsed="false">
      <c r="A250" s="97"/>
      <c r="C250" s="187"/>
      <c r="D250" s="98"/>
      <c r="E250" s="97"/>
      <c r="F250" s="97"/>
      <c r="G250" s="191"/>
      <c r="H250" s="97"/>
      <c r="I250" s="191"/>
      <c r="J250" s="199"/>
    </row>
    <row r="251" s="96" customFormat="true" ht="15.75" hidden="false" customHeight="true" outlineLevel="0" collapsed="false">
      <c r="A251" s="97"/>
      <c r="D251" s="98"/>
      <c r="E251" s="97"/>
      <c r="F251" s="97"/>
      <c r="G251" s="191"/>
      <c r="H251" s="97"/>
      <c r="I251" s="189"/>
      <c r="J251" s="190"/>
    </row>
    <row r="252" s="96" customFormat="true" ht="15.75" hidden="false" customHeight="true" outlineLevel="0" collapsed="false">
      <c r="A252" s="97"/>
      <c r="D252" s="98"/>
      <c r="E252" s="97"/>
      <c r="F252" s="97"/>
      <c r="G252" s="191"/>
      <c r="H252" s="97"/>
      <c r="I252" s="189"/>
      <c r="J252" s="190"/>
    </row>
    <row r="253" s="96" customFormat="true" ht="15.75" hidden="false" customHeight="true" outlineLevel="0" collapsed="false">
      <c r="A253" s="97"/>
      <c r="D253" s="98"/>
      <c r="E253" s="97"/>
      <c r="F253" s="97"/>
      <c r="G253" s="190"/>
      <c r="H253" s="97"/>
      <c r="J253" s="97"/>
    </row>
    <row r="254" s="96" customFormat="true" ht="15.75" hidden="false" customHeight="true" outlineLevel="0" collapsed="false">
      <c r="A254" s="97"/>
      <c r="D254" s="98"/>
      <c r="E254" s="97"/>
      <c r="F254" s="97"/>
      <c r="G254" s="97"/>
      <c r="H254" s="97"/>
      <c r="J254" s="97"/>
    </row>
    <row r="255" s="96" customFormat="true" ht="15.75" hidden="false" customHeight="true" outlineLevel="0" collapsed="false">
      <c r="A255" s="191"/>
      <c r="B255" s="191"/>
      <c r="D255" s="192"/>
      <c r="E255" s="191"/>
      <c r="F255" s="191"/>
      <c r="G255" s="97"/>
      <c r="H255" s="97"/>
      <c r="J255" s="97"/>
    </row>
    <row r="256" s="96" customFormat="true" ht="15.75" hidden="false" customHeight="true" outlineLevel="0" collapsed="false">
      <c r="A256" s="190"/>
      <c r="B256" s="190"/>
      <c r="C256" s="184" t="s">
        <v>520</v>
      </c>
      <c r="D256" s="194"/>
      <c r="E256" s="190"/>
      <c r="F256" s="189"/>
      <c r="G256" s="97"/>
      <c r="I256" s="196"/>
      <c r="J256" s="196"/>
    </row>
    <row r="257" s="96" customFormat="true" ht="15.75" hidden="false" customHeight="true" outlineLevel="0" collapsed="false">
      <c r="A257" s="200"/>
      <c r="C257" s="181" t="s">
        <v>459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1" t="s">
        <v>460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C259" s="185" t="n">
        <f aca="false">$I$136</f>
        <v>2940</v>
      </c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C260" s="187" t="n">
        <f aca="false">$J$136</f>
        <v>1</v>
      </c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D264" s="98"/>
      <c r="E264" s="97"/>
      <c r="F264" s="97"/>
      <c r="G264" s="97"/>
      <c r="I264" s="196"/>
      <c r="J264" s="196"/>
    </row>
    <row r="265" s="96" customFormat="true" ht="15.75" hidden="false" customHeight="true" outlineLevel="0" collapsed="false">
      <c r="A265" s="200"/>
      <c r="C265" s="98"/>
      <c r="D265" s="98"/>
      <c r="E265" s="97"/>
      <c r="F265" s="97"/>
      <c r="G265" s="97"/>
      <c r="I265" s="196"/>
      <c r="J265" s="196"/>
    </row>
    <row r="266" s="96" customFormat="true" ht="15.75" hidden="false" customHeight="true" outlineLevel="0" collapsed="false">
      <c r="A266" s="200"/>
      <c r="D266" s="98"/>
      <c r="E266" s="97"/>
      <c r="F266" s="97"/>
      <c r="G266" s="97"/>
      <c r="I266" s="196"/>
      <c r="J266" s="196"/>
    </row>
    <row r="267" s="96" customFormat="true" ht="15.75" hidden="false" customHeight="true" outlineLevel="0" collapsed="false">
      <c r="A267" s="200"/>
      <c r="C267" s="184" t="s">
        <v>521</v>
      </c>
      <c r="D267" s="98"/>
      <c r="E267" s="97"/>
      <c r="F267" s="97"/>
      <c r="G267" s="97"/>
      <c r="H267" s="97"/>
      <c r="I267" s="196"/>
      <c r="J267" s="196"/>
    </row>
    <row r="268" s="96" customFormat="true" ht="15.75" hidden="false" customHeight="true" outlineLevel="0" collapsed="false">
      <c r="A268" s="200"/>
      <c r="C268" s="181" t="s">
        <v>522</v>
      </c>
      <c r="D268" s="181"/>
      <c r="E268" s="181"/>
      <c r="F268" s="97"/>
      <c r="G268" s="97"/>
      <c r="H268" s="97"/>
      <c r="I268" s="196"/>
      <c r="J268" s="196"/>
    </row>
    <row r="269" s="96" customFormat="true" ht="15.75" hidden="false" customHeight="true" outlineLevel="0" collapsed="false">
      <c r="A269" s="200"/>
      <c r="C269" s="181" t="s">
        <v>468</v>
      </c>
      <c r="D269" s="181"/>
      <c r="E269" s="181"/>
      <c r="F269" s="97"/>
      <c r="G269" s="97"/>
      <c r="H269" s="97"/>
      <c r="I269" s="196"/>
      <c r="J269" s="196"/>
    </row>
    <row r="270" s="96" customFormat="true" ht="15.75" hidden="false" customHeight="true" outlineLevel="0" collapsed="false">
      <c r="A270" s="200"/>
      <c r="C270" s="185" t="n">
        <f aca="false">$I$137</f>
        <v>2500</v>
      </c>
      <c r="D270" s="98"/>
      <c r="E270" s="97"/>
      <c r="F270" s="97"/>
      <c r="I270" s="196"/>
      <c r="J270" s="196"/>
    </row>
    <row r="271" s="96" customFormat="true" ht="15.75" hidden="false" customHeight="true" outlineLevel="0" collapsed="false">
      <c r="A271" s="200"/>
      <c r="C271" s="187" t="n">
        <f aca="false">$J$137+$J$138</f>
        <v>2</v>
      </c>
      <c r="D271" s="98"/>
      <c r="E271" s="97"/>
      <c r="F271" s="97"/>
      <c r="G271" s="97"/>
      <c r="H271" s="97"/>
      <c r="I271" s="196"/>
      <c r="J271" s="196"/>
    </row>
    <row r="272" s="96" customFormat="true" ht="15.75" hidden="false" customHeight="true" outlineLevel="0" collapsed="false">
      <c r="A272" s="200"/>
      <c r="D272" s="184"/>
      <c r="E272" s="184"/>
      <c r="F272" s="97"/>
      <c r="G272" s="97"/>
      <c r="H272" s="97"/>
      <c r="J272" s="97"/>
    </row>
    <row r="273" s="96" customFormat="true" ht="15.75" hidden="false" customHeight="true" outlineLevel="0" collapsed="false">
      <c r="A273" s="200"/>
      <c r="D273" s="184"/>
      <c r="E273" s="184"/>
      <c r="F273" s="97"/>
      <c r="G273" s="97"/>
      <c r="H273" s="97"/>
      <c r="J273" s="97"/>
    </row>
    <row r="274" s="96" customFormat="true" ht="15.75" hidden="false" customHeight="true" outlineLevel="0" collapsed="false">
      <c r="A274" s="200"/>
      <c r="D274" s="181"/>
      <c r="E274" s="181"/>
      <c r="F274" s="97"/>
      <c r="G274" s="97"/>
      <c r="H274" s="97"/>
      <c r="J274" s="97"/>
    </row>
    <row r="275" s="96" customFormat="true" ht="15.75" hidden="false" customHeight="true" outlineLevel="0" collapsed="false">
      <c r="A275" s="200"/>
      <c r="D275" s="181"/>
      <c r="E275" s="181"/>
      <c r="F275" s="97"/>
      <c r="G275" s="97"/>
      <c r="H275" s="97"/>
      <c r="J275" s="97"/>
    </row>
    <row r="276" s="96" customFormat="true" ht="15.75" hidden="false" customHeight="true" outlineLevel="0" collapsed="false">
      <c r="A276" s="200"/>
      <c r="D276" s="181"/>
      <c r="E276" s="181"/>
      <c r="F276" s="97"/>
      <c r="G276" s="97"/>
      <c r="H276" s="97"/>
      <c r="J276" s="97"/>
    </row>
    <row r="277" s="96" customFormat="true" ht="15.75" hidden="false" customHeight="true" outlineLevel="0" collapsed="false">
      <c r="A277" s="200"/>
      <c r="D277" s="181"/>
      <c r="E277" s="181"/>
      <c r="F277" s="97"/>
      <c r="G277" s="97"/>
      <c r="J277" s="97"/>
    </row>
    <row r="278" s="96" customFormat="true" ht="15.75" hidden="false" customHeight="true" outlineLevel="0" collapsed="false">
      <c r="A278" s="200"/>
      <c r="D278" s="98"/>
      <c r="E278" s="97"/>
      <c r="F278" s="97"/>
      <c r="G278" s="97"/>
      <c r="J278" s="97"/>
    </row>
    <row r="279" s="96" customFormat="true" ht="15.75" hidden="false" customHeight="true" outlineLevel="0" collapsed="false">
      <c r="A279" s="200"/>
      <c r="C279" s="184" t="s">
        <v>523</v>
      </c>
      <c r="D279" s="201"/>
      <c r="E279" s="196"/>
      <c r="F279" s="97"/>
      <c r="G279" s="97"/>
      <c r="J279" s="97"/>
    </row>
    <row r="280" s="96" customFormat="true" ht="15.75" hidden="false" customHeight="true" outlineLevel="0" collapsed="false">
      <c r="A280" s="200"/>
      <c r="C280" s="181" t="s">
        <v>470</v>
      </c>
      <c r="D280" s="181"/>
      <c r="E280" s="181"/>
      <c r="F280" s="97"/>
      <c r="G280" s="97"/>
      <c r="I280" s="196"/>
      <c r="J280" s="196"/>
    </row>
    <row r="281" s="96" customFormat="true" ht="15.75" hidden="false" customHeight="true" outlineLevel="0" collapsed="false">
      <c r="A281" s="200"/>
      <c r="C281" s="181" t="s">
        <v>471</v>
      </c>
      <c r="D281" s="181"/>
      <c r="E281" s="181"/>
      <c r="F281" s="97"/>
      <c r="G281" s="97"/>
      <c r="I281" s="196"/>
      <c r="J281" s="196"/>
    </row>
    <row r="282" s="96" customFormat="true" ht="15.75" hidden="false" customHeight="true" outlineLevel="0" collapsed="false">
      <c r="A282" s="200"/>
      <c r="C282" s="185" t="n">
        <f aca="false">$I$139</f>
        <v>2404</v>
      </c>
      <c r="F282" s="97"/>
      <c r="G282" s="97"/>
      <c r="I282" s="196"/>
      <c r="J282" s="196"/>
    </row>
    <row r="283" s="96" customFormat="true" ht="15.75" hidden="false" customHeight="true" outlineLevel="0" collapsed="false">
      <c r="A283" s="200"/>
      <c r="C283" s="187" t="n">
        <f aca="false">$J$139+$J$140</f>
        <v>2</v>
      </c>
      <c r="F283" s="97"/>
      <c r="G283" s="97"/>
      <c r="I283" s="97"/>
      <c r="J283" s="196"/>
    </row>
    <row r="284" s="96" customFormat="true" ht="15.75" hidden="false" customHeight="true" outlineLevel="0" collapsed="false">
      <c r="A284" s="200"/>
      <c r="F284" s="97"/>
      <c r="G284" s="97"/>
      <c r="H284" s="97"/>
      <c r="I284" s="97"/>
      <c r="J284" s="196"/>
    </row>
    <row r="285" s="96" customFormat="true" ht="15.75" hidden="false" customHeight="true" outlineLevel="0" collapsed="false">
      <c r="A285" s="200"/>
      <c r="F285" s="97"/>
      <c r="G285" s="97"/>
      <c r="H285" s="97"/>
      <c r="I285" s="97"/>
      <c r="J285" s="196"/>
    </row>
    <row r="286" s="96" customFormat="true" ht="15.75" hidden="false" customHeight="true" outlineLevel="0" collapsed="false">
      <c r="A286" s="200"/>
      <c r="F286" s="97"/>
      <c r="G286" s="97"/>
      <c r="H286" s="97"/>
      <c r="I286" s="97"/>
      <c r="J286" s="196"/>
    </row>
    <row r="287" s="96" customFormat="true" ht="15.75" hidden="false" customHeight="true" outlineLevel="0" collapsed="false">
      <c r="A287" s="200"/>
      <c r="D287" s="98"/>
      <c r="E287" s="97"/>
      <c r="F287" s="97"/>
      <c r="G287" s="97"/>
      <c r="H287" s="97"/>
      <c r="I287" s="97"/>
      <c r="J287" s="196"/>
    </row>
    <row r="288" s="96" customFormat="true" ht="15.75" hidden="false" customHeight="true" outlineLevel="0" collapsed="false">
      <c r="A288" s="200"/>
      <c r="F288" s="97"/>
      <c r="G288" s="97"/>
      <c r="H288" s="97"/>
      <c r="I288" s="97"/>
      <c r="J288" s="196"/>
    </row>
    <row r="289" s="96" customFormat="true" ht="15.75" hidden="false" customHeight="true" outlineLevel="0" collapsed="false">
      <c r="A289" s="200"/>
      <c r="F289" s="97"/>
      <c r="G289" s="97"/>
      <c r="H289" s="97"/>
      <c r="J289" s="97"/>
    </row>
    <row r="290" s="96" customFormat="true" ht="15.75" hidden="false" customHeight="true" outlineLevel="0" collapsed="false">
      <c r="A290" s="200"/>
      <c r="C290" s="184" t="s">
        <v>524</v>
      </c>
      <c r="F290" s="97"/>
      <c r="G290" s="97"/>
      <c r="H290" s="97"/>
      <c r="J290" s="97"/>
    </row>
    <row r="291" s="96" customFormat="true" ht="15.75" hidden="false" customHeight="true" outlineLevel="0" collapsed="false">
      <c r="A291" s="200"/>
      <c r="C291" s="83" t="s">
        <v>473</v>
      </c>
      <c r="D291" s="98"/>
      <c r="E291" s="97"/>
      <c r="F291" s="97"/>
      <c r="G291" s="97"/>
      <c r="H291" s="97"/>
      <c r="J291" s="97"/>
    </row>
    <row r="292" s="96" customFormat="true" ht="15.75" hidden="false" customHeight="true" outlineLevel="0" collapsed="false">
      <c r="A292" s="200"/>
      <c r="C292" s="181" t="s">
        <v>474</v>
      </c>
      <c r="D292" s="98"/>
      <c r="E292" s="97"/>
      <c r="F292" s="97"/>
      <c r="G292" s="97"/>
      <c r="H292" s="97"/>
      <c r="I292" s="201"/>
      <c r="J292" s="196"/>
    </row>
    <row r="293" s="96" customFormat="true" ht="15.75" hidden="false" customHeight="true" outlineLevel="0" collapsed="false">
      <c r="A293" s="200"/>
      <c r="C293" s="181" t="s">
        <v>475</v>
      </c>
      <c r="D293" s="181"/>
      <c r="E293" s="181"/>
      <c r="F293" s="97"/>
      <c r="G293" s="97"/>
      <c r="I293" s="97"/>
      <c r="J293" s="196"/>
    </row>
    <row r="294" s="96" customFormat="true" ht="15.75" hidden="false" customHeight="true" outlineLevel="0" collapsed="false">
      <c r="A294" s="200"/>
      <c r="C294" s="181" t="s">
        <v>476</v>
      </c>
      <c r="D294" s="181"/>
      <c r="E294" s="181"/>
      <c r="F294" s="97"/>
      <c r="G294" s="97"/>
      <c r="I294" s="196"/>
      <c r="J294" s="196"/>
    </row>
    <row r="295" s="96" customFormat="true" ht="15.75" hidden="false" customHeight="true" outlineLevel="0" collapsed="false">
      <c r="A295" s="200"/>
      <c r="C295" s="185" t="n">
        <f aca="false">$I$141</f>
        <v>1464</v>
      </c>
      <c r="F295" s="97"/>
      <c r="G295" s="97"/>
      <c r="I295" s="196"/>
      <c r="J295" s="196"/>
    </row>
    <row r="296" s="96" customFormat="true" ht="15.75" hidden="false" customHeight="true" outlineLevel="0" collapsed="false">
      <c r="A296" s="200"/>
      <c r="C296" s="187" t="n">
        <f aca="false">$J$141+$J$142</f>
        <v>4</v>
      </c>
      <c r="D296" s="98"/>
      <c r="E296" s="97"/>
      <c r="F296" s="97"/>
      <c r="G296" s="97"/>
      <c r="H296" s="98"/>
      <c r="I296" s="196"/>
      <c r="J296" s="196"/>
    </row>
    <row r="297" s="202" customFormat="true" ht="15.75" hidden="false" customHeight="true" outlineLevel="0" collapsed="false">
      <c r="A297" s="200"/>
      <c r="B297" s="96"/>
      <c r="C297" s="185" t="n">
        <f aca="false">$I$143</f>
        <v>2408</v>
      </c>
      <c r="D297" s="98"/>
      <c r="E297" s="97"/>
      <c r="F297" s="97"/>
      <c r="G297" s="97"/>
      <c r="H297" s="97"/>
      <c r="I297" s="97"/>
      <c r="J297" s="97"/>
    </row>
    <row r="298" s="96" customFormat="true" ht="15.75" hidden="false" customHeight="true" outlineLevel="0" collapsed="false">
      <c r="A298" s="200"/>
      <c r="C298" s="187" t="n">
        <f aca="false">$J$143+$J$144</f>
        <v>4</v>
      </c>
      <c r="D298" s="98"/>
      <c r="E298" s="97"/>
      <c r="F298" s="97"/>
      <c r="G298" s="97"/>
      <c r="H298" s="97"/>
      <c r="I298" s="191"/>
      <c r="J298" s="199"/>
    </row>
    <row r="299" s="96" customFormat="true" ht="15.75" hidden="false" customHeight="true" outlineLevel="0" collapsed="false">
      <c r="A299" s="200"/>
      <c r="D299" s="98"/>
      <c r="E299" s="97"/>
      <c r="F299" s="97"/>
      <c r="G299" s="97"/>
      <c r="H299" s="97"/>
      <c r="I299" s="191"/>
      <c r="J299" s="199"/>
    </row>
    <row r="300" s="96" customFormat="true" ht="15.75" hidden="false" customHeight="true" outlineLevel="0" collapsed="false">
      <c r="A300" s="200"/>
      <c r="D300" s="98"/>
      <c r="E300" s="97"/>
      <c r="F300" s="97"/>
      <c r="G300" s="97"/>
      <c r="H300" s="97"/>
      <c r="I300" s="191"/>
      <c r="J300" s="199"/>
    </row>
    <row r="301" s="96" customFormat="true" ht="15.75" hidden="false" customHeight="true" outlineLevel="0" collapsed="false">
      <c r="A301" s="200"/>
      <c r="D301" s="98"/>
      <c r="E301" s="97"/>
      <c r="F301" s="97"/>
      <c r="G301" s="97"/>
      <c r="H301" s="97"/>
      <c r="I301" s="189"/>
      <c r="J301" s="190"/>
    </row>
    <row r="302" s="96" customFormat="true" ht="15.75" hidden="false" customHeight="true" outlineLevel="0" collapsed="false">
      <c r="A302" s="200"/>
      <c r="C302" s="202"/>
      <c r="D302" s="98"/>
      <c r="E302" s="97"/>
      <c r="F302" s="97"/>
      <c r="G302" s="97"/>
      <c r="H302" s="97"/>
      <c r="I302" s="196"/>
      <c r="J302" s="196"/>
    </row>
    <row r="303" s="96" customFormat="true" ht="15.75" hidden="false" customHeight="true" outlineLevel="0" collapsed="false">
      <c r="A303" s="200"/>
      <c r="C303" s="184" t="s">
        <v>525</v>
      </c>
      <c r="D303" s="98"/>
      <c r="E303" s="97"/>
      <c r="F303" s="97"/>
      <c r="G303" s="97"/>
      <c r="H303" s="97"/>
      <c r="I303" s="196"/>
      <c r="J303" s="196"/>
    </row>
    <row r="304" s="96" customFormat="true" ht="15.75" hidden="false" customHeight="true" outlineLevel="0" collapsed="false">
      <c r="A304" s="200"/>
      <c r="C304" s="83" t="s">
        <v>473</v>
      </c>
      <c r="D304" s="98"/>
      <c r="E304" s="97"/>
      <c r="F304" s="97"/>
      <c r="G304" s="191"/>
      <c r="H304" s="191"/>
      <c r="I304" s="97"/>
      <c r="J304" s="196"/>
    </row>
    <row r="305" s="96" customFormat="true" ht="15.75" hidden="false" customHeight="true" outlineLevel="0" collapsed="false">
      <c r="A305" s="200"/>
      <c r="C305" s="181" t="s">
        <v>474</v>
      </c>
      <c r="D305" s="181"/>
      <c r="E305" s="181"/>
      <c r="F305" s="97"/>
      <c r="G305" s="190"/>
      <c r="H305" s="189"/>
      <c r="I305" s="97"/>
      <c r="J305" s="196"/>
    </row>
    <row r="306" s="96" customFormat="true" ht="15.75" hidden="false" customHeight="true" outlineLevel="0" collapsed="false">
      <c r="A306" s="107"/>
      <c r="C306" s="181" t="s">
        <v>478</v>
      </c>
      <c r="D306" s="181"/>
      <c r="E306" s="181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191"/>
      <c r="B307" s="191"/>
      <c r="C307" s="181" t="s">
        <v>479</v>
      </c>
      <c r="D307" s="203"/>
      <c r="E307" s="204"/>
      <c r="F307" s="191"/>
      <c r="G307" s="97"/>
      <c r="H307" s="97"/>
      <c r="I307" s="97"/>
      <c r="J307" s="196"/>
    </row>
    <row r="308" s="96" customFormat="true" ht="15.75" hidden="false" customHeight="true" outlineLevel="0" collapsed="false">
      <c r="A308" s="190"/>
      <c r="B308" s="190"/>
      <c r="C308" s="185" t="n">
        <f aca="false">$I$145</f>
        <v>1352.375</v>
      </c>
      <c r="D308" s="205"/>
      <c r="E308" s="206"/>
      <c r="F308" s="189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7" t="n">
        <f aca="false">$J$145</f>
        <v>4</v>
      </c>
      <c r="D309" s="98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5" t="n">
        <f aca="false">$I$146</f>
        <v>2258</v>
      </c>
      <c r="D310" s="98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C311" s="187" t="n">
        <f aca="false">$J$146</f>
        <v>4</v>
      </c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C312" s="184"/>
      <c r="D312" s="98"/>
      <c r="E312" s="97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200"/>
      <c r="B313" s="49"/>
      <c r="C313" s="49"/>
      <c r="D313" s="207"/>
      <c r="E313" s="200"/>
      <c r="F313" s="200"/>
      <c r="G313" s="200"/>
      <c r="H313" s="200"/>
      <c r="I313" s="200"/>
      <c r="J313" s="92" t="str">
        <f aca="false">LEFT($J$111,10)&amp;"-03"</f>
        <v>FG-240-2PR-03</v>
      </c>
    </row>
    <row r="314" customFormat="false" ht="15" hidden="false" customHeight="true" outlineLevel="0" collapsed="false">
      <c r="A314" s="97"/>
      <c r="B314" s="96"/>
      <c r="C314" s="96"/>
      <c r="D314" s="98"/>
      <c r="E314" s="97"/>
      <c r="F314" s="97"/>
      <c r="G314" s="97"/>
      <c r="H314" s="97"/>
      <c r="I314" s="208"/>
      <c r="J314" s="208"/>
    </row>
    <row r="315" customFormat="false" ht="30" hidden="false" customHeight="true" outlineLevel="0" collapsed="false">
      <c r="J315" s="77" t="str">
        <f aca="false">$J$2</f>
        <v>HOMELIFE</v>
      </c>
      <c r="K315" s="78"/>
      <c r="L315" s="78"/>
      <c r="M315" s="79"/>
      <c r="N315" s="79"/>
    </row>
    <row r="316" customFormat="false" ht="24.75" hidden="false" customHeight="true" outlineLevel="0" collapsed="false">
      <c r="C316" s="75"/>
      <c r="D316" s="76"/>
      <c r="E316" s="76"/>
      <c r="F316" s="76"/>
      <c r="G316" s="76"/>
      <c r="H316" s="76"/>
      <c r="I316" s="76"/>
      <c r="J316" s="80" t="str">
        <f aca="false">$J$3</f>
        <v>Fabricators Guide</v>
      </c>
      <c r="K316" s="83"/>
      <c r="L316" s="83"/>
      <c r="M316" s="79"/>
      <c r="N316" s="79"/>
    </row>
    <row r="317" customFormat="false" ht="24.75" hidden="false" customHeight="true" outlineLevel="0" collapsed="false">
      <c r="C317" s="82"/>
      <c r="D317" s="82"/>
      <c r="E317" s="82"/>
      <c r="F317" s="82"/>
      <c r="G317" s="82"/>
      <c r="H317" s="82"/>
      <c r="I317" s="82"/>
      <c r="J317" s="80" t="str">
        <f aca="false">$J$4</f>
        <v>240 Series Bi Fold Door </v>
      </c>
      <c r="K317" s="83"/>
      <c r="L317" s="83"/>
      <c r="M317" s="79"/>
      <c r="N317" s="79"/>
    </row>
    <row r="318" customFormat="false" ht="15" hidden="false" customHeight="true" outlineLevel="0" collapsed="false">
      <c r="B318" s="81"/>
      <c r="C318" s="82"/>
      <c r="D318" s="82"/>
      <c r="E318" s="82"/>
      <c r="F318" s="82"/>
      <c r="G318" s="82"/>
      <c r="H318" s="82"/>
      <c r="I318" s="82"/>
      <c r="M318" s="87"/>
      <c r="N318" s="87"/>
    </row>
    <row r="319" customFormat="false" ht="24.75" hidden="false" customHeight="true" outlineLevel="0" collapsed="false">
      <c r="A319" s="88" t="s">
        <v>480</v>
      </c>
      <c r="B319" s="88"/>
      <c r="C319" s="88"/>
      <c r="D319" s="88"/>
      <c r="E319" s="88"/>
      <c r="F319" s="88"/>
      <c r="G319" s="88"/>
      <c r="H319" s="88"/>
      <c r="I319" s="88"/>
      <c r="J319" s="88"/>
    </row>
    <row r="320" s="96" customFormat="true" ht="15" hidden="false" customHeight="true" outlineLevel="0" collapsed="false">
      <c r="A320" s="188"/>
      <c r="B320" s="81"/>
      <c r="D320" s="98"/>
      <c r="E320" s="83"/>
      <c r="F320" s="183"/>
      <c r="G320" s="183"/>
      <c r="H320" s="183"/>
      <c r="I320" s="183"/>
      <c r="J320" s="99"/>
    </row>
    <row r="321" s="96" customFormat="true" ht="15" hidden="false" customHeight="true" outlineLevel="0" collapsed="false">
      <c r="A321" s="97"/>
      <c r="D321" s="98"/>
      <c r="E321" s="83"/>
      <c r="F321" s="98"/>
      <c r="G321" s="83"/>
      <c r="H321" s="83"/>
      <c r="I321" s="83"/>
      <c r="J321" s="97"/>
    </row>
    <row r="322" s="96" customFormat="true" ht="15" hidden="false" customHeight="true" outlineLevel="0" collapsed="false">
      <c r="A322" s="97"/>
      <c r="C322" s="98"/>
      <c r="D322" s="98"/>
      <c r="E322" s="83"/>
      <c r="F322" s="98"/>
      <c r="G322" s="97"/>
      <c r="H322" s="83"/>
      <c r="I322" s="97"/>
      <c r="J322" s="97"/>
    </row>
    <row r="323" s="96" customFormat="true" ht="15" hidden="false" customHeight="true" outlineLevel="0" collapsed="false">
      <c r="A323" s="97"/>
      <c r="C323" s="98"/>
      <c r="D323" s="98"/>
      <c r="E323" s="97"/>
      <c r="F323" s="98"/>
      <c r="G323" s="97"/>
      <c r="H323" s="83"/>
      <c r="I323" s="97"/>
      <c r="J323" s="97"/>
    </row>
    <row r="324" s="96" customFormat="true" ht="15" hidden="false" customHeight="true" outlineLevel="0" collapsed="false">
      <c r="A324" s="97"/>
      <c r="C324" s="98"/>
      <c r="D324" s="98"/>
      <c r="E324" s="83"/>
      <c r="F324" s="98"/>
      <c r="G324" s="97"/>
      <c r="H324" s="83"/>
      <c r="I324" s="97"/>
      <c r="J324" s="97"/>
    </row>
    <row r="325" s="96" customFormat="true" ht="15" hidden="false" customHeight="true" outlineLevel="0" collapsed="false">
      <c r="A325" s="97"/>
      <c r="C325" s="98"/>
      <c r="D325" s="98"/>
      <c r="E325" s="83"/>
      <c r="F325" s="98"/>
      <c r="G325" s="97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83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182"/>
      <c r="D328" s="98"/>
      <c r="E328" s="97"/>
      <c r="F328" s="209"/>
      <c r="G328" s="209"/>
      <c r="H328" s="110"/>
      <c r="I328" s="182"/>
      <c r="J328" s="97"/>
    </row>
    <row r="329" s="96" customFormat="true" ht="15" hidden="false" customHeight="true" outlineLevel="0" collapsed="false">
      <c r="A329" s="81"/>
      <c r="B329" s="81"/>
      <c r="C329" s="98"/>
      <c r="D329" s="98"/>
      <c r="E329" s="97"/>
      <c r="F329" s="210"/>
      <c r="G329" s="210"/>
      <c r="H329" s="110"/>
      <c r="I329" s="98"/>
      <c r="J329" s="97"/>
    </row>
    <row r="330" s="96" customFormat="true" ht="15" hidden="false" customHeight="true" outlineLevel="0" collapsed="false">
      <c r="A330" s="99"/>
      <c r="B330" s="99"/>
      <c r="C330" s="98"/>
      <c r="D330" s="98"/>
      <c r="E330" s="97"/>
      <c r="F330" s="110"/>
      <c r="G330" s="110"/>
      <c r="H330" s="110"/>
      <c r="I330" s="98"/>
      <c r="J330" s="97"/>
    </row>
    <row r="331" s="96" customFormat="true" ht="15" hidden="false" customHeight="true" outlineLevel="0" collapsed="false">
      <c r="A331" s="211" t="str">
        <f aca="false">A18</f>
        <v>240-2 Panel (R)</v>
      </c>
      <c r="B331" s="99"/>
      <c r="C331" s="98"/>
      <c r="D331" s="98"/>
      <c r="E331" s="97"/>
      <c r="F331" s="110"/>
      <c r="G331" s="110"/>
      <c r="H331" s="110"/>
      <c r="I331" s="97"/>
      <c r="J331" s="97"/>
    </row>
    <row r="332" s="96" customFormat="true" ht="15" hidden="false" customHeight="true" outlineLevel="0" collapsed="false">
      <c r="A332" s="90" t="str">
        <f aca="false">A19</f>
        <v>Outside Bi Fold Door </v>
      </c>
      <c r="B332" s="188"/>
      <c r="C332" s="182"/>
      <c r="D332" s="98"/>
      <c r="E332" s="97"/>
      <c r="F332" s="210"/>
      <c r="G332" s="210"/>
      <c r="H332" s="110"/>
      <c r="I332" s="97"/>
      <c r="J332" s="97"/>
    </row>
    <row r="333" s="96" customFormat="true" ht="15.75" hidden="false" customHeight="true" outlineLevel="0" collapsed="false">
      <c r="A333" s="97"/>
      <c r="B333" s="97"/>
      <c r="C333" s="98"/>
      <c r="D333" s="98"/>
      <c r="E333" s="97"/>
      <c r="F333" s="78"/>
      <c r="H333" s="97"/>
      <c r="I333" s="97"/>
      <c r="J333" s="97"/>
    </row>
    <row r="334" s="96" customFormat="true" ht="15.75" hidden="false" customHeight="true" outlineLevel="0" collapsed="false">
      <c r="A334" s="81"/>
      <c r="C334" s="212"/>
      <c r="D334" s="98"/>
      <c r="E334" s="97"/>
      <c r="F334" s="97"/>
      <c r="G334" s="97"/>
      <c r="H334" s="97"/>
      <c r="I334" s="97"/>
      <c r="J334" s="97"/>
    </row>
    <row r="335" s="96" customFormat="true" ht="15.75" hidden="false" customHeight="true" outlineLevel="0" collapsed="false">
      <c r="A335" s="191"/>
      <c r="C335" s="191"/>
      <c r="D335" s="192"/>
      <c r="E335" s="191"/>
      <c r="F335" s="191"/>
      <c r="G335" s="191"/>
      <c r="H335" s="191"/>
      <c r="I335" s="191"/>
      <c r="J335" s="199"/>
    </row>
    <row r="336" s="96" customFormat="true" ht="15.75" hidden="false" customHeight="true" outlineLevel="0" collapsed="false">
      <c r="A336" s="190"/>
      <c r="C336" s="98"/>
      <c r="D336" s="194"/>
      <c r="E336" s="190"/>
      <c r="F336" s="189"/>
      <c r="G336" s="190"/>
      <c r="H336" s="189"/>
      <c r="I336" s="189"/>
      <c r="J336" s="190"/>
    </row>
    <row r="337" s="96" customFormat="true" ht="15.75" hidden="false" customHeight="true" outlineLevel="0" collapsed="false">
      <c r="A337" s="97"/>
      <c r="C337" s="98"/>
      <c r="D337" s="98"/>
      <c r="E337" s="97"/>
      <c r="F337" s="98"/>
      <c r="G337" s="97"/>
      <c r="H337" s="97"/>
      <c r="I337" s="196"/>
      <c r="J337" s="196"/>
    </row>
    <row r="338" s="96" customFormat="true" ht="15.75" hidden="false" customHeight="true" outlineLevel="0" collapsed="false">
      <c r="A338" s="97"/>
      <c r="C338" s="98"/>
      <c r="D338" s="98"/>
      <c r="E338" s="97"/>
      <c r="F338" s="98"/>
      <c r="G338" s="97"/>
      <c r="H338" s="97"/>
      <c r="I338" s="196"/>
      <c r="J338" s="196"/>
    </row>
    <row r="339" s="96" customFormat="true" ht="15.75" hidden="false" customHeight="true" outlineLevel="0" collapsed="false">
      <c r="A339" s="97"/>
      <c r="C339" s="191"/>
      <c r="D339" s="98"/>
      <c r="E339" s="97"/>
      <c r="F339" s="98"/>
      <c r="G339" s="97"/>
      <c r="H339" s="201"/>
      <c r="I339" s="201"/>
      <c r="J339" s="201"/>
    </row>
    <row r="340" s="96" customFormat="true" ht="15.75" hidden="false" customHeight="true" outlineLevel="0" collapsed="false">
      <c r="A340" s="97"/>
      <c r="C340" s="182"/>
      <c r="D340" s="98"/>
      <c r="E340" s="97"/>
      <c r="F340" s="98"/>
      <c r="G340" s="97"/>
      <c r="H340" s="98"/>
      <c r="I340" s="98"/>
      <c r="J340" s="98"/>
    </row>
    <row r="341" s="96" customFormat="true" ht="15.75" hidden="false" customHeight="true" outlineLevel="0" collapsed="false">
      <c r="A341" s="97"/>
      <c r="C341" s="98"/>
      <c r="D341" s="98"/>
      <c r="E341" s="97"/>
      <c r="F341" s="98"/>
      <c r="G341" s="97"/>
      <c r="H341" s="98"/>
      <c r="I341" s="98"/>
      <c r="J341" s="98"/>
    </row>
    <row r="342" s="96" customFormat="true" ht="15.75" hidden="false" customHeight="true" outlineLevel="0" collapsed="false">
      <c r="A342" s="97"/>
      <c r="C342" s="98"/>
      <c r="D342" s="98"/>
      <c r="E342" s="97"/>
      <c r="F342" s="98"/>
      <c r="G342" s="97"/>
      <c r="H342" s="97"/>
      <c r="I342" s="97"/>
      <c r="J342" s="196"/>
    </row>
    <row r="343" s="96" customFormat="true" ht="15.75" hidden="false" customHeight="true" outlineLevel="0" collapsed="false">
      <c r="A343" s="97"/>
      <c r="D343" s="98"/>
      <c r="E343" s="97"/>
      <c r="F343" s="98"/>
      <c r="G343" s="97"/>
      <c r="H343" s="97"/>
      <c r="I343" s="196"/>
      <c r="J343" s="196"/>
    </row>
    <row r="344" s="96" customFormat="true" ht="15.75" hidden="false" customHeight="true" outlineLevel="0" collapsed="false">
      <c r="A344" s="97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C346" s="191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C347" s="98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98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97"/>
      <c r="J349" s="196"/>
    </row>
    <row r="350" s="96" customFormat="true" ht="15.75" hidden="false" customHeight="true" outlineLevel="0" collapsed="false">
      <c r="A350" s="97"/>
      <c r="D350" s="98"/>
      <c r="E350" s="97"/>
      <c r="F350" s="97"/>
      <c r="G350" s="97"/>
      <c r="H350" s="97"/>
      <c r="I350" s="196"/>
      <c r="J350" s="196"/>
    </row>
    <row r="351" s="96" customFormat="true" ht="15.75" hidden="false" customHeight="true" outlineLevel="0" collapsed="false">
      <c r="A351" s="97"/>
      <c r="D351" s="98"/>
      <c r="E351" s="97"/>
      <c r="F351" s="97"/>
      <c r="G351" s="97"/>
      <c r="H351" s="195"/>
      <c r="I351" s="196"/>
      <c r="J351" s="196"/>
    </row>
    <row r="352" s="96" customFormat="true" ht="1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202" customFormat="true" ht="15.75" hidden="false" customHeight="true" outlineLevel="0" collapsed="false">
      <c r="A353" s="97"/>
      <c r="B353" s="96"/>
      <c r="C353" s="96"/>
      <c r="D353" s="98"/>
      <c r="E353" s="97"/>
      <c r="F353" s="97"/>
      <c r="G353" s="97"/>
      <c r="H353" s="97"/>
      <c r="I353" s="97"/>
      <c r="J353" s="97"/>
    </row>
    <row r="354" s="96" customFormat="true" ht="15.75" hidden="false" customHeight="true" outlineLevel="0" collapsed="false">
      <c r="A354" s="191"/>
      <c r="B354" s="191"/>
      <c r="C354" s="191"/>
      <c r="D354" s="192"/>
      <c r="E354" s="191"/>
      <c r="F354" s="191"/>
      <c r="G354" s="191"/>
      <c r="H354" s="191"/>
      <c r="I354" s="191"/>
      <c r="J354" s="199"/>
    </row>
    <row r="355" s="96" customFormat="true" ht="15.75" hidden="false" customHeight="true" outlineLevel="0" collapsed="false">
      <c r="A355" s="190"/>
      <c r="B355" s="190"/>
      <c r="C355" s="191"/>
      <c r="D355" s="194"/>
      <c r="E355" s="190"/>
      <c r="F355" s="189"/>
      <c r="G355" s="190"/>
      <c r="H355" s="189"/>
      <c r="I355" s="189"/>
      <c r="J355" s="190"/>
    </row>
    <row r="356" s="96" customFormat="true" ht="15.75" hidden="false" customHeight="true" outlineLevel="0" collapsed="false">
      <c r="A356" s="200"/>
      <c r="C356" s="182"/>
      <c r="D356" s="98"/>
      <c r="E356" s="97"/>
      <c r="F356" s="97"/>
      <c r="G356" s="97"/>
      <c r="H356" s="182"/>
      <c r="I356" s="196"/>
      <c r="J356" s="196"/>
    </row>
    <row r="357" s="96" customFormat="true" ht="15.75" hidden="false" customHeight="true" outlineLevel="0" collapsed="false">
      <c r="A357" s="200"/>
      <c r="C357" s="98"/>
      <c r="D357" s="98"/>
      <c r="E357" s="97"/>
      <c r="F357" s="97"/>
      <c r="G357" s="97"/>
      <c r="H357" s="98"/>
      <c r="I357" s="98"/>
      <c r="J357" s="98"/>
    </row>
    <row r="358" s="96" customFormat="true" ht="15.75" hidden="false" customHeight="true" outlineLevel="0" collapsed="false">
      <c r="A358" s="200"/>
      <c r="C358" s="98"/>
      <c r="D358" s="98"/>
      <c r="E358" s="97"/>
      <c r="F358" s="97"/>
      <c r="G358" s="97"/>
      <c r="H358" s="98"/>
      <c r="I358" s="98"/>
      <c r="J358" s="98"/>
    </row>
    <row r="359" s="96" customFormat="true" ht="15.75" hidden="false" customHeight="true" outlineLevel="0" collapsed="false">
      <c r="A359" s="200"/>
      <c r="D359" s="98"/>
      <c r="E359" s="97"/>
      <c r="F359" s="97"/>
      <c r="G359" s="97"/>
      <c r="H359" s="97"/>
      <c r="I359" s="196"/>
      <c r="J359" s="196"/>
    </row>
    <row r="360" s="96" customFormat="true" ht="15.75" hidden="false" customHeight="true" outlineLevel="0" collapsed="false">
      <c r="A360" s="200"/>
      <c r="D360" s="98"/>
      <c r="E360" s="97"/>
      <c r="F360" s="97"/>
      <c r="G360" s="97"/>
      <c r="H360" s="97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C362" s="98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G372" s="97"/>
      <c r="H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182"/>
      <c r="I374" s="196"/>
      <c r="J374" s="196"/>
    </row>
    <row r="375" s="96" customFormat="true" ht="15.75" hidden="false" customHeight="true" outlineLevel="0" collapsed="false">
      <c r="A375" s="200"/>
      <c r="C375" s="188"/>
      <c r="D375" s="98"/>
      <c r="E375" s="97"/>
      <c r="F375" s="97"/>
      <c r="G375" s="97"/>
      <c r="H375" s="98"/>
      <c r="I375" s="98"/>
      <c r="J375" s="98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98"/>
      <c r="I376" s="98"/>
      <c r="J376" s="98"/>
    </row>
    <row r="377" s="96" customFormat="true" ht="15.75" hidden="false" customHeight="true" outlineLevel="0" collapsed="false">
      <c r="A377" s="200"/>
      <c r="C377" s="98"/>
      <c r="D377" s="98"/>
      <c r="E377" s="97"/>
      <c r="F377" s="97"/>
      <c r="G377" s="97"/>
      <c r="H377" s="182"/>
      <c r="I377" s="196"/>
      <c r="J377" s="196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98"/>
      <c r="J378" s="98"/>
    </row>
    <row r="379" s="96" customFormat="true" ht="15.75" hidden="false" customHeight="true" outlineLevel="0" collapsed="false">
      <c r="A379" s="200"/>
      <c r="D379" s="98"/>
      <c r="E379" s="97"/>
      <c r="F379" s="97"/>
      <c r="G379" s="97"/>
      <c r="H379" s="98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7"/>
      <c r="I380" s="196"/>
      <c r="J380" s="196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7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97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213"/>
      <c r="I387" s="213"/>
      <c r="J387" s="213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97"/>
      <c r="J388" s="97"/>
    </row>
    <row r="389" s="96" customFormat="true" ht="15.75" hidden="false" customHeight="true" outlineLevel="0" collapsed="false">
      <c r="A389" s="200"/>
      <c r="C389" s="188"/>
      <c r="D389" s="98"/>
      <c r="E389" s="97"/>
      <c r="F389" s="97"/>
      <c r="G389" s="97"/>
      <c r="H389" s="98"/>
      <c r="I389" s="98"/>
      <c r="J389" s="98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196"/>
      <c r="J390" s="196"/>
    </row>
    <row r="391" s="96" customFormat="true" ht="15.75" hidden="false" customHeight="true" outlineLevel="0" collapsed="false">
      <c r="A391" s="200"/>
      <c r="C391" s="98"/>
      <c r="D391" s="98"/>
      <c r="E391" s="97"/>
      <c r="F391" s="97"/>
      <c r="G391" s="97"/>
      <c r="H391" s="97"/>
      <c r="I391" s="97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196"/>
      <c r="J392" s="196"/>
    </row>
    <row r="393" s="96" customFormat="true" ht="15.75" hidden="false" customHeight="true" outlineLevel="0" collapsed="false">
      <c r="A393" s="200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107"/>
      <c r="D395" s="98"/>
      <c r="E395" s="97"/>
      <c r="F395" s="97"/>
      <c r="G395" s="97"/>
      <c r="H395" s="97"/>
      <c r="I395" s="97"/>
      <c r="J395" s="97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202" customFormat="true" ht="15.75" hidden="false" customHeight="true" outlineLevel="0" collapsed="false">
      <c r="A403" s="107"/>
      <c r="B403" s="96"/>
      <c r="C403" s="96"/>
      <c r="D403" s="98"/>
      <c r="E403" s="97"/>
      <c r="F403" s="97"/>
      <c r="G403" s="97"/>
      <c r="H403" s="97"/>
      <c r="I403" s="97"/>
      <c r="J403" s="97"/>
    </row>
    <row r="404" s="96" customFormat="true" ht="15.75" hidden="false" customHeight="true" outlineLevel="0" collapsed="false">
      <c r="A404" s="191"/>
      <c r="B404" s="191"/>
      <c r="C404" s="191"/>
      <c r="D404" s="192"/>
      <c r="E404" s="191"/>
      <c r="F404" s="191"/>
      <c r="G404" s="191"/>
      <c r="H404" s="191"/>
      <c r="I404" s="191"/>
      <c r="J404" s="199"/>
    </row>
    <row r="405" s="96" customFormat="true" ht="15.75" hidden="false" customHeight="true" outlineLevel="0" collapsed="false">
      <c r="A405" s="191"/>
      <c r="B405" s="191"/>
      <c r="C405" s="191"/>
      <c r="D405" s="192"/>
      <c r="E405" s="191"/>
      <c r="F405" s="191"/>
      <c r="G405" s="191"/>
      <c r="H405" s="191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97"/>
      <c r="D417" s="98"/>
      <c r="E417" s="97"/>
      <c r="F417" s="97"/>
      <c r="G417" s="97"/>
      <c r="H417" s="97"/>
      <c r="I417" s="196"/>
      <c r="J417" s="196"/>
      <c r="K417" s="214"/>
    </row>
    <row r="418" s="96" customFormat="true" ht="15.75" hidden="false" customHeight="true" outlineLevel="0" collapsed="false">
      <c r="A418" s="97"/>
      <c r="D418" s="98"/>
      <c r="E418" s="97"/>
      <c r="F418" s="97"/>
      <c r="G418" s="97"/>
      <c r="H418" s="97"/>
      <c r="I418" s="196"/>
    </row>
    <row r="419" customFormat="false" ht="18" hidden="false" customHeight="true" outlineLevel="0" collapsed="false">
      <c r="A419" s="97"/>
      <c r="B419" s="96"/>
      <c r="C419" s="96"/>
      <c r="D419" s="98"/>
      <c r="E419" s="97"/>
      <c r="F419" s="97"/>
      <c r="G419" s="97"/>
      <c r="H419" s="97"/>
      <c r="I419" s="97"/>
      <c r="J419" s="92" t="str">
        <f aca="false">LEFT($J$111,10)&amp;"-04"</f>
        <v>FG-240-2PR-04</v>
      </c>
      <c r="K419" s="78"/>
      <c r="L419" s="78"/>
      <c r="M419" s="79"/>
      <c r="N419" s="79"/>
    </row>
    <row r="420" customFormat="false" ht="12.75" hidden="false" customHeight="true" outlineLevel="0" collapsed="false">
      <c r="A420" s="97"/>
      <c r="B420" s="96"/>
      <c r="C420" s="96"/>
      <c r="D420" s="98"/>
      <c r="E420" s="97"/>
      <c r="F420" s="97"/>
      <c r="G420" s="97"/>
      <c r="H420" s="97"/>
      <c r="I420" s="97"/>
      <c r="J420" s="215"/>
      <c r="K420" s="78"/>
      <c r="L420" s="78"/>
      <c r="M420" s="79"/>
      <c r="N420" s="79"/>
    </row>
    <row r="421" customFormat="false" ht="30" hidden="false" customHeight="true" outlineLevel="0" collapsed="false">
      <c r="C421" s="75"/>
      <c r="D421" s="76"/>
      <c r="E421" s="76"/>
      <c r="F421" s="76"/>
      <c r="G421" s="76"/>
      <c r="H421" s="76"/>
      <c r="I421" s="76"/>
      <c r="J421" s="77" t="str">
        <f aca="false">J2</f>
        <v>HOMELIFE</v>
      </c>
      <c r="K421" s="83"/>
      <c r="L421" s="83"/>
      <c r="M421" s="79"/>
      <c r="N421" s="79"/>
    </row>
    <row r="422" customFormat="false" ht="24.75" hidden="false" customHeight="true" outlineLevel="0" collapsed="false">
      <c r="C422" s="82"/>
      <c r="D422" s="82"/>
      <c r="E422" s="82"/>
      <c r="F422" s="82"/>
      <c r="G422" s="82"/>
      <c r="H422" s="82"/>
      <c r="I422" s="82"/>
      <c r="J422" s="80" t="str">
        <f aca="false">J3</f>
        <v>Fabricators Guide</v>
      </c>
      <c r="K422" s="83"/>
      <c r="L422" s="83"/>
      <c r="M422" s="79"/>
      <c r="N422" s="79"/>
    </row>
    <row r="423" customFormat="false" ht="24.75" hidden="false" customHeight="true" outlineLevel="0" collapsed="false">
      <c r="B423" s="81"/>
      <c r="C423" s="82"/>
      <c r="D423" s="82"/>
      <c r="E423" s="82"/>
      <c r="F423" s="82"/>
      <c r="G423" s="82"/>
      <c r="H423" s="82"/>
      <c r="I423" s="82"/>
      <c r="J423" s="80" t="str">
        <f aca="false">J4</f>
        <v>240 Series Bi Fold Door </v>
      </c>
      <c r="M423" s="87"/>
      <c r="N423" s="87"/>
    </row>
    <row r="424" s="96" customFormat="true" ht="15" hidden="false" customHeight="true" outlineLevel="0" collapsed="false">
      <c r="A424" s="84"/>
      <c r="B424" s="84"/>
      <c r="C424" s="84"/>
      <c r="D424" s="85"/>
      <c r="E424" s="84"/>
      <c r="F424" s="84"/>
      <c r="G424" s="84"/>
      <c r="H424" s="84"/>
      <c r="I424" s="84"/>
      <c r="J424" s="86"/>
      <c r="K424" s="87"/>
      <c r="L424" s="87"/>
      <c r="M424" s="87"/>
      <c r="N424" s="87"/>
    </row>
    <row r="425" s="96" customFormat="true" ht="24.75" hidden="false" customHeight="true" outlineLevel="0" collapsed="false">
      <c r="A425" s="88" t="s">
        <v>481</v>
      </c>
      <c r="B425" s="88"/>
      <c r="C425" s="88"/>
      <c r="D425" s="88"/>
      <c r="E425" s="88"/>
      <c r="F425" s="88"/>
      <c r="G425" s="88"/>
      <c r="H425" s="88"/>
      <c r="I425" s="88"/>
      <c r="J425" s="88"/>
    </row>
    <row r="426" s="96" customFormat="true" ht="15" hidden="false" customHeight="true" outlineLevel="0" collapsed="false">
      <c r="A426" s="188"/>
      <c r="B426" s="81"/>
      <c r="D426" s="98"/>
      <c r="E426" s="83"/>
      <c r="F426" s="81"/>
      <c r="H426" s="191"/>
      <c r="I426" s="191"/>
      <c r="J426" s="199"/>
    </row>
    <row r="427" s="96" customFormat="true" ht="15" hidden="false" customHeight="true" outlineLevel="0" collapsed="false">
      <c r="A427" s="97"/>
      <c r="D427" s="98"/>
      <c r="E427" s="83"/>
      <c r="F427" s="98"/>
      <c r="H427" s="191"/>
      <c r="I427" s="191"/>
      <c r="J427" s="199"/>
    </row>
    <row r="428" s="96" customFormat="true" ht="15" hidden="false" customHeight="true" outlineLevel="0" collapsed="false">
      <c r="A428" s="97"/>
      <c r="D428" s="98"/>
      <c r="E428" s="83"/>
      <c r="F428" s="98"/>
      <c r="H428" s="191"/>
      <c r="I428" s="191"/>
      <c r="J428" s="199"/>
    </row>
    <row r="429" s="96" customFormat="true" ht="15" hidden="false" customHeight="true" outlineLevel="0" collapsed="false">
      <c r="A429" s="97"/>
      <c r="C429" s="98"/>
      <c r="D429" s="98"/>
      <c r="E429" s="97"/>
      <c r="F429" s="98"/>
      <c r="H429" s="191"/>
      <c r="I429" s="191"/>
      <c r="J429" s="199"/>
    </row>
    <row r="430" s="96" customFormat="true" ht="15" hidden="false" customHeight="true" outlineLevel="0" collapsed="false">
      <c r="A430" s="97"/>
      <c r="C430" s="98"/>
      <c r="D430" s="98"/>
      <c r="E430" s="83"/>
      <c r="F430" s="98"/>
      <c r="H430" s="191"/>
      <c r="I430" s="191"/>
      <c r="J430" s="199"/>
    </row>
    <row r="431" s="96" customFormat="true" ht="15" hidden="false" customHeight="true" outlineLevel="0" collapsed="false">
      <c r="A431" s="97"/>
      <c r="C431" s="98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C432" s="182"/>
      <c r="D432" s="98"/>
      <c r="E432" s="97"/>
      <c r="F432" s="216"/>
      <c r="H432" s="191"/>
      <c r="I432" s="191"/>
      <c r="J432" s="199"/>
    </row>
    <row r="433" s="96" customFormat="true" ht="15" hidden="false" customHeight="true" outlineLevel="0" collapsed="false">
      <c r="A433" s="81"/>
      <c r="B433" s="81"/>
      <c r="C433" s="98"/>
      <c r="D433" s="98"/>
      <c r="E433" s="97"/>
      <c r="F433" s="186"/>
      <c r="H433" s="191"/>
      <c r="I433" s="191"/>
      <c r="J433" s="199"/>
    </row>
    <row r="434" s="96" customFormat="true" ht="15" hidden="false" customHeight="true" outlineLevel="0" collapsed="false">
      <c r="A434" s="99"/>
      <c r="B434" s="99"/>
      <c r="C434" s="98"/>
      <c r="D434" s="98"/>
      <c r="E434" s="97"/>
      <c r="F434" s="110"/>
      <c r="H434" s="191"/>
      <c r="I434" s="191"/>
      <c r="J434" s="199"/>
    </row>
    <row r="435" s="96" customFormat="true" ht="15" hidden="false" customHeight="true" outlineLevel="0" collapsed="false">
      <c r="B435" s="99"/>
      <c r="C435" s="98"/>
      <c r="D435" s="98"/>
      <c r="E435" s="97"/>
      <c r="F435" s="110"/>
      <c r="H435" s="191"/>
      <c r="I435" s="191"/>
      <c r="J435" s="199"/>
    </row>
    <row r="436" s="96" customFormat="true" ht="15" hidden="false" customHeight="true" outlineLevel="0" collapsed="false">
      <c r="A436" s="211" t="str">
        <f aca="false">A18</f>
        <v>240-2 Panel (R)</v>
      </c>
      <c r="C436" s="182"/>
      <c r="D436" s="98"/>
      <c r="E436" s="97"/>
      <c r="F436" s="186"/>
      <c r="H436" s="191"/>
      <c r="I436" s="191"/>
      <c r="J436" s="199"/>
    </row>
    <row r="437" s="96" customFormat="true" ht="15.75" hidden="false" customHeight="true" outlineLevel="0" collapsed="false">
      <c r="A437" s="90" t="str">
        <f aca="false">A19</f>
        <v>Outside Bi Fold Door </v>
      </c>
      <c r="C437" s="98"/>
      <c r="D437" s="98"/>
      <c r="E437" s="97"/>
      <c r="F437" s="78"/>
      <c r="H437" s="191"/>
      <c r="I437" s="191"/>
      <c r="J437" s="199"/>
    </row>
    <row r="438" s="96" customFormat="true" ht="15.75" hidden="false" customHeight="true" outlineLevel="0" collapsed="false">
      <c r="A438" s="81"/>
      <c r="C438" s="212"/>
      <c r="D438" s="98"/>
      <c r="E438" s="97"/>
      <c r="F438" s="97"/>
      <c r="H438" s="191"/>
      <c r="I438" s="191"/>
      <c r="J438" s="199"/>
    </row>
    <row r="439" s="96" customFormat="true" ht="15.75" hidden="false" customHeight="true" outlineLevel="0" collapsed="false">
      <c r="A439" s="191"/>
      <c r="C439" s="191"/>
      <c r="D439" s="192"/>
      <c r="E439" s="191"/>
      <c r="F439" s="191"/>
      <c r="H439" s="191"/>
      <c r="I439" s="191"/>
      <c r="J439" s="199"/>
    </row>
    <row r="440" s="96" customFormat="true" ht="15.75" hidden="false" customHeight="true" outlineLevel="0" collapsed="false">
      <c r="A440" s="190"/>
      <c r="C440" s="98"/>
      <c r="D440" s="194"/>
      <c r="E440" s="190"/>
      <c r="F440" s="189"/>
      <c r="H440" s="191"/>
      <c r="I440" s="191"/>
      <c r="J440" s="199"/>
    </row>
    <row r="446" s="96" customFormat="true" ht="15.75" hidden="false" customHeight="true" outlineLevel="0" collapsed="false">
      <c r="A446" s="97"/>
      <c r="D446" s="98"/>
      <c r="E446" s="97"/>
      <c r="F446" s="98"/>
      <c r="G446" s="97"/>
      <c r="H446" s="97"/>
      <c r="I446" s="196"/>
      <c r="J446" s="196"/>
    </row>
    <row r="447" s="96" customFormat="true" ht="15.75" hidden="false" customHeight="true" outlineLevel="0" collapsed="false">
      <c r="A447" s="97"/>
      <c r="D447" s="98"/>
      <c r="E447" s="97"/>
      <c r="F447" s="98"/>
      <c r="G447" s="97"/>
      <c r="H447" s="97"/>
      <c r="I447" s="196"/>
      <c r="J447" s="196"/>
    </row>
    <row r="448" s="96" customFormat="true" ht="15.75" hidden="false" customHeight="true" outlineLevel="0" collapsed="false">
      <c r="A448" s="97"/>
      <c r="D448" s="98"/>
      <c r="E448" s="97"/>
      <c r="F448" s="98"/>
      <c r="G448" s="97"/>
      <c r="H448" s="97"/>
      <c r="I448" s="196"/>
      <c r="J448" s="196"/>
    </row>
    <row r="449" s="96" customFormat="true" ht="15.75" hidden="false" customHeight="true" outlineLevel="0" collapsed="false">
      <c r="A449" s="97"/>
      <c r="C449" s="191"/>
      <c r="D449" s="98"/>
      <c r="E449" s="97"/>
      <c r="F449" s="98"/>
      <c r="G449" s="97"/>
      <c r="H449" s="97"/>
      <c r="I449" s="196"/>
      <c r="J449" s="196"/>
    </row>
    <row r="450" s="96" customFormat="true" ht="15.75" hidden="false" customHeight="true" outlineLevel="0" collapsed="false">
      <c r="A450" s="97"/>
      <c r="C450" s="98"/>
      <c r="D450" s="98"/>
      <c r="E450" s="97"/>
      <c r="F450" s="98"/>
      <c r="G450" s="97"/>
      <c r="H450" s="97"/>
      <c r="I450" s="196"/>
      <c r="J450" s="196"/>
    </row>
    <row r="451" s="96" customFormat="true" ht="15.75" hidden="false" customHeight="true" outlineLevel="0" collapsed="false">
      <c r="A451" s="97"/>
      <c r="C451" s="98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C452" s="98"/>
      <c r="D452" s="98"/>
      <c r="E452" s="97"/>
      <c r="F452" s="98"/>
      <c r="G452" s="97"/>
      <c r="H452" s="97"/>
      <c r="I452" s="97"/>
      <c r="J452" s="196"/>
    </row>
    <row r="453" s="96" customFormat="true" ht="15.75" hidden="false" customHeight="true" outlineLevel="0" collapsed="false">
      <c r="A453" s="97"/>
      <c r="D453" s="98"/>
      <c r="E453" s="97"/>
      <c r="F453" s="97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D454" s="98"/>
      <c r="E454" s="97"/>
      <c r="F454" s="97"/>
      <c r="G454" s="97"/>
      <c r="H454" s="195"/>
      <c r="I454" s="196"/>
      <c r="J454" s="196"/>
    </row>
    <row r="455" s="96" customFormat="true" ht="15" hidden="false" customHeight="true" outlineLevel="0" collapsed="false">
      <c r="A455" s="97"/>
      <c r="D455" s="98"/>
      <c r="E455" s="97"/>
      <c r="F455" s="97"/>
      <c r="G455" s="97"/>
      <c r="H455" s="97"/>
      <c r="I455" s="196"/>
      <c r="J455" s="196"/>
    </row>
    <row r="456" s="202" customFormat="true" ht="15.75" hidden="false" customHeight="true" outlineLevel="0" collapsed="false">
      <c r="A456" s="97"/>
      <c r="B456" s="96"/>
      <c r="C456" s="96"/>
      <c r="D456" s="98"/>
      <c r="E456" s="97"/>
      <c r="F456" s="97"/>
      <c r="G456" s="97"/>
      <c r="H456" s="97"/>
      <c r="I456" s="97"/>
      <c r="J456" s="97"/>
    </row>
    <row r="457" s="96" customFormat="true" ht="15.75" hidden="false" customHeight="true" outlineLevel="0" collapsed="false">
      <c r="A457" s="191"/>
      <c r="B457" s="191"/>
      <c r="C457" s="191"/>
      <c r="D457" s="192"/>
      <c r="E457" s="191"/>
      <c r="F457" s="191"/>
      <c r="G457" s="191"/>
      <c r="H457" s="191"/>
      <c r="I457" s="191"/>
      <c r="J457" s="199"/>
    </row>
    <row r="458" s="96" customFormat="true" ht="15.75" hidden="false" customHeight="true" outlineLevel="0" collapsed="false">
      <c r="A458" s="190"/>
      <c r="B458" s="190"/>
      <c r="C458" s="191"/>
      <c r="D458" s="194"/>
      <c r="E458" s="190"/>
      <c r="F458" s="189"/>
      <c r="G458" s="190"/>
      <c r="H458" s="189"/>
      <c r="I458" s="189"/>
      <c r="J458" s="190"/>
    </row>
    <row r="459" s="96" customFormat="true" ht="15.75" hidden="false" customHeight="true" outlineLevel="0" collapsed="false">
      <c r="A459" s="200"/>
      <c r="C459" s="182"/>
      <c r="D459" s="98"/>
      <c r="E459" s="97"/>
      <c r="F459" s="97"/>
      <c r="G459" s="97"/>
      <c r="H459" s="182"/>
      <c r="I459" s="196"/>
      <c r="J459" s="196"/>
    </row>
    <row r="460" s="96" customFormat="true" ht="15.75" hidden="false" customHeight="true" outlineLevel="0" collapsed="false">
      <c r="A460" s="200"/>
      <c r="C460" s="98"/>
      <c r="D460" s="98"/>
      <c r="E460" s="97"/>
      <c r="F460" s="97"/>
      <c r="G460" s="97"/>
      <c r="J460" s="97"/>
    </row>
    <row r="461" s="96" customFormat="true" ht="15.75" hidden="false" customHeight="true" outlineLevel="0" collapsed="false">
      <c r="A461" s="200"/>
      <c r="C461" s="98"/>
      <c r="D461" s="98"/>
      <c r="E461" s="97"/>
      <c r="F461" s="97"/>
      <c r="G461" s="97"/>
      <c r="J461" s="97"/>
    </row>
    <row r="462" s="96" customFormat="true" ht="15.75" hidden="false" customHeight="true" outlineLevel="0" collapsed="false">
      <c r="A462" s="200"/>
      <c r="D462" s="98"/>
      <c r="E462" s="97"/>
      <c r="F462" s="97"/>
      <c r="G462" s="97"/>
      <c r="H462" s="97"/>
      <c r="I462" s="196"/>
      <c r="J462" s="196"/>
    </row>
    <row r="463" s="96" customFormat="true" ht="15.75" hidden="false" customHeight="true" outlineLevel="0" collapsed="false">
      <c r="A463" s="200"/>
      <c r="D463" s="98"/>
      <c r="E463" s="97"/>
      <c r="F463" s="97"/>
      <c r="G463" s="97"/>
      <c r="H463" s="97"/>
      <c r="I463" s="196"/>
      <c r="J463" s="196"/>
    </row>
    <row r="464" s="96" customFormat="true" ht="15.75" hidden="false" customHeight="true" outlineLevel="0" collapsed="false">
      <c r="A464" s="200"/>
      <c r="D464" s="98"/>
      <c r="E464" s="97"/>
      <c r="F464" s="97"/>
      <c r="G464" s="97"/>
      <c r="H464" s="97"/>
      <c r="I464" s="196"/>
      <c r="J464" s="196"/>
    </row>
    <row r="465" s="96" customFormat="true" ht="15.75" hidden="false" customHeight="true" outlineLevel="0" collapsed="false">
      <c r="A465" s="200"/>
      <c r="C465" s="98"/>
      <c r="D465" s="98"/>
      <c r="E465" s="97"/>
      <c r="F465" s="97"/>
      <c r="G465" s="97"/>
      <c r="H465" s="97"/>
      <c r="I465" s="196"/>
      <c r="J465" s="196"/>
    </row>
    <row r="466" s="96" customFormat="true" ht="15.75" hidden="false" customHeight="true" outlineLevel="0" collapsed="false">
      <c r="A466" s="200"/>
      <c r="D466" s="98"/>
      <c r="E466" s="97"/>
      <c r="F466" s="97"/>
      <c r="G466" s="97"/>
      <c r="H466" s="97"/>
      <c r="I466" s="196"/>
      <c r="J466" s="196"/>
    </row>
    <row r="467" s="96" customFormat="true" ht="15.75" hidden="false" customHeight="true" outlineLevel="0" collapsed="false">
      <c r="A467" s="200"/>
      <c r="D467" s="98"/>
      <c r="E467" s="97"/>
      <c r="F467" s="97"/>
      <c r="G467" s="97"/>
      <c r="H467" s="97"/>
      <c r="I467" s="196"/>
      <c r="J467" s="196"/>
    </row>
    <row r="468" s="96" customFormat="true" ht="15.75" hidden="false" customHeight="true" outlineLevel="0" collapsed="false">
      <c r="A468" s="200"/>
      <c r="D468" s="98"/>
      <c r="E468" s="97"/>
      <c r="F468" s="97"/>
      <c r="G468" s="97"/>
      <c r="H468" s="97"/>
      <c r="I468" s="196"/>
      <c r="J468" s="196"/>
    </row>
    <row r="469" s="96" customFormat="true" ht="15.75" hidden="false" customHeight="true" outlineLevel="0" collapsed="false">
      <c r="A469" s="200"/>
      <c r="D469" s="98"/>
      <c r="E469" s="97"/>
      <c r="F469" s="97"/>
      <c r="G469" s="97"/>
      <c r="H469" s="97"/>
      <c r="I469" s="196"/>
      <c r="J469" s="196"/>
    </row>
    <row r="470" s="96" customFormat="true" ht="15.75" hidden="false" customHeight="true" outlineLevel="0" collapsed="false">
      <c r="A470" s="200"/>
      <c r="D470" s="98"/>
      <c r="E470" s="97"/>
      <c r="F470" s="97"/>
      <c r="G470" s="97"/>
      <c r="H470" s="97"/>
      <c r="I470" s="196"/>
      <c r="J470" s="196"/>
    </row>
    <row r="471" s="96" customFormat="true" ht="15.75" hidden="false" customHeight="true" outlineLevel="0" collapsed="false">
      <c r="A471" s="200"/>
      <c r="D471" s="98"/>
      <c r="E471" s="97"/>
      <c r="F471" s="97"/>
      <c r="G471" s="97"/>
      <c r="H471" s="97"/>
      <c r="I471" s="196"/>
      <c r="J471" s="196"/>
    </row>
    <row r="472" s="96" customFormat="true" ht="15.75" hidden="false" customHeight="true" outlineLevel="0" collapsed="false">
      <c r="A472" s="200"/>
      <c r="D472" s="98"/>
      <c r="E472" s="97"/>
      <c r="F472" s="97"/>
      <c r="G472" s="97"/>
      <c r="H472" s="97"/>
      <c r="I472" s="196"/>
      <c r="J472" s="196"/>
    </row>
    <row r="473" s="96" customFormat="true" ht="15.75" hidden="false" customHeight="true" outlineLevel="0" collapsed="false">
      <c r="A473" s="200"/>
      <c r="D473" s="98"/>
      <c r="E473" s="97"/>
      <c r="F473" s="97"/>
      <c r="I473" s="196"/>
      <c r="J473" s="196"/>
    </row>
    <row r="474" s="96" customFormat="true" ht="15.75" hidden="false" customHeight="true" outlineLevel="0" collapsed="false">
      <c r="A474" s="200"/>
      <c r="D474" s="98"/>
      <c r="E474" s="97"/>
      <c r="F474" s="97"/>
      <c r="G474" s="97"/>
      <c r="H474" s="97"/>
      <c r="I474" s="196"/>
      <c r="J474" s="196"/>
    </row>
    <row r="475" s="96" customFormat="true" ht="15.75" hidden="false" customHeight="true" outlineLevel="0" collapsed="false">
      <c r="A475" s="200"/>
      <c r="D475" s="98"/>
      <c r="E475" s="97"/>
      <c r="F475" s="97"/>
      <c r="G475" s="97"/>
      <c r="H475" s="97"/>
      <c r="I475" s="196"/>
      <c r="J475" s="196"/>
    </row>
    <row r="476" s="96" customFormat="true" ht="15.75" hidden="false" customHeight="true" outlineLevel="0" collapsed="false">
      <c r="A476" s="200"/>
      <c r="D476" s="98"/>
      <c r="E476" s="97"/>
      <c r="F476" s="97"/>
      <c r="G476" s="97"/>
      <c r="H476" s="97"/>
      <c r="I476" s="196"/>
      <c r="J476" s="196"/>
    </row>
    <row r="477" s="96" customFormat="true" ht="15.75" hidden="false" customHeight="true" outlineLevel="0" collapsed="false">
      <c r="A477" s="200"/>
      <c r="D477" s="98"/>
      <c r="E477" s="97"/>
      <c r="F477" s="97"/>
      <c r="G477" s="97"/>
      <c r="H477" s="182"/>
      <c r="I477" s="196"/>
      <c r="J477" s="196"/>
    </row>
    <row r="478" s="96" customFormat="true" ht="15.75" hidden="false" customHeight="true" outlineLevel="0" collapsed="false">
      <c r="A478" s="200"/>
      <c r="C478" s="188"/>
      <c r="D478" s="98"/>
      <c r="E478" s="97"/>
      <c r="F478" s="97"/>
      <c r="G478" s="97"/>
      <c r="J478" s="97"/>
    </row>
    <row r="479" s="96" customFormat="true" ht="15.75" hidden="false" customHeight="true" outlineLevel="0" collapsed="false">
      <c r="A479" s="200"/>
      <c r="D479" s="98"/>
      <c r="E479" s="97"/>
      <c r="F479" s="97"/>
      <c r="G479" s="97"/>
      <c r="J479" s="97"/>
    </row>
    <row r="480" s="96" customFormat="true" ht="15.75" hidden="false" customHeight="true" outlineLevel="0" collapsed="false">
      <c r="A480" s="200"/>
      <c r="C480" s="98"/>
      <c r="D480" s="98"/>
      <c r="E480" s="97"/>
      <c r="F480" s="97"/>
      <c r="G480" s="97"/>
      <c r="H480" s="182"/>
      <c r="I480" s="196"/>
      <c r="J480" s="196"/>
    </row>
    <row r="481" s="96" customFormat="true" ht="15.75" hidden="false" customHeight="true" outlineLevel="0" collapsed="false">
      <c r="A481" s="200"/>
      <c r="C481" s="98"/>
      <c r="D481" s="98"/>
      <c r="E481" s="97"/>
      <c r="F481" s="97"/>
      <c r="G481" s="97"/>
      <c r="H481" s="182"/>
      <c r="I481" s="196"/>
      <c r="J481" s="196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H482" s="182"/>
      <c r="I482" s="196"/>
      <c r="J482" s="196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H483" s="182"/>
      <c r="I483" s="196"/>
      <c r="J483" s="196"/>
    </row>
    <row r="484" s="96" customFormat="true" ht="15.75" hidden="false" customHeight="true" outlineLevel="0" collapsed="false">
      <c r="A484" s="200"/>
      <c r="C484" s="98"/>
      <c r="D484" s="98"/>
      <c r="E484" s="97"/>
      <c r="F484" s="97"/>
      <c r="G484" s="97"/>
      <c r="H484" s="182"/>
      <c r="I484" s="196"/>
      <c r="J484" s="196"/>
    </row>
    <row r="485" s="96" customFormat="true" ht="15.75" hidden="false" customHeight="true" outlineLevel="0" collapsed="false">
      <c r="A485" s="200"/>
      <c r="C485" s="98"/>
      <c r="D485" s="98"/>
      <c r="E485" s="97"/>
      <c r="F485" s="97"/>
      <c r="G485" s="97"/>
      <c r="H485" s="182"/>
      <c r="I485" s="196"/>
      <c r="J485" s="196"/>
    </row>
    <row r="486" s="96" customFormat="true" ht="15.75" hidden="false" customHeight="true" outlineLevel="0" collapsed="false">
      <c r="A486" s="200"/>
      <c r="C486" s="98"/>
      <c r="D486" s="98"/>
      <c r="E486" s="97"/>
      <c r="F486" s="97"/>
      <c r="G486" s="97"/>
      <c r="H486" s="182"/>
      <c r="I486" s="196"/>
      <c r="J486" s="196"/>
    </row>
    <row r="487" s="96" customFormat="true" ht="15.75" hidden="false" customHeight="true" outlineLevel="0" collapsed="false">
      <c r="A487" s="200"/>
      <c r="C487" s="98"/>
      <c r="D487" s="98"/>
      <c r="E487" s="97"/>
      <c r="F487" s="97"/>
      <c r="G487" s="97"/>
      <c r="H487" s="182"/>
      <c r="I487" s="196"/>
      <c r="J487" s="196"/>
    </row>
    <row r="488" s="96" customFormat="true" ht="15.75" hidden="false" customHeight="true" outlineLevel="0" collapsed="false">
      <c r="A488" s="200"/>
      <c r="C488" s="98"/>
      <c r="D488" s="98"/>
      <c r="E488" s="97"/>
      <c r="F488" s="97"/>
      <c r="G488" s="97"/>
      <c r="H488" s="182"/>
      <c r="I488" s="196"/>
      <c r="J488" s="196"/>
    </row>
    <row r="489" s="96" customFormat="true" ht="15.75" hidden="false" customHeight="true" outlineLevel="0" collapsed="false">
      <c r="A489" s="200"/>
      <c r="C489" s="98"/>
      <c r="D489" s="98"/>
      <c r="E489" s="97"/>
      <c r="F489" s="97"/>
      <c r="G489" s="97"/>
      <c r="H489" s="182"/>
      <c r="I489" s="196"/>
      <c r="J489" s="196"/>
    </row>
    <row r="490" s="96" customFormat="true" ht="15.75" hidden="false" customHeight="true" outlineLevel="0" collapsed="false">
      <c r="A490" s="200"/>
      <c r="C490" s="98"/>
      <c r="D490" s="98"/>
      <c r="E490" s="97"/>
      <c r="F490" s="97"/>
      <c r="G490" s="97"/>
      <c r="H490" s="182"/>
      <c r="I490" s="196"/>
      <c r="J490" s="196"/>
    </row>
    <row r="491" s="96" customFormat="true" ht="15.75" hidden="false" customHeight="true" outlineLevel="0" collapsed="false">
      <c r="A491" s="200"/>
      <c r="C491" s="98"/>
      <c r="D491" s="98"/>
      <c r="E491" s="97"/>
      <c r="F491" s="97"/>
      <c r="G491" s="97"/>
      <c r="H491" s="182"/>
      <c r="I491" s="196"/>
      <c r="J491" s="196"/>
    </row>
    <row r="492" s="96" customFormat="true" ht="15.75" hidden="false" customHeight="true" outlineLevel="0" collapsed="false">
      <c r="A492" s="200"/>
      <c r="C492" s="98"/>
      <c r="D492" s="98"/>
      <c r="E492" s="97"/>
      <c r="F492" s="97"/>
      <c r="G492" s="97"/>
      <c r="H492" s="182"/>
      <c r="I492" s="196"/>
      <c r="J492" s="196"/>
    </row>
    <row r="493" s="96" customFormat="true" ht="15.75" hidden="false" customHeight="true" outlineLevel="0" collapsed="false">
      <c r="A493" s="200"/>
      <c r="C493" s="98"/>
      <c r="D493" s="98"/>
      <c r="E493" s="97"/>
      <c r="F493" s="97"/>
      <c r="G493" s="97"/>
      <c r="H493" s="182"/>
      <c r="I493" s="196"/>
      <c r="J493" s="196"/>
    </row>
    <row r="494" s="96" customFormat="true" ht="15.75" hidden="false" customHeight="true" outlineLevel="0" collapsed="false">
      <c r="A494" s="200"/>
      <c r="C494" s="98"/>
      <c r="D494" s="98"/>
      <c r="E494" s="97"/>
      <c r="F494" s="97"/>
      <c r="G494" s="97"/>
      <c r="H494" s="182"/>
      <c r="I494" s="196"/>
      <c r="J494" s="196"/>
    </row>
    <row r="495" s="96" customFormat="true" ht="15.75" hidden="false" customHeight="true" outlineLevel="0" collapsed="false">
      <c r="A495" s="200"/>
      <c r="C495" s="98"/>
      <c r="D495" s="98"/>
      <c r="E495" s="97"/>
      <c r="F495" s="97"/>
      <c r="G495" s="97"/>
      <c r="H495" s="182"/>
      <c r="I495" s="196"/>
      <c r="J495" s="196"/>
    </row>
    <row r="496" s="96" customFormat="true" ht="15.75" hidden="false" customHeight="true" outlineLevel="0" collapsed="false">
      <c r="A496" s="200"/>
      <c r="C496" s="98"/>
      <c r="D496" s="98"/>
      <c r="E496" s="97"/>
      <c r="F496" s="97"/>
      <c r="G496" s="97"/>
      <c r="H496" s="182"/>
      <c r="I496" s="196"/>
      <c r="J496" s="196"/>
    </row>
    <row r="497" s="96" customFormat="true" ht="15.75" hidden="false" customHeight="true" outlineLevel="0" collapsed="false">
      <c r="A497" s="200"/>
      <c r="C497" s="98"/>
      <c r="D497" s="98"/>
      <c r="E497" s="97"/>
      <c r="F497" s="97"/>
      <c r="G497" s="97"/>
      <c r="H497" s="182"/>
      <c r="I497" s="196"/>
      <c r="J497" s="196"/>
    </row>
    <row r="498" s="96" customFormat="true" ht="15.75" hidden="false" customHeight="true" outlineLevel="0" collapsed="false">
      <c r="A498" s="200"/>
      <c r="C498" s="98"/>
      <c r="D498" s="98"/>
      <c r="E498" s="97"/>
      <c r="F498" s="97"/>
      <c r="G498" s="97"/>
      <c r="H498" s="182"/>
      <c r="I498" s="196"/>
      <c r="J498" s="196"/>
    </row>
    <row r="499" s="96" customFormat="true" ht="15.75" hidden="false" customHeight="true" outlineLevel="0" collapsed="false">
      <c r="A499" s="200"/>
      <c r="C499" s="98"/>
      <c r="D499" s="98"/>
      <c r="E499" s="97"/>
      <c r="F499" s="97"/>
      <c r="G499" s="97"/>
      <c r="H499" s="182"/>
      <c r="I499" s="196"/>
      <c r="J499" s="196"/>
    </row>
    <row r="500" s="96" customFormat="true" ht="15.75" hidden="false" customHeight="true" outlineLevel="0" collapsed="false">
      <c r="A500" s="200"/>
      <c r="C500" s="98"/>
      <c r="D500" s="98"/>
      <c r="E500" s="97"/>
      <c r="F500" s="97"/>
      <c r="G500" s="97"/>
      <c r="H500" s="182"/>
      <c r="I500" s="196"/>
      <c r="J500" s="196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J501" s="97"/>
    </row>
    <row r="502" s="96" customFormat="true" ht="15.75" hidden="false" customHeight="true" outlineLevel="0" collapsed="false">
      <c r="A502" s="200"/>
      <c r="D502" s="98"/>
      <c r="E502" s="97"/>
      <c r="F502" s="97"/>
      <c r="G502" s="97"/>
      <c r="H502" s="97"/>
      <c r="I502" s="196"/>
      <c r="J502" s="196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H503" s="97"/>
      <c r="I503" s="196"/>
      <c r="J503" s="196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H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196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238"/>
      <c r="I511" s="212"/>
      <c r="J511" s="195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238"/>
      <c r="I512" s="212"/>
      <c r="J512" s="195"/>
    </row>
    <row r="513" s="96" customFormat="true" ht="15.75" hidden="false" customHeight="true" outlineLevel="0" collapsed="false">
      <c r="A513" s="191"/>
      <c r="B513" s="191"/>
      <c r="C513" s="191"/>
      <c r="D513" s="192"/>
      <c r="E513" s="191"/>
      <c r="F513" s="191"/>
      <c r="G513" s="191"/>
      <c r="H513" s="191"/>
      <c r="I513" s="191"/>
      <c r="J513" s="199"/>
    </row>
    <row r="514" s="96" customFormat="true" ht="15.75" hidden="false" customHeight="true" outlineLevel="0" collapsed="false">
      <c r="A514" s="191"/>
      <c r="B514" s="191"/>
      <c r="C514" s="191"/>
      <c r="D514" s="192"/>
      <c r="E514" s="191"/>
      <c r="F514" s="191"/>
      <c r="G514" s="191"/>
      <c r="H514" s="191"/>
      <c r="I514" s="191"/>
      <c r="J514" s="199"/>
    </row>
    <row r="515" s="96" customFormat="true" ht="15.75" hidden="false" customHeight="true" outlineLevel="0" collapsed="false"/>
    <row r="516" s="96" customFormat="true" ht="15.75" hidden="false" customHeight="true" outlineLevel="0" collapsed="false"/>
    <row r="517" s="96" customFormat="true" ht="24.75" hidden="false" customHeight="true" outlineLevel="0" collapsed="false">
      <c r="A517" s="88" t="s">
        <v>482</v>
      </c>
      <c r="B517" s="88"/>
      <c r="C517" s="88"/>
      <c r="D517" s="88"/>
      <c r="E517" s="88"/>
      <c r="F517" s="88"/>
      <c r="G517" s="88"/>
      <c r="H517" s="88"/>
      <c r="I517" s="88"/>
      <c r="J517" s="88"/>
    </row>
    <row r="518" s="96" customFormat="true" ht="34.5" hidden="false" customHeight="true" outlineLevel="0" collapsed="false">
      <c r="A518" s="114" t="s">
        <v>319</v>
      </c>
      <c r="B518" s="115" t="s">
        <v>168</v>
      </c>
      <c r="C518" s="115" t="s">
        <v>168</v>
      </c>
      <c r="D518" s="116" t="s">
        <v>483</v>
      </c>
      <c r="E518" s="115" t="s">
        <v>321</v>
      </c>
      <c r="F518" s="239" t="s">
        <v>484</v>
      </c>
      <c r="G518" s="240"/>
      <c r="H518" s="116" t="s">
        <v>484</v>
      </c>
      <c r="I518" s="116" t="s">
        <v>485</v>
      </c>
      <c r="J518" s="117" t="s">
        <v>323</v>
      </c>
      <c r="N518" s="118" t="s">
        <v>168</v>
      </c>
      <c r="O518" s="118" t="s">
        <v>168</v>
      </c>
    </row>
    <row r="519" s="96" customFormat="true" ht="15.75" hidden="false" customHeight="true" outlineLevel="0" collapsed="false">
      <c r="A519" s="120" t="n">
        <f aca="false">IF(C519="","",1)</f>
        <v>1</v>
      </c>
      <c r="B519" s="121" t="str">
        <f aca="false">IF($D$127=5,N519,IF($D$127=6,N520,IF($D$127=8,N521,IF($D$127=10,N522,IF($D$127=12,N523,IF($D$127=14,N524,IF($D$127=18,N525,IF($D$127=20,N526,IF($D$127=22,N527,)))))))))</f>
        <v>กระจก 6 mm (สูง) (กว้าง)</v>
      </c>
      <c r="C519" s="121" t="str">
        <f aca="false">IF($D$127=5,O519,IF($D$127=6,O520,IF($D$127=8,O521,IF($D$127=10,O522,IF($D$127=12,O523,IF($D$127=14,O524,IF($D$127=18,O525,IF($D$127=20,O526,IF($D$127=22,O527,)))))))))</f>
        <v>GLASS thk.6 mm (H) (W)</v>
      </c>
      <c r="D519" s="123" t="n">
        <f aca="false">$J$123-215</f>
        <v>2285</v>
      </c>
      <c r="E519" s="120" t="s">
        <v>486</v>
      </c>
      <c r="F519" s="224" t="s">
        <v>487</v>
      </c>
      <c r="G519" s="224"/>
      <c r="H519" s="120" t="s">
        <v>488</v>
      </c>
      <c r="I519" s="225" t="n">
        <f aca="false">(($J$126-182-113.25)/2)-13</f>
        <v>1339.375</v>
      </c>
      <c r="J519" s="226" t="n">
        <f aca="false">$J$120*2</f>
        <v>2</v>
      </c>
      <c r="M519" s="96" t="n">
        <f aca="false">ROW()</f>
        <v>519</v>
      </c>
      <c r="N519" s="62" t="s">
        <v>489</v>
      </c>
      <c r="O519" s="62" t="s">
        <v>490</v>
      </c>
    </row>
    <row r="520" s="96" customFormat="true" ht="15.75" hidden="false" customHeight="true" outlineLevel="0" collapsed="false">
      <c r="A520" s="167"/>
      <c r="B520" s="228"/>
      <c r="C520" s="228"/>
      <c r="D520" s="241"/>
      <c r="E520" s="167"/>
      <c r="F520" s="229"/>
      <c r="G520" s="242"/>
      <c r="H520" s="167"/>
      <c r="I520" s="231"/>
      <c r="J520" s="232"/>
      <c r="M520" s="96" t="n">
        <f aca="false">ROW()</f>
        <v>520</v>
      </c>
      <c r="N520" s="62" t="s">
        <v>491</v>
      </c>
      <c r="O520" s="62" t="s">
        <v>492</v>
      </c>
    </row>
    <row r="521" s="96" customFormat="true" ht="15.75" hidden="false" customHeight="true" outlineLevel="0" collapsed="false">
      <c r="A521" s="227"/>
      <c r="B521" s="131"/>
      <c r="C521" s="131"/>
      <c r="D521" s="132" t="s">
        <v>208</v>
      </c>
      <c r="E521" s="130"/>
      <c r="F521" s="233"/>
      <c r="G521" s="234"/>
      <c r="H521" s="131"/>
      <c r="I521" s="133"/>
      <c r="J521" s="235"/>
      <c r="M521" s="96" t="n">
        <f aca="false">ROW()</f>
        <v>521</v>
      </c>
      <c r="N521" s="62" t="s">
        <v>493</v>
      </c>
      <c r="O521" s="62" t="s">
        <v>494</v>
      </c>
    </row>
    <row r="522" s="96" customFormat="true" ht="15.75" hidden="false" customHeight="true" outlineLevel="0" collapsed="false">
      <c r="A522" s="227"/>
      <c r="B522" s="131"/>
      <c r="C522" s="131"/>
      <c r="D522" s="132"/>
      <c r="E522" s="130"/>
      <c r="F522" s="233"/>
      <c r="G522" s="234"/>
      <c r="H522" s="130"/>
      <c r="I522" s="133"/>
      <c r="J522" s="235"/>
      <c r="M522" s="96" t="n">
        <f aca="false">ROW()</f>
        <v>522</v>
      </c>
      <c r="N522" s="62" t="s">
        <v>495</v>
      </c>
      <c r="O522" s="62" t="s">
        <v>496</v>
      </c>
    </row>
    <row r="523" s="96" customFormat="true" ht="15.75" hidden="false" customHeight="true" outlineLevel="0" collapsed="false">
      <c r="A523" s="243"/>
      <c r="B523" s="135"/>
      <c r="C523" s="135"/>
      <c r="D523" s="139"/>
      <c r="E523" s="136"/>
      <c r="F523" s="236"/>
      <c r="G523" s="244"/>
      <c r="H523" s="136"/>
      <c r="I523" s="140"/>
      <c r="J523" s="245"/>
      <c r="M523" s="96" t="n">
        <f aca="false">ROW()</f>
        <v>523</v>
      </c>
      <c r="N523" s="62" t="s">
        <v>497</v>
      </c>
      <c r="O523" s="62" t="s">
        <v>498</v>
      </c>
    </row>
    <row r="524" s="96" customFormat="true" ht="15.75" hidden="false" customHeight="true" outlineLevel="0" collapsed="false">
      <c r="A524" s="97" t="str">
        <f aca="false">IF(B524="","",+""+1)</f>
        <v/>
      </c>
      <c r="D524" s="98"/>
      <c r="E524" s="97"/>
      <c r="F524" s="97"/>
      <c r="G524" s="97"/>
      <c r="H524" s="97"/>
      <c r="I524" s="97"/>
      <c r="J524" s="92" t="str">
        <f aca="false">LEFT($J$111,10)&amp;"-05"</f>
        <v>FG-240-2PR-05</v>
      </c>
      <c r="M524" s="96" t="n">
        <f aca="false">ROW()</f>
        <v>524</v>
      </c>
      <c r="N524" s="62" t="s">
        <v>499</v>
      </c>
      <c r="O524" s="62" t="s">
        <v>500</v>
      </c>
    </row>
    <row r="525" customFormat="false" ht="14.25" hidden="false" customHeight="false" outlineLevel="0" collapsed="false">
      <c r="M525" s="96" t="n">
        <f aca="false">ROW()</f>
        <v>525</v>
      </c>
      <c r="N525" s="62" t="s">
        <v>501</v>
      </c>
      <c r="O525" s="62" t="s">
        <v>502</v>
      </c>
    </row>
    <row r="526" customFormat="false" ht="14.25" hidden="false" customHeight="false" outlineLevel="0" collapsed="false">
      <c r="M526" s="96" t="n">
        <f aca="false">ROW()</f>
        <v>526</v>
      </c>
      <c r="N526" s="62" t="s">
        <v>503</v>
      </c>
      <c r="O526" s="62" t="s">
        <v>504</v>
      </c>
    </row>
    <row r="527" customFormat="false" ht="14.25" hidden="false" customHeight="false" outlineLevel="0" collapsed="false">
      <c r="M527" s="96" t="n">
        <f aca="false">ROW()</f>
        <v>527</v>
      </c>
      <c r="N527" s="62" t="s">
        <v>505</v>
      </c>
      <c r="O527" s="62" t="s">
        <v>506</v>
      </c>
    </row>
  </sheetData>
  <mergeCells count="43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8:J158"/>
    <mergeCell ref="I159:J159"/>
    <mergeCell ref="I160:J160"/>
    <mergeCell ref="I161:J161"/>
    <mergeCell ref="I162:J162"/>
    <mergeCell ref="D163:D164"/>
    <mergeCell ref="H163:H164"/>
    <mergeCell ref="I163:J164"/>
    <mergeCell ref="D165:D166"/>
    <mergeCell ref="H165:H166"/>
    <mergeCell ref="I165:J165"/>
    <mergeCell ref="I166:J169"/>
    <mergeCell ref="D167:D170"/>
    <mergeCell ref="H167:H170"/>
    <mergeCell ref="I170:J171"/>
    <mergeCell ref="D171:D172"/>
    <mergeCell ref="H171:H172"/>
    <mergeCell ref="I172:J172"/>
    <mergeCell ref="A173:J173"/>
    <mergeCell ref="A212:J212"/>
    <mergeCell ref="A319:J319"/>
    <mergeCell ref="F328:G328"/>
    <mergeCell ref="F329:G329"/>
    <mergeCell ref="F332:G332"/>
    <mergeCell ref="A425:J425"/>
    <mergeCell ref="A517:J517"/>
    <mergeCell ref="F519:G519"/>
  </mergeCells>
  <dataValidations count="3">
    <dataValidation allowBlank="true" errorStyle="stop" operator="between" showDropDown="false" showErrorMessage="true" showInputMessage="true" sqref="D127:G127" type="list">
      <formula1>$N$120:$N$128</formula1>
      <formula2>0</formula2>
    </dataValidation>
    <dataValidation allowBlank="true" errorStyle="stop" operator="between" showDropDown="false" showErrorMessage="true" showInputMessage="true" sqref="D129:G129" type="list">
      <formula1>$O$120</formula1>
      <formula2>0</formula2>
    </dataValidation>
    <dataValidation allowBlank="true" errorStyle="stop" operator="between" showDropDown="false" showErrorMessage="true" showInputMessage="true" sqref="D123:G123" type="list">
      <formula1>$P$119:$P$128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6" man="true" max="16383" min="0"/>
    <brk id="313" man="true" max="16383" min="0"/>
    <brk id="419" man="true" max="16383" min="0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AJ530"/>
  <sheetViews>
    <sheetView showFormulas="false" showGridLines="false" showRowColHeaders="true" showZeros="true" rightToLeft="false" tabSelected="false" showOutlineSymbols="true" defaultGridColor="true" view="pageBreakPreview" topLeftCell="A115" colorId="64" zoomScale="75" zoomScaleNormal="75" zoomScalePageLayoutView="75" workbookViewId="0">
      <selection pane="topLeft" activeCell="H128" activeCellId="0" sqref="H128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59.67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8.67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1.33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526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>
      <c r="G45" s="91"/>
    </row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527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246" t="s">
        <v>285</v>
      </c>
      <c r="B117" s="246"/>
      <c r="C117" s="246"/>
      <c r="D117" s="246"/>
      <c r="E117" s="246"/>
      <c r="F117" s="246"/>
      <c r="G117" s="246"/>
      <c r="H117" s="246"/>
      <c r="I117" s="246"/>
      <c r="J117" s="246"/>
      <c r="K117" s="83"/>
      <c r="L117" s="87"/>
      <c r="M117" s="87"/>
      <c r="N117" s="87"/>
    </row>
    <row r="118" s="96" customFormat="true" ht="15" hidden="false" customHeight="true" outlineLevel="0" collapsed="false">
      <c r="A118" s="97"/>
      <c r="C118" s="81"/>
      <c r="D118" s="98"/>
      <c r="E118" s="83"/>
      <c r="J118" s="99"/>
      <c r="K118" s="83"/>
    </row>
    <row r="119" s="96" customFormat="true" ht="15" hidden="false" customHeight="true" outlineLevel="0" collapsed="false">
      <c r="A119" s="97"/>
      <c r="C119" s="100" t="s">
        <v>286</v>
      </c>
      <c r="D119" s="101"/>
      <c r="E119" s="101"/>
      <c r="F119" s="101"/>
      <c r="G119" s="101"/>
      <c r="I119" s="83"/>
      <c r="J119" s="97"/>
      <c r="N119" s="102" t="s">
        <v>288</v>
      </c>
      <c r="O119" s="97" t="s">
        <v>289</v>
      </c>
      <c r="P119" s="102" t="s">
        <v>290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102" t="n">
        <v>5</v>
      </c>
      <c r="O120" s="97" t="s">
        <v>509</v>
      </c>
      <c r="P120" s="106" t="s">
        <v>294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102" t="n">
        <v>6</v>
      </c>
      <c r="O121" s="97" t="s">
        <v>296</v>
      </c>
      <c r="P121" s="106" t="s">
        <v>297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102" t="n">
        <v>8</v>
      </c>
      <c r="P122" s="106" t="s">
        <v>299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2500</v>
      </c>
      <c r="N123" s="102" t="n">
        <v>10</v>
      </c>
      <c r="P123" s="106" t="s">
        <v>303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102" t="n">
        <v>12</v>
      </c>
      <c r="P124" s="106" t="s">
        <v>305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102" t="n">
        <v>14</v>
      </c>
      <c r="P125" s="106" t="s">
        <v>308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3500</v>
      </c>
      <c r="K126" s="110"/>
      <c r="L126" s="110"/>
      <c r="N126" s="102" t="n">
        <v>18</v>
      </c>
      <c r="P126" s="106" t="s">
        <v>311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102" t="n">
        <v>20</v>
      </c>
      <c r="P127" s="106" t="s">
        <v>313</v>
      </c>
    </row>
    <row r="128" s="96" customFormat="true" ht="18.75" hidden="false" customHeight="true" outlineLevel="0" collapsed="false">
      <c r="C128" s="108" t="s">
        <v>314</v>
      </c>
      <c r="I128" s="97"/>
      <c r="J128" s="97"/>
      <c r="N128" s="102" t="n">
        <v>22</v>
      </c>
      <c r="P128" s="106" t="s">
        <v>315</v>
      </c>
    </row>
    <row r="129" s="96" customFormat="true" ht="15" hidden="false" customHeight="true" outlineLevel="0" collapsed="false">
      <c r="A129" s="89" t="str">
        <f aca="false">A18</f>
        <v>240-3 Panel (2L1R)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330</v>
      </c>
      <c r="G133" s="120" t="n">
        <v>1</v>
      </c>
      <c r="H133" s="120" t="s">
        <v>331</v>
      </c>
      <c r="I133" s="123" t="n">
        <f aca="false">$J$126-60</f>
        <v>3440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6</v>
      </c>
      <c r="U133" s="127" t="s">
        <v>528</v>
      </c>
      <c r="V133" s="247" t="n">
        <f aca="false">($J$126-182-(113.25*2))/3</f>
        <v>1030.5</v>
      </c>
      <c r="W133" s="129" t="n">
        <f aca="false">$J$119*T133</f>
        <v>0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3414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6</v>
      </c>
      <c r="U134" s="130" t="s">
        <v>528</v>
      </c>
      <c r="V134" s="247" t="n">
        <f aca="false">($J$126-182-(113.25*2))/3</f>
        <v>1030.5</v>
      </c>
      <c r="W134" s="134" t="n">
        <f aca="false">$J$119*T134</f>
        <v>0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3440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6</v>
      </c>
      <c r="U135" s="136" t="s">
        <v>528</v>
      </c>
      <c r="V135" s="247" t="n">
        <f aca="false">($J$126-182-(113.25*2))/3</f>
        <v>1030.5</v>
      </c>
      <c r="W135" s="137" t="n">
        <f aca="false">$J$119*T135</f>
        <v>0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3440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6</v>
      </c>
      <c r="U136" s="127" t="s">
        <v>360</v>
      </c>
      <c r="V136" s="138" t="n">
        <f aca="false">$J$123-242</f>
        <v>2258</v>
      </c>
      <c r="W136" s="129" t="n">
        <f aca="false">$J$119*T136</f>
        <v>0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2500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6</v>
      </c>
      <c r="U137" s="130" t="s">
        <v>360</v>
      </c>
      <c r="V137" s="133" t="n">
        <f aca="false">$J$123-242</f>
        <v>2258</v>
      </c>
      <c r="W137" s="134" t="n">
        <f aca="false">$J$119*T137</f>
        <v>0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529</v>
      </c>
      <c r="G138" s="130" t="n">
        <v>1</v>
      </c>
      <c r="H138" s="130" t="s">
        <v>332</v>
      </c>
      <c r="I138" s="133" t="n">
        <f aca="false">$J$123</f>
        <v>2500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6</v>
      </c>
      <c r="U138" s="136" t="s">
        <v>360</v>
      </c>
      <c r="V138" s="140" t="n">
        <f aca="false">$J$123-242</f>
        <v>2258</v>
      </c>
      <c r="W138" s="137" t="n">
        <f aca="false">$J$119*T138</f>
        <v>0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2404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2404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3</v>
      </c>
      <c r="H141" s="130" t="s">
        <v>530</v>
      </c>
      <c r="I141" s="141" t="n">
        <f aca="false">($J$126-60-(3+1)*4)/3</f>
        <v>1141.33333333333</v>
      </c>
      <c r="J141" s="134" t="n">
        <f aca="false">$J$120*G141</f>
        <v>3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3</v>
      </c>
      <c r="H142" s="130" t="s">
        <v>530</v>
      </c>
      <c r="I142" s="141" t="n">
        <f aca="false">($J$126-60-(3+1)*4)/3</f>
        <v>1141.33333333333</v>
      </c>
      <c r="J142" s="134" t="n">
        <f aca="false">$J$120*G142</f>
        <v>3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4</v>
      </c>
      <c r="H143" s="130" t="s">
        <v>389</v>
      </c>
      <c r="I143" s="133" t="n">
        <f aca="false">$J$123-92</f>
        <v>2408</v>
      </c>
      <c r="J143" s="134" t="n">
        <f aca="false">$J$120*G143</f>
        <v>4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1</v>
      </c>
      <c r="H144" s="130" t="s">
        <v>389</v>
      </c>
      <c r="I144" s="133" t="n">
        <f aca="false">$J$123-92</f>
        <v>2408</v>
      </c>
      <c r="J144" s="134" t="n">
        <f aca="false">$J$120*G144</f>
        <v>1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531</v>
      </c>
      <c r="C145" s="131" t="s">
        <v>532</v>
      </c>
      <c r="D145" s="132" t="s">
        <v>74</v>
      </c>
      <c r="E145" s="130" t="n">
        <v>1.106</v>
      </c>
      <c r="F145" s="132" t="s">
        <v>533</v>
      </c>
      <c r="G145" s="130" t="n">
        <v>1</v>
      </c>
      <c r="H145" s="130" t="s">
        <v>389</v>
      </c>
      <c r="I145" s="133" t="n">
        <f aca="false">$J$123-92</f>
        <v>2408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6" s="131" t="str">
        <f aca="false">IF($D$127=5,Q133,IF($D$127=6,Q133,IF($D$127=8,Q134,IF($D$127=10,Q134,IF($D$127=12,Q134,IF($D$127=14,Q135,IF($D$127=18,Q135,IF($D$127=20,Q135,IF($D$127=22,Q135,)))))))))</f>
        <v>B24008</v>
      </c>
      <c r="E146" s="131" t="n">
        <f aca="false">IF($D$127=5,R133,IF($D$127=6,R133,IF($D$127=8,R134,IF($D$127=10,R134,IF($D$127=12,R134,IF($D$127=14,R135,IF($D$127=18,R135,IF($D$127=20,R135,IF($D$127=22,R135,)))))))))</f>
        <v>0.231</v>
      </c>
      <c r="F146" s="131" t="str">
        <f aca="false">IF($D$127=5,S133,IF($D$127=6,S133,IF($D$127=8,S134,IF($D$127=10,S134,IF($D$127=12,S134,IF($D$127=14,S135,IF($D$127=18,S135,IF($D$127=20,S135,IF($D$127=22,S135,)))))))))</f>
        <v>B24008-001</v>
      </c>
      <c r="G146" s="130" t="n">
        <f aca="false">IF($D$127=5,T133,IF($D$127=6,T133,IF($D$127=8,T134,IF($D$127=10,T134,IF($D$127=12,T134,IF($D$127=14,T135,IF($D$127=18,T135,IF($D$127=20,T135,IF($D$127=22,T135,)))))))))</f>
        <v>6</v>
      </c>
      <c r="H146" s="130" t="str">
        <f aca="false">IF($D$127=5,U133,IF($D$127=6,U133,IF($D$127=8,U134,IF($D$127=10,U134,IF($D$127=12,U134,IF($D$127=14,U135,IF($D$127=18,U135,IF($D$127=20,U135,IF($D$127=22,U135,)))))))))</f>
        <v>(W-182-(113.25 × 2))/3</v>
      </c>
      <c r="I146" s="141" t="n">
        <f aca="false">IF($D$127=5,V133,IF($D$127=6,V133,IF($D$127=8,V134,IF($D$127=10,V134,IF($D$127=12,V134,IF($D$127=14,V135,IF($D$127=18,V135,IF($D$127=20,V135,IF($D$127=22,V135,)))))))))</f>
        <v>1030.5</v>
      </c>
      <c r="J146" s="134" t="n">
        <f aca="false">$J$120*G146</f>
        <v>6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7" s="131" t="str">
        <f aca="false">IF($D$127=5,Q136,IF($D$127=6,Q136,IF($D$127=8,Q137,IF($D$127=10,Q137,IF($D$127=12,Q137,IF($D$127=14,Q138,IF($D$127=18,Q138,IF($D$127=20,Q138,IF($D$127=22,Q138,)))))))))</f>
        <v>B24008</v>
      </c>
      <c r="E147" s="131" t="n">
        <f aca="false">IF($D$127=5,R136,IF($D$127=6,R136,IF($D$127=8,R137,IF($D$127=10,R137,IF($D$127=12,R137,IF($D$127=14,R138,IF($D$127=18,R138,IF($D$127=20,R138,IF($D$127=22,R138,)))))))))</f>
        <v>0.231</v>
      </c>
      <c r="F147" s="131" t="str">
        <f aca="false">IF($D$127=5,S136,IF($D$127=6,S136,IF($D$127=8,S137,IF($D$127=10,S137,IF($D$127=12,S137,IF($D$127=14,S138,IF($D$127=18,S138,IF($D$127=20,S138,IF($D$127=22,S138,)))))))))</f>
        <v>B24008-002</v>
      </c>
      <c r="G147" s="130" t="n">
        <f aca="false">IF($D$127=5,T136,IF($D$127=6,T136,IF($D$127=8,T137,IF($D$127=10,T137,IF($D$127=12,T137,IF($D$127=14,T138,IF($D$127=18,T138,IF($D$127=20,T138,IF($D$127=22,T138,)))))))))</f>
        <v>6</v>
      </c>
      <c r="H147" s="130" t="str">
        <f aca="false">IF($D$127=5,U136,IF($D$127=6,U136,IF($D$127=8,U137,IF($D$127=10,U137,IF($D$127=12,U137,IF($D$127=14,U138,IF($D$127=18,U138,IF($D$127=20,U138,IF($D$127=22,U138,)))))))))</f>
        <v>H-242</v>
      </c>
      <c r="I147" s="133" t="n">
        <f aca="false">IF($D$127=5,V136,IF($D$127=6,V136,IF($D$127=8,V137,IF($D$127=10,V137,IF($D$127=12,V137,IF($D$127=14,V138,IF($D$127=18,V138,IF($D$127=20,V138,IF($D$127=22,V138,)))))))))</f>
        <v>2258</v>
      </c>
      <c r="J147" s="134" t="n">
        <f aca="false">$J$120*G147</f>
        <v>6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">
        <v>534</v>
      </c>
      <c r="C148" s="131" t="s">
        <v>535</v>
      </c>
      <c r="D148" s="132" t="s">
        <v>536</v>
      </c>
      <c r="E148" s="130"/>
      <c r="F148" s="132" t="s">
        <v>537</v>
      </c>
      <c r="G148" s="130" t="n">
        <v>1</v>
      </c>
      <c r="H148" s="130" t="s">
        <v>389</v>
      </c>
      <c r="I148" s="133" t="n">
        <f aca="false">$J$123-92</f>
        <v>2408</v>
      </c>
      <c r="J148" s="134" t="n">
        <f aca="false">$J$120*G148</f>
        <v>1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538</v>
      </c>
      <c r="D149" s="132" t="s">
        <v>536</v>
      </c>
      <c r="E149" s="130"/>
      <c r="F149" s="132" t="s">
        <v>539</v>
      </c>
      <c r="G149" s="130" t="n">
        <v>1</v>
      </c>
      <c r="H149" s="130" t="s">
        <v>389</v>
      </c>
      <c r="I149" s="133" t="n">
        <f aca="false">$J$123-92</f>
        <v>2408</v>
      </c>
      <c r="J149" s="134" t="n">
        <f aca="false">$J$120*G149</f>
        <v>1</v>
      </c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42"/>
      <c r="J150" s="134" t="n">
        <f aca="false">$J$120*G150</f>
        <v>0</v>
      </c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42"/>
      <c r="J151" s="134"/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31"/>
      <c r="C153" s="131"/>
      <c r="D153" s="132"/>
      <c r="E153" s="130"/>
      <c r="F153" s="132"/>
      <c r="G153" s="130"/>
      <c r="H153" s="130"/>
      <c r="I153" s="142"/>
      <c r="J153" s="134" t="n">
        <f aca="false">$J$120*G153</f>
        <v>0</v>
      </c>
    </row>
    <row r="154" s="96" customFormat="true" ht="18" hidden="false" customHeight="true" outlineLevel="0" collapsed="false">
      <c r="A154" s="130" t="str">
        <f aca="false">IF(B154="","",+A153+1)</f>
        <v/>
      </c>
      <c r="B154" s="131"/>
      <c r="C154" s="131"/>
      <c r="D154" s="132"/>
      <c r="E154" s="130"/>
      <c r="F154" s="132"/>
      <c r="G154" s="130"/>
      <c r="H154" s="130"/>
      <c r="I154" s="142"/>
      <c r="J154" s="134" t="n">
        <f aca="false">$J$120*G154</f>
        <v>0</v>
      </c>
    </row>
    <row r="155" s="96" customFormat="true" ht="18" hidden="false" customHeight="true" outlineLevel="0" collapsed="false">
      <c r="A155" s="130" t="str">
        <f aca="false">IF(B155="","",+A154+1)</f>
        <v/>
      </c>
      <c r="B155" s="131"/>
      <c r="C155" s="131"/>
      <c r="D155" s="132"/>
      <c r="E155" s="130"/>
      <c r="F155" s="132"/>
      <c r="G155" s="130"/>
      <c r="H155" s="130"/>
      <c r="I155" s="142"/>
      <c r="J155" s="134" t="n">
        <f aca="false">$J$120*G155</f>
        <v>0</v>
      </c>
    </row>
    <row r="156" s="96" customFormat="true" ht="18" hidden="false" customHeight="true" outlineLevel="0" collapsed="false">
      <c r="A156" s="130" t="str">
        <f aca="false">IF(B156="","",+A155+1)</f>
        <v/>
      </c>
      <c r="B156" s="131"/>
      <c r="C156" s="131"/>
      <c r="D156" s="132"/>
      <c r="E156" s="130"/>
      <c r="F156" s="132"/>
      <c r="G156" s="130"/>
      <c r="H156" s="130"/>
      <c r="I156" s="142"/>
      <c r="J156" s="134" t="n">
        <f aca="false">$J$120*G156</f>
        <v>0</v>
      </c>
    </row>
    <row r="157" s="96" customFormat="true" ht="18" hidden="false" customHeight="true" outlineLevel="0" collapsed="false">
      <c r="A157" s="130" t="str">
        <f aca="false">IF(B157="","",+A156+1)</f>
        <v/>
      </c>
      <c r="B157" s="143"/>
      <c r="C157" s="143"/>
      <c r="D157" s="144"/>
      <c r="E157" s="145"/>
      <c r="F157" s="144"/>
      <c r="G157" s="145"/>
      <c r="H157" s="145"/>
      <c r="I157" s="146"/>
      <c r="J157" s="147" t="n">
        <f aca="false">$J$120*G157</f>
        <v>0</v>
      </c>
    </row>
    <row r="158" s="96" customFormat="true" ht="27" hidden="false" customHeight="true" outlineLevel="1" collapsed="false">
      <c r="A158" s="148" t="s">
        <v>319</v>
      </c>
      <c r="B158" s="148" t="s">
        <v>320</v>
      </c>
      <c r="C158" s="148" t="s">
        <v>168</v>
      </c>
      <c r="D158" s="148" t="s">
        <v>166</v>
      </c>
      <c r="E158" s="148" t="s">
        <v>321</v>
      </c>
      <c r="F158" s="149" t="s">
        <v>393</v>
      </c>
      <c r="G158" s="148" t="s">
        <v>394</v>
      </c>
      <c r="H158" s="150" t="s">
        <v>395</v>
      </c>
      <c r="I158" s="151"/>
      <c r="J158" s="151"/>
    </row>
    <row r="159" s="96" customFormat="true" ht="15" hidden="false" customHeight="true" outlineLevel="1" collapsed="false">
      <c r="A159" s="152" t="n">
        <f aca="false">IF(B159="","",1)</f>
        <v>1</v>
      </c>
      <c r="B159" s="153" t="str">
        <f aca="false">B133</f>
        <v>เฟรมบน</v>
      </c>
      <c r="C159" s="153" t="str">
        <f aca="false">C133</f>
        <v>HEAD</v>
      </c>
      <c r="D159" s="154" t="str">
        <f aca="false">VLOOKUP(C159,$C$133:$H$157,2,0)</f>
        <v>B24001</v>
      </c>
      <c r="E159" s="155" t="n">
        <f aca="false">VLOOKUP(C159,$C$133:$H$157,3,0)</f>
        <v>1.603</v>
      </c>
      <c r="F159" s="155" t="n">
        <f aca="false">VLOOKUP(C159,$C$133:$J$157,7,0)</f>
        <v>3440</v>
      </c>
      <c r="G159" s="155" t="n">
        <f aca="false">VLOOKUP(C159,$C$133:$J$157,8,0)</f>
        <v>1</v>
      </c>
      <c r="H159" s="156" t="n">
        <f aca="false">ROUNDUP((F159*G159)/6400,0)</f>
        <v>1</v>
      </c>
      <c r="I159" s="157"/>
      <c r="J159" s="157"/>
    </row>
    <row r="160" s="96" customFormat="true" ht="15" hidden="false" customHeight="true" outlineLevel="1" collapsed="false">
      <c r="A160" s="158" t="n">
        <f aca="false">IF(B160="","",+A159+1)</f>
        <v>2</v>
      </c>
      <c r="B160" s="153" t="str">
        <f aca="false">B134</f>
        <v>บังใบบน</v>
      </c>
      <c r="C160" s="153" t="str">
        <f aca="false">C134</f>
        <v>DOOR STOP HEAD</v>
      </c>
      <c r="D160" s="154" t="str">
        <f aca="false">VLOOKUP(C160,$C$133:$H$157,2,0)</f>
        <v>B24002</v>
      </c>
      <c r="E160" s="155" t="n">
        <f aca="false">VLOOKUP(C160,$C$133:$H$157,3,0)</f>
        <v>0.278</v>
      </c>
      <c r="F160" s="155" t="n">
        <f aca="false">VLOOKUP(C160,$C$133:$I$157,7,0)</f>
        <v>3414</v>
      </c>
      <c r="G160" s="155" t="n">
        <f aca="false">VLOOKUP(C160,$C$133:$J$157,8,0)</f>
        <v>1</v>
      </c>
      <c r="H160" s="156" t="n">
        <f aca="false">ROUNDUP((F160*G160)/6400,0)</f>
        <v>1</v>
      </c>
      <c r="I160" s="157"/>
      <c r="J160" s="157"/>
    </row>
    <row r="161" s="96" customFormat="true" ht="15" hidden="false" customHeight="true" outlineLevel="1" collapsed="false">
      <c r="A161" s="158" t="n">
        <f aca="false">IF(B161="","",+A160+1)</f>
        <v>3</v>
      </c>
      <c r="B161" s="153" t="str">
        <f aca="false">B135</f>
        <v>เฟรมล่าง </v>
      </c>
      <c r="C161" s="153" t="str">
        <f aca="false">C135</f>
        <v>SILL</v>
      </c>
      <c r="D161" s="154" t="str">
        <f aca="false">VLOOKUP(C161,$C$133:$H$157,2,0)</f>
        <v>B24003</v>
      </c>
      <c r="E161" s="155" t="n">
        <f aca="false">VLOOKUP(C161,$C$133:$H$157,3,0)</f>
        <v>1.603</v>
      </c>
      <c r="F161" s="155" t="n">
        <f aca="false">VLOOKUP(C161,$C$133:$I$157,7,0)</f>
        <v>3440</v>
      </c>
      <c r="G161" s="155" t="n">
        <f aca="false">VLOOKUP(C161,$C$133:$J$157,8,0)</f>
        <v>1</v>
      </c>
      <c r="H161" s="156" t="n">
        <f aca="false">ROUNDUP((F161*G161)/6400,0)</f>
        <v>1</v>
      </c>
      <c r="I161" s="157"/>
      <c r="J161" s="157"/>
    </row>
    <row r="162" s="96" customFormat="true" ht="15" hidden="false" customHeight="true" outlineLevel="1" collapsed="false">
      <c r="A162" s="158" t="n">
        <f aca="false">IF(B162="","",+A161+1)</f>
        <v>4</v>
      </c>
      <c r="B162" s="153" t="str">
        <f aca="false">B136</f>
        <v>ตัวตับธรณี</v>
      </c>
      <c r="C162" s="153" t="str">
        <f aca="false">C136</f>
        <v>DOOR STOP SILL</v>
      </c>
      <c r="D162" s="154" t="str">
        <f aca="false">VLOOKUP(C162,$C$133:$H$157,2,0)</f>
        <v>B24004</v>
      </c>
      <c r="E162" s="155" t="n">
        <f aca="false">VLOOKUP(C162,$C$133:$H$157,3,0)</f>
        <v>0.516</v>
      </c>
      <c r="F162" s="155" t="n">
        <f aca="false">VLOOKUP(C162,$C$133:$I$157,7,0)</f>
        <v>3440</v>
      </c>
      <c r="G162" s="155" t="n">
        <f aca="false">VLOOKUP(C162,$C$133:$J$157,8,0)</f>
        <v>1</v>
      </c>
      <c r="H162" s="156" t="n">
        <f aca="false">ROUNDUP((F162*G162)/6400,0)</f>
        <v>1</v>
      </c>
      <c r="I162" s="157"/>
      <c r="J162" s="157"/>
    </row>
    <row r="163" s="96" customFormat="true" ht="15" hidden="false" customHeight="true" outlineLevel="1" collapsed="false">
      <c r="A163" s="158" t="n">
        <f aca="false">IF(B163="","",+A162+1)</f>
        <v>5</v>
      </c>
      <c r="B163" s="153" t="str">
        <f aca="false">B137</f>
        <v>เฟรมข้าง (ซ้าย)</v>
      </c>
      <c r="C163" s="153" t="str">
        <f aca="false">C137</f>
        <v>JAMB (L)</v>
      </c>
      <c r="D163" s="159" t="str">
        <f aca="false">VLOOKUP(C163,$C$133:$H$157,2,0)</f>
        <v>B24005</v>
      </c>
      <c r="E163" s="155" t="n">
        <f aca="false">VLOOKUP(C163,$C$133:$H$157,3,0)</f>
        <v>0.893</v>
      </c>
      <c r="F163" s="155" t="n">
        <f aca="false">VLOOKUP(C163,$C$133:$I$157,7,0)</f>
        <v>2500</v>
      </c>
      <c r="G163" s="155" t="n">
        <f aca="false">VLOOKUP(C163,$C$133:$J$157,8,0)</f>
        <v>1</v>
      </c>
      <c r="H163" s="160" t="n">
        <f aca="false">ROUNDUP(((F163*G163)+(F164*G164))/6400,0)</f>
        <v>1</v>
      </c>
      <c r="I163" s="161"/>
      <c r="J163" s="161"/>
    </row>
    <row r="164" s="96" customFormat="true" ht="15" hidden="false" customHeight="true" outlineLevel="1" collapsed="false">
      <c r="A164" s="158" t="n">
        <f aca="false">IF(B164="","",+A163+1)</f>
        <v>6</v>
      </c>
      <c r="B164" s="153" t="str">
        <f aca="false">B138</f>
        <v>เฟรมข้าง (ขวา)</v>
      </c>
      <c r="C164" s="153" t="str">
        <f aca="false">C138</f>
        <v>JAMB (R)</v>
      </c>
      <c r="D164" s="159"/>
      <c r="E164" s="155" t="n">
        <f aca="false">VLOOKUP(C164,$C$133:$H$157,3,0)</f>
        <v>0.893</v>
      </c>
      <c r="F164" s="155" t="n">
        <f aca="false">VLOOKUP(C164,$C$133:$I$157,7,0)</f>
        <v>2500</v>
      </c>
      <c r="G164" s="155" t="n">
        <f aca="false">VLOOKUP(C164,$C$133:$J$157,8,0)</f>
        <v>1</v>
      </c>
      <c r="H164" s="160"/>
      <c r="I164" s="161"/>
      <c r="J164" s="161"/>
    </row>
    <row r="165" s="96" customFormat="true" ht="15" hidden="false" customHeight="true" outlineLevel="1" collapsed="false">
      <c r="A165" s="158" t="n">
        <f aca="false">IF(B165="","",+A164+1)</f>
        <v>7</v>
      </c>
      <c r="B165" s="153" t="str">
        <f aca="false">B139</f>
        <v>บังใบข้าง (ซ้าย)</v>
      </c>
      <c r="C165" s="153" t="str">
        <f aca="false">C139</f>
        <v>DOOR STOP JAMB (L)</v>
      </c>
      <c r="D165" s="159" t="str">
        <f aca="false">VLOOKUP(C165,$C$133:$H$157,2,0)</f>
        <v>B24006</v>
      </c>
      <c r="E165" s="155" t="n">
        <f aca="false">VLOOKUP(C165,$C$133:$H$157,3,0)</f>
        <v>0.235</v>
      </c>
      <c r="F165" s="155" t="n">
        <f aca="false">VLOOKUP(C165,$C$133:$I$157,7,0)</f>
        <v>2404</v>
      </c>
      <c r="G165" s="155" t="n">
        <f aca="false">VLOOKUP(C165,$C$133:$J$157,8,0)</f>
        <v>1</v>
      </c>
      <c r="H165" s="160" t="n">
        <f aca="false">ROUNDUP(((F165*G165)+(F166*G166))/6400,0)</f>
        <v>1</v>
      </c>
      <c r="I165" s="157"/>
      <c r="J165" s="157"/>
    </row>
    <row r="166" s="96" customFormat="true" ht="15" hidden="false" customHeight="true" outlineLevel="1" collapsed="false">
      <c r="A166" s="158" t="n">
        <f aca="false">IF(B166="","",+A165+1)</f>
        <v>8</v>
      </c>
      <c r="B166" s="153" t="str">
        <f aca="false">B140</f>
        <v>บังใบข้าง (ขวา)</v>
      </c>
      <c r="C166" s="153" t="str">
        <f aca="false">C140</f>
        <v>DOOR STOP JAMB (R)</v>
      </c>
      <c r="D166" s="159"/>
      <c r="E166" s="155" t="n">
        <f aca="false">VLOOKUP(C166,$C$133:$H$157,3,0)</f>
        <v>0.235</v>
      </c>
      <c r="F166" s="155" t="n">
        <f aca="false">VLOOKUP(C166,$C$133:$I$157,7,0)</f>
        <v>2404</v>
      </c>
      <c r="G166" s="155" t="n">
        <f aca="false">VLOOKUP(C166,$C$133:$J$157,8,0)</f>
        <v>1</v>
      </c>
      <c r="H166" s="160"/>
      <c r="I166" s="162"/>
      <c r="J166" s="162"/>
    </row>
    <row r="167" s="96" customFormat="true" ht="13.5" hidden="false" customHeight="true" outlineLevel="1" collapsed="false">
      <c r="A167" s="158" t="n">
        <f aca="false">IF(B167="","",+A166+1)</f>
        <v>9</v>
      </c>
      <c r="B167" s="153" t="str">
        <f aca="false">B141</f>
        <v>ขวางบน</v>
      </c>
      <c r="C167" s="153" t="str">
        <f aca="false">C141</f>
        <v>SASH (Hor) (T)</v>
      </c>
      <c r="D167" s="159" t="str">
        <f aca="false">VLOOKUP(C167,$C$133:$H$157,2,0)</f>
        <v>B24007</v>
      </c>
      <c r="E167" s="155" t="n">
        <f aca="false">VLOOKUP(C167,$C$133:$H$157,3,0)</f>
        <v>1.106</v>
      </c>
      <c r="F167" s="155" t="n">
        <f aca="false">VLOOKUP(C167,$C$133:$I$157,7,0)</f>
        <v>1141.33333333333</v>
      </c>
      <c r="G167" s="155" t="n">
        <f aca="false">VLOOKUP(C167,$C$133:$J$157,8,0)</f>
        <v>3</v>
      </c>
      <c r="H167" s="160" t="n">
        <f aca="false">ROUNDUP(((F167*G167)+(F168*G168)+(F169*G169)+(F170*G170)+(F171*G171))/6400,0)</f>
        <v>4</v>
      </c>
      <c r="I167" s="162"/>
      <c r="J167" s="162"/>
    </row>
    <row r="168" s="96" customFormat="true" ht="13.5" hidden="false" customHeight="true" outlineLevel="1" collapsed="false">
      <c r="A168" s="158" t="n">
        <f aca="false">IF(B168="","",+A167+1)</f>
        <v>10</v>
      </c>
      <c r="B168" s="153" t="str">
        <f aca="false">B142</f>
        <v>ขวางล่าง</v>
      </c>
      <c r="C168" s="153" t="str">
        <f aca="false">C142</f>
        <v>SASH (Hor) (B)</v>
      </c>
      <c r="D168" s="159"/>
      <c r="E168" s="155" t="n">
        <f aca="false">VLOOKUP(C168,$C$133:$H$157,3,0)</f>
        <v>1.106</v>
      </c>
      <c r="F168" s="155" t="n">
        <f aca="false">VLOOKUP(C168,$C$133:$I$157,7,0)</f>
        <v>1141.33333333333</v>
      </c>
      <c r="G168" s="155" t="n">
        <f aca="false">VLOOKUP(C168,$C$133:$J$157,8,0)</f>
        <v>3</v>
      </c>
      <c r="H168" s="160"/>
      <c r="I168" s="162"/>
      <c r="J168" s="162"/>
    </row>
    <row r="169" s="96" customFormat="true" ht="13.5" hidden="false" customHeight="true" outlineLevel="1" collapsed="false">
      <c r="A169" s="158" t="n">
        <f aca="false">IF(B169="","",+A168+1)</f>
        <v>11</v>
      </c>
      <c r="B169" s="153" t="str">
        <f aca="false">B143</f>
        <v>เสา</v>
      </c>
      <c r="C169" s="153" t="str">
        <f aca="false">C143</f>
        <v>SASH (Ver) </v>
      </c>
      <c r="D169" s="159"/>
      <c r="E169" s="155" t="n">
        <f aca="false">VLOOKUP(C169,$C$133:$H$157,3,0)</f>
        <v>1.106</v>
      </c>
      <c r="F169" s="155" t="n">
        <f aca="false">VLOOKUP(C169,$C$133:$I$157,7,0)</f>
        <v>2408</v>
      </c>
      <c r="G169" s="155" t="n">
        <f aca="false">VLOOKUP(C169,$C$133:$J$157,8,0)</f>
        <v>4</v>
      </c>
      <c r="H169" s="160"/>
      <c r="I169" s="162"/>
      <c r="J169" s="162"/>
    </row>
    <row r="170" s="96" customFormat="true" ht="13.5" hidden="false" customHeight="true" outlineLevel="1" collapsed="false">
      <c r="A170" s="158" t="n">
        <f aca="false">IF(B170="","",+A169+1)</f>
        <v>12</v>
      </c>
      <c r="B170" s="153" t="str">
        <f aca="false">B144</f>
        <v>เสากุญแจ</v>
      </c>
      <c r="C170" s="153" t="str">
        <f aca="false">C144</f>
        <v>SASH (Ver) LOCK </v>
      </c>
      <c r="D170" s="159"/>
      <c r="E170" s="155" t="n">
        <f aca="false">VLOOKUP(C170,$C$133:$H$157,3,0)</f>
        <v>1.106</v>
      </c>
      <c r="F170" s="155" t="n">
        <f aca="false">VLOOKUP(C170,$C$133:$I$157,7,0)</f>
        <v>2408</v>
      </c>
      <c r="G170" s="155" t="n">
        <f aca="false">VLOOKUP(C170,$C$133:$J$157,8,0)</f>
        <v>1</v>
      </c>
      <c r="H170" s="160"/>
      <c r="I170" s="162"/>
      <c r="J170" s="162"/>
    </row>
    <row r="171" s="96" customFormat="true" ht="13.5" hidden="false" customHeight="true" outlineLevel="1" collapsed="false">
      <c r="A171" s="158" t="n">
        <f aca="false">IF(B171="","",+A170+1)</f>
        <v>13</v>
      </c>
      <c r="B171" s="153" t="str">
        <f aca="false">B145</f>
        <v>เสากุญแจมือจับ</v>
      </c>
      <c r="C171" s="153" t="str">
        <f aca="false">C145</f>
        <v>SASH (Ver) LOCK HANDLE</v>
      </c>
      <c r="D171" s="159"/>
      <c r="E171" s="155" t="n">
        <f aca="false">VLOOKUP(C171,$C$133:$H$157,3,0)</f>
        <v>1.106</v>
      </c>
      <c r="F171" s="155" t="n">
        <f aca="false">VLOOKUP(C171,$C$133:$I$157,7,0)</f>
        <v>2408</v>
      </c>
      <c r="G171" s="155" t="n">
        <f aca="false">VLOOKUP(C171,$C$133:$J$157,8,0)</f>
        <v>1</v>
      </c>
      <c r="H171" s="160"/>
      <c r="I171" s="162"/>
      <c r="J171" s="162"/>
    </row>
    <row r="172" s="96" customFormat="true" ht="13.5" hidden="false" customHeight="true" outlineLevel="1" collapsed="false">
      <c r="A172" s="158" t="n">
        <f aca="false">IF(B172="","",+A171+1)</f>
        <v>14</v>
      </c>
      <c r="B172" s="153" t="str">
        <f aca="false">B146</f>
        <v>5-6mm คิ้วตบกระจกแนวนอน</v>
      </c>
      <c r="C172" s="153" t="str">
        <f aca="false">C146</f>
        <v>5-6mm GLAZING BEAD HORIZONTAL</v>
      </c>
      <c r="D172" s="159" t="str">
        <f aca="false">VLOOKUP(C172,$C$133:$H$157,2,0)</f>
        <v>B24008</v>
      </c>
      <c r="E172" s="155" t="n">
        <f aca="false">VLOOKUP(C172,$C$133:$H$157,3,0)</f>
        <v>0.231</v>
      </c>
      <c r="F172" s="155" t="n">
        <f aca="false">VLOOKUP(C172,$C$133:$I$157,7,0)</f>
        <v>1030.5</v>
      </c>
      <c r="G172" s="155" t="n">
        <f aca="false">VLOOKUP(C172,$C$133:$J$157,8,0)</f>
        <v>6</v>
      </c>
      <c r="H172" s="160" t="n">
        <f aca="false">ROUNDUP(((F172*G172)+(F173*G173))/6400,0)</f>
        <v>4</v>
      </c>
      <c r="I172" s="157"/>
      <c r="J172" s="157"/>
    </row>
    <row r="173" s="96" customFormat="true" ht="13.5" hidden="false" customHeight="true" outlineLevel="1" collapsed="false">
      <c r="A173" s="158" t="n">
        <f aca="false">IF(B173="","",+A172+1)</f>
        <v>15</v>
      </c>
      <c r="B173" s="153" t="str">
        <f aca="false">B147</f>
        <v>5-6mm คิ้วตบกระจกแนวตั้ง</v>
      </c>
      <c r="C173" s="153" t="str">
        <f aca="false">C147</f>
        <v>5-6mm GLAZING BEAD VERTICAL</v>
      </c>
      <c r="D173" s="159"/>
      <c r="E173" s="155" t="n">
        <f aca="false">VLOOKUP(C173,$C$133:$H$157,3,0)</f>
        <v>0.231</v>
      </c>
      <c r="F173" s="155" t="n">
        <f aca="false">VLOOKUP(C173,$C$133:$I$157,7,0)</f>
        <v>2258</v>
      </c>
      <c r="G173" s="155" t="n">
        <f aca="false">VLOOKUP(C173,$C$133:$J$157,8,0)</f>
        <v>6</v>
      </c>
      <c r="H173" s="160"/>
      <c r="I173" s="157"/>
      <c r="J173" s="196"/>
    </row>
    <row r="174" s="96" customFormat="true" ht="13.5" hidden="false" customHeight="true" outlineLevel="1" collapsed="false">
      <c r="A174" s="158" t="n">
        <f aca="false">IF(B174="","",+A173+1)</f>
        <v>16</v>
      </c>
      <c r="B174" s="153" t="str">
        <f aca="false">B148</f>
        <v>บังใบ</v>
      </c>
      <c r="C174" s="153" t="str">
        <f aca="false">C148</f>
        <v>SASH STOP</v>
      </c>
      <c r="D174" s="163" t="str">
        <f aca="false">VLOOKUP(C174,$C$133:$H$157,2,0)</f>
        <v>B24009</v>
      </c>
      <c r="E174" s="155" t="n">
        <f aca="false">VLOOKUP(C174,$C$133:$H$157,3,0)</f>
        <v>0</v>
      </c>
      <c r="F174" s="155" t="n">
        <f aca="false">VLOOKUP(C174,$C$133:$I$157,7,0)</f>
        <v>2408</v>
      </c>
      <c r="G174" s="155" t="n">
        <f aca="false">VLOOKUP(C174,$C$133:$J$157,8,0)</f>
        <v>1</v>
      </c>
      <c r="H174" s="160" t="n">
        <f aca="false">ROUNDUP(((F174*G174)+(F175*G175))/6400,0)</f>
        <v>1</v>
      </c>
      <c r="I174" s="157"/>
      <c r="J174" s="196"/>
    </row>
    <row r="175" s="202" customFormat="true" ht="15" hidden="false" customHeight="true" outlineLevel="1" collapsed="false">
      <c r="A175" s="158" t="n">
        <f aca="false">IF(B175="","",+A174+1)</f>
        <v>17</v>
      </c>
      <c r="B175" s="153" t="str">
        <f aca="false">B149</f>
        <v>บังใบ</v>
      </c>
      <c r="C175" s="153" t="str">
        <f aca="false">C149</f>
        <v>SASH STOP </v>
      </c>
      <c r="D175" s="163"/>
      <c r="E175" s="155" t="n">
        <f aca="false">VLOOKUP(C175,$C$133:$H$157,3,0)</f>
        <v>0</v>
      </c>
      <c r="F175" s="155" t="n">
        <f aca="false">VLOOKUP(C175,$C$133:$I$157,7,0)</f>
        <v>2408</v>
      </c>
      <c r="G175" s="155" t="n">
        <f aca="false">VLOOKUP(C175,$C$133:$J$157,8,0)</f>
        <v>1</v>
      </c>
      <c r="H175" s="160"/>
      <c r="I175" s="157"/>
      <c r="J175" s="157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Y175" s="96"/>
      <c r="Z175" s="96"/>
      <c r="AA175" s="96"/>
      <c r="AB175" s="96"/>
      <c r="AC175" s="96"/>
      <c r="AD175" s="96"/>
      <c r="AE175" s="96"/>
      <c r="AF175" s="96"/>
      <c r="AG175" s="96"/>
      <c r="AH175" s="96"/>
      <c r="AI175" s="96"/>
      <c r="AJ175" s="96"/>
    </row>
    <row r="176" s="96" customFormat="true" ht="24.75" hidden="false" customHeight="true" outlineLevel="0" collapsed="false">
      <c r="A176" s="113" t="s">
        <v>396</v>
      </c>
      <c r="B176" s="113"/>
      <c r="C176" s="113"/>
      <c r="D176" s="113"/>
      <c r="E176" s="113"/>
      <c r="F176" s="113"/>
      <c r="G176" s="113"/>
      <c r="H176" s="113"/>
      <c r="I176" s="113"/>
      <c r="J176" s="113"/>
    </row>
    <row r="177" s="96" customFormat="true" ht="34.5" hidden="false" customHeight="true" outlineLevel="0" collapsed="false">
      <c r="A177" s="114" t="s">
        <v>319</v>
      </c>
      <c r="B177" s="115" t="s">
        <v>320</v>
      </c>
      <c r="C177" s="115" t="s">
        <v>168</v>
      </c>
      <c r="D177" s="115" t="s">
        <v>397</v>
      </c>
      <c r="E177" s="115" t="s">
        <v>321</v>
      </c>
      <c r="F177" s="116" t="s">
        <v>398</v>
      </c>
      <c r="G177" s="115" t="s">
        <v>399</v>
      </c>
      <c r="H177" s="116" t="s">
        <v>400</v>
      </c>
      <c r="I177" s="116" t="s">
        <v>401</v>
      </c>
      <c r="J177" s="117" t="s">
        <v>402</v>
      </c>
      <c r="N177" s="107" t="s">
        <v>288</v>
      </c>
      <c r="O177" s="165" t="s">
        <v>320</v>
      </c>
      <c r="P177" s="165" t="s">
        <v>168</v>
      </c>
      <c r="Q177" s="165" t="s">
        <v>397</v>
      </c>
      <c r="R177" s="165" t="s">
        <v>321</v>
      </c>
      <c r="S177" s="165" t="s">
        <v>398</v>
      </c>
      <c r="T177" s="165" t="s">
        <v>399</v>
      </c>
      <c r="U177" s="165" t="s">
        <v>400</v>
      </c>
      <c r="V177" s="165" t="s">
        <v>401</v>
      </c>
      <c r="W177" s="165" t="s">
        <v>402</v>
      </c>
    </row>
    <row r="178" s="96" customFormat="true" ht="18" hidden="false" customHeight="true" outlineLevel="0" collapsed="false">
      <c r="A178" s="166" t="n">
        <f aca="false">IF(B178="","",1)</f>
        <v>1</v>
      </c>
      <c r="B178" s="131" t="s">
        <v>403</v>
      </c>
      <c r="C178" s="131" t="s">
        <v>404</v>
      </c>
      <c r="D178" s="132" t="s">
        <v>276</v>
      </c>
      <c r="E178" s="130"/>
      <c r="F178" s="130" t="s">
        <v>276</v>
      </c>
      <c r="G178" s="130" t="s">
        <v>405</v>
      </c>
      <c r="H178" s="130" t="n">
        <v>1</v>
      </c>
      <c r="I178" s="133"/>
      <c r="J178" s="134" t="n">
        <f aca="false">$J$120*H178</f>
        <v>1</v>
      </c>
      <c r="N178" s="107" t="s">
        <v>406</v>
      </c>
      <c r="O178" s="55" t="s">
        <v>407</v>
      </c>
      <c r="P178" s="62" t="s">
        <v>408</v>
      </c>
      <c r="Q178" s="55" t="s">
        <v>227</v>
      </c>
      <c r="R178" s="158"/>
      <c r="S178" s="158" t="s">
        <v>227</v>
      </c>
      <c r="T178" s="158" t="s">
        <v>409</v>
      </c>
      <c r="U178" s="168" t="n">
        <f aca="false">((($I$141*$G$141)+($I$142*$G$142)+($I$143*$G$143)+($I$144*$G$144)+($I$145*$G$145))/1000)*$J$120</f>
        <v>21.296</v>
      </c>
      <c r="V178" s="168" t="n">
        <v>100</v>
      </c>
      <c r="W178" s="169" t="n">
        <f aca="false">ROUNDUP((U178)/100,0)</f>
        <v>1</v>
      </c>
    </row>
    <row r="179" s="96" customFormat="true" ht="18" hidden="false" customHeight="true" outlineLevel="0" collapsed="false">
      <c r="A179" s="170" t="n">
        <f aca="false">IF(B179="","",+A178+1)</f>
        <v>2</v>
      </c>
      <c r="B179" s="131" t="s">
        <v>410</v>
      </c>
      <c r="C179" s="131" t="s">
        <v>411</v>
      </c>
      <c r="D179" s="132" t="s">
        <v>267</v>
      </c>
      <c r="E179" s="130"/>
      <c r="F179" s="130" t="s">
        <v>267</v>
      </c>
      <c r="G179" s="130" t="s">
        <v>405</v>
      </c>
      <c r="H179" s="130" t="n">
        <v>6</v>
      </c>
      <c r="I179" s="133"/>
      <c r="J179" s="134" t="n">
        <f aca="false">$J$120*H179</f>
        <v>6</v>
      </c>
      <c r="N179" s="107" t="s">
        <v>412</v>
      </c>
      <c r="O179" s="55" t="s">
        <v>413</v>
      </c>
      <c r="P179" s="62" t="s">
        <v>414</v>
      </c>
      <c r="Q179" s="55" t="s">
        <v>234</v>
      </c>
      <c r="R179" s="158"/>
      <c r="S179" s="158" t="s">
        <v>234</v>
      </c>
      <c r="T179" s="158" t="s">
        <v>409</v>
      </c>
      <c r="U179" s="168" t="n">
        <f aca="false">((($I$141*$G$141)+($I$142*$G$142)+($I$143*$G$143)+($I$144*$G$144)+($I$145*$G$145))/1000)*$J$120</f>
        <v>21.296</v>
      </c>
      <c r="V179" s="168" t="n">
        <v>100</v>
      </c>
      <c r="W179" s="169" t="n">
        <f aca="false">ROUNDUP((U179)/100,0)</f>
        <v>1</v>
      </c>
    </row>
    <row r="180" s="96" customFormat="true" ht="18" hidden="false" customHeight="true" outlineLevel="0" collapsed="false">
      <c r="A180" s="170" t="n">
        <f aca="false">IF(B180="","",+A179+1)</f>
        <v>3</v>
      </c>
      <c r="B180" s="131" t="s">
        <v>415</v>
      </c>
      <c r="C180" s="131" t="s">
        <v>416</v>
      </c>
      <c r="D180" s="132" t="s">
        <v>222</v>
      </c>
      <c r="E180" s="130"/>
      <c r="F180" s="130" t="s">
        <v>222</v>
      </c>
      <c r="G180" s="130" t="s">
        <v>405</v>
      </c>
      <c r="H180" s="130" t="n">
        <v>2</v>
      </c>
      <c r="I180" s="133"/>
      <c r="J180" s="134" t="n">
        <f aca="false">$J$120*H180</f>
        <v>2</v>
      </c>
      <c r="N180" s="107" t="s">
        <v>417</v>
      </c>
      <c r="O180" s="62" t="s">
        <v>418</v>
      </c>
      <c r="P180" s="62" t="s">
        <v>419</v>
      </c>
      <c r="Q180" s="55" t="s">
        <v>236</v>
      </c>
      <c r="R180" s="158"/>
      <c r="S180" s="158" t="s">
        <v>236</v>
      </c>
      <c r="T180" s="158" t="s">
        <v>409</v>
      </c>
      <c r="U180" s="168" t="n">
        <f aca="false">((($I$141*$G$141)+($I$142*$G$142)+($I$143*$G$143)+($I$144*$G$144)+($I$145*$G$145))/1000)*$J$120</f>
        <v>21.296</v>
      </c>
      <c r="V180" s="168" t="n">
        <v>100</v>
      </c>
      <c r="W180" s="169" t="n">
        <f aca="false">ROUNDUP((U180)/100,0)</f>
        <v>1</v>
      </c>
    </row>
    <row r="181" s="96" customFormat="true" ht="18" hidden="false" customHeight="true" outlineLevel="0" collapsed="false">
      <c r="A181" s="170" t="n">
        <f aca="false">IF(B181="","",+A180+1)</f>
        <v>4</v>
      </c>
      <c r="B181" s="131" t="s">
        <v>420</v>
      </c>
      <c r="C181" s="131" t="s">
        <v>421</v>
      </c>
      <c r="D181" s="132" t="s">
        <v>225</v>
      </c>
      <c r="E181" s="130"/>
      <c r="F181" s="130" t="s">
        <v>225</v>
      </c>
      <c r="G181" s="130" t="s">
        <v>405</v>
      </c>
      <c r="H181" s="130" t="n">
        <v>2</v>
      </c>
      <c r="I181" s="133"/>
      <c r="J181" s="134" t="n">
        <f aca="false">$J$120*H181</f>
        <v>2</v>
      </c>
      <c r="N181" s="107" t="s">
        <v>422</v>
      </c>
      <c r="O181" s="62" t="s">
        <v>423</v>
      </c>
      <c r="P181" s="62" t="s">
        <v>424</v>
      </c>
      <c r="Q181" s="55" t="s">
        <v>238</v>
      </c>
      <c r="R181" s="158"/>
      <c r="S181" s="158" t="s">
        <v>238</v>
      </c>
      <c r="T181" s="158" t="s">
        <v>409</v>
      </c>
      <c r="U181" s="168" t="n">
        <f aca="false">((($I$141*$G$141)+($I$142*$G$142)+($I$143*$G$143)+($I$144*$G$144)+($I$145*$G$145))/1000)*$J$120</f>
        <v>21.296</v>
      </c>
      <c r="V181" s="168" t="n">
        <v>100</v>
      </c>
      <c r="W181" s="169" t="n">
        <f aca="false">ROUNDUP((U181)/100,0)</f>
        <v>1</v>
      </c>
    </row>
    <row r="182" s="96" customFormat="true" ht="18" hidden="false" customHeight="true" outlineLevel="0" collapsed="false">
      <c r="A182" s="170" t="n">
        <f aca="false">IF(B182="","",+A181+1)</f>
        <v>5</v>
      </c>
      <c r="B182" s="131" t="s">
        <v>425</v>
      </c>
      <c r="C182" s="131" t="s">
        <v>426</v>
      </c>
      <c r="D182" s="132" t="n">
        <v>9</v>
      </c>
      <c r="E182" s="130"/>
      <c r="F182" s="130" t="n">
        <v>9</v>
      </c>
      <c r="G182" s="130" t="s">
        <v>405</v>
      </c>
      <c r="H182" s="130" t="n">
        <v>24</v>
      </c>
      <c r="I182" s="133"/>
      <c r="J182" s="134" t="n">
        <f aca="false">$J$120*H182</f>
        <v>24</v>
      </c>
      <c r="N182" s="107" t="s">
        <v>427</v>
      </c>
      <c r="O182" s="62" t="s">
        <v>428</v>
      </c>
      <c r="P182" s="62" t="s">
        <v>429</v>
      </c>
      <c r="Q182" s="55" t="s">
        <v>240</v>
      </c>
      <c r="R182" s="158"/>
      <c r="S182" s="158" t="s">
        <v>240</v>
      </c>
      <c r="T182" s="158" t="s">
        <v>409</v>
      </c>
      <c r="U182" s="168" t="n">
        <f aca="false">((($I$141*$G$141)+($I$142*$G$142)+($I$143*$G$143)+($I$144*$G$144)+($I$145*$G$145))/1000)*$J$120</f>
        <v>21.296</v>
      </c>
      <c r="V182" s="168" t="n">
        <v>100</v>
      </c>
      <c r="W182" s="169" t="n">
        <f aca="false">ROUNDUP((U182)/100,0)</f>
        <v>1</v>
      </c>
    </row>
    <row r="183" s="96" customFormat="true" ht="18" hidden="false" customHeight="true" outlineLevel="0" collapsed="false">
      <c r="A183" s="170" t="n">
        <f aca="false">IF(B183="","",+A182+1)</f>
        <v>6</v>
      </c>
      <c r="B183" s="131" t="s">
        <v>430</v>
      </c>
      <c r="C183" s="131" t="s">
        <v>431</v>
      </c>
      <c r="D183" s="132" t="n">
        <v>9</v>
      </c>
      <c r="E183" s="130"/>
      <c r="F183" s="130" t="n">
        <v>9</v>
      </c>
      <c r="G183" s="130" t="s">
        <v>405</v>
      </c>
      <c r="H183" s="130" t="n">
        <v>48</v>
      </c>
      <c r="I183" s="133"/>
      <c r="J183" s="134" t="n">
        <f aca="false">$J$120*H183</f>
        <v>48</v>
      </c>
    </row>
    <row r="184" s="96" customFormat="true" ht="18" hidden="false" customHeight="true" outlineLevel="0" collapsed="false">
      <c r="A184" s="170" t="n">
        <f aca="false">IF(B184="","",+A183+1)</f>
        <v>7</v>
      </c>
      <c r="B184" s="131" t="s">
        <v>432</v>
      </c>
      <c r="C184" s="131" t="s">
        <v>433</v>
      </c>
      <c r="D184" s="132" t="s">
        <v>6</v>
      </c>
      <c r="E184" s="130"/>
      <c r="F184" s="130" t="s">
        <v>6</v>
      </c>
      <c r="G184" s="130" t="s">
        <v>434</v>
      </c>
      <c r="H184" s="130" t="n">
        <v>1</v>
      </c>
      <c r="I184" s="133"/>
      <c r="J184" s="134" t="n">
        <f aca="false">$J$120*H184</f>
        <v>1</v>
      </c>
    </row>
    <row r="185" s="96" customFormat="true" ht="18" hidden="false" customHeight="true" outlineLevel="0" collapsed="false">
      <c r="A185" s="170" t="n">
        <f aca="false">IF(B185="","",+A184+1)</f>
        <v>8</v>
      </c>
      <c r="B185" s="131" t="s">
        <v>512</v>
      </c>
      <c r="C185" s="131" t="s">
        <v>513</v>
      </c>
      <c r="D185" s="132" t="s">
        <v>7</v>
      </c>
      <c r="E185" s="130"/>
      <c r="F185" s="130" t="s">
        <v>7</v>
      </c>
      <c r="G185" s="130" t="s">
        <v>434</v>
      </c>
      <c r="H185" s="130" t="n">
        <v>1</v>
      </c>
      <c r="I185" s="133"/>
      <c r="J185" s="134" t="n">
        <f aca="false">$J$120*H185</f>
        <v>1</v>
      </c>
    </row>
    <row r="186" s="96" customFormat="true" ht="18" hidden="false" customHeight="true" outlineLevel="0" collapsed="false">
      <c r="A186" s="170" t="n">
        <f aca="false">IF(B186="","",+A185+1)</f>
        <v>9</v>
      </c>
      <c r="B186" s="131" t="s">
        <v>435</v>
      </c>
      <c r="C186" s="131" t="s">
        <v>436</v>
      </c>
      <c r="D186" s="132" t="s">
        <v>9</v>
      </c>
      <c r="E186" s="130"/>
      <c r="F186" s="130" t="s">
        <v>9</v>
      </c>
      <c r="G186" s="130" t="s">
        <v>434</v>
      </c>
      <c r="H186" s="130" t="n">
        <v>1</v>
      </c>
      <c r="I186" s="133"/>
      <c r="J186" s="134" t="n">
        <f aca="false">$J$120*H186</f>
        <v>1</v>
      </c>
    </row>
    <row r="187" s="96" customFormat="true" ht="18" hidden="false" customHeight="true" outlineLevel="0" collapsed="false">
      <c r="A187" s="170" t="n">
        <f aca="false">IF(B187="","",+A186+1)</f>
        <v>10</v>
      </c>
      <c r="B187" s="131" t="s">
        <v>437</v>
      </c>
      <c r="C187" s="131" t="s">
        <v>438</v>
      </c>
      <c r="D187" s="132" t="s">
        <v>4</v>
      </c>
      <c r="E187" s="130"/>
      <c r="F187" s="130" t="s">
        <v>4</v>
      </c>
      <c r="G187" s="130" t="s">
        <v>434</v>
      </c>
      <c r="H187" s="130" t="n">
        <v>1</v>
      </c>
      <c r="I187" s="133"/>
      <c r="J187" s="134" t="n">
        <f aca="false">$J$120*H187</f>
        <v>1</v>
      </c>
      <c r="Q187" s="172"/>
      <c r="R187" s="172"/>
      <c r="S187" s="172"/>
      <c r="T187" s="97"/>
      <c r="U187" s="97"/>
      <c r="V187" s="97"/>
    </row>
    <row r="188" s="96" customFormat="true" ht="18" hidden="false" customHeight="true" outlineLevel="0" collapsed="false">
      <c r="A188" s="170" t="n">
        <f aca="false">IF(B188="","",+A187+1)</f>
        <v>11</v>
      </c>
      <c r="B188" s="131" t="s">
        <v>439</v>
      </c>
      <c r="C188" s="131" t="s">
        <v>440</v>
      </c>
      <c r="D188" s="132" t="s">
        <v>12</v>
      </c>
      <c r="E188" s="130"/>
      <c r="F188" s="130" t="s">
        <v>12</v>
      </c>
      <c r="G188" s="130" t="s">
        <v>434</v>
      </c>
      <c r="H188" s="130" t="n">
        <v>1</v>
      </c>
      <c r="I188" s="133"/>
      <c r="J188" s="134" t="n">
        <f aca="false">$J$120*H188</f>
        <v>1</v>
      </c>
      <c r="N188" s="107" t="s">
        <v>289</v>
      </c>
      <c r="O188" s="165" t="s">
        <v>320</v>
      </c>
      <c r="P188" s="165" t="s">
        <v>168</v>
      </c>
      <c r="Q188" s="165" t="s">
        <v>397</v>
      </c>
      <c r="R188" s="165" t="s">
        <v>321</v>
      </c>
      <c r="S188" s="165" t="s">
        <v>398</v>
      </c>
      <c r="T188" s="165" t="s">
        <v>399</v>
      </c>
      <c r="U188" s="165" t="s">
        <v>400</v>
      </c>
      <c r="V188" s="165" t="s">
        <v>401</v>
      </c>
      <c r="W188" s="165" t="s">
        <v>402</v>
      </c>
    </row>
    <row r="189" s="96" customFormat="true" ht="18" hidden="false" customHeight="true" outlineLevel="0" collapsed="false">
      <c r="A189" s="170" t="n">
        <f aca="false">IF(B189="","",+A188+1)</f>
        <v>12</v>
      </c>
      <c r="B189" s="131" t="s">
        <v>540</v>
      </c>
      <c r="C189" s="131" t="s">
        <v>541</v>
      </c>
      <c r="D189" s="132" t="s">
        <v>542</v>
      </c>
      <c r="E189" s="130"/>
      <c r="F189" s="130" t="s">
        <v>542</v>
      </c>
      <c r="G189" s="130" t="s">
        <v>434</v>
      </c>
      <c r="H189" s="130" t="n">
        <v>1</v>
      </c>
      <c r="I189" s="142"/>
      <c r="J189" s="134" t="n">
        <f aca="false">$J$120*H189</f>
        <v>1</v>
      </c>
      <c r="N189" s="107" t="s">
        <v>445</v>
      </c>
      <c r="O189" s="62" t="s">
        <v>446</v>
      </c>
      <c r="P189" s="62" t="s">
        <v>447</v>
      </c>
      <c r="Q189" s="55" t="s">
        <v>230</v>
      </c>
      <c r="R189" s="158"/>
      <c r="S189" s="158" t="s">
        <v>230</v>
      </c>
      <c r="T189" s="158" t="s">
        <v>409</v>
      </c>
      <c r="U189" s="168" t="n">
        <f aca="false">((($I$134*$G$134)+($I$136*$G$136)+($I$139*$G$139))/1000)*$J$120</f>
        <v>9.258</v>
      </c>
      <c r="V189" s="168" t="n">
        <v>300</v>
      </c>
      <c r="W189" s="169" t="n">
        <f aca="false">ROUNDUP((U189)/V189,0)</f>
        <v>1</v>
      </c>
    </row>
    <row r="190" s="96" customFormat="true" ht="18" hidden="false" customHeight="true" outlineLevel="0" collapsed="false">
      <c r="A190" s="170" t="n">
        <f aca="false">IF(B190="","",+A189+1)</f>
        <v>13</v>
      </c>
      <c r="B190" s="131" t="s">
        <v>441</v>
      </c>
      <c r="C190" s="131" t="s">
        <v>442</v>
      </c>
      <c r="D190" s="132" t="s">
        <v>274</v>
      </c>
      <c r="E190" s="130"/>
      <c r="F190" s="130" t="s">
        <v>274</v>
      </c>
      <c r="G190" s="130" t="s">
        <v>405</v>
      </c>
      <c r="H190" s="130" t="n">
        <v>2</v>
      </c>
      <c r="I190" s="142"/>
      <c r="J190" s="134" t="n">
        <f aca="false">$J$120*H190</f>
        <v>2</v>
      </c>
      <c r="N190" s="107" t="s">
        <v>448</v>
      </c>
      <c r="O190" s="62" t="s">
        <v>449</v>
      </c>
      <c r="P190" s="62" t="s">
        <v>450</v>
      </c>
      <c r="Q190" s="55" t="s">
        <v>451</v>
      </c>
      <c r="R190" s="158"/>
      <c r="S190" s="158" t="s">
        <v>451</v>
      </c>
      <c r="T190" s="158" t="s">
        <v>409</v>
      </c>
      <c r="U190" s="168" t="n">
        <f aca="false">((($I$134*$G$134)+($I$136*$G$136)+($I$139*$G$139))/1000)*$J$120</f>
        <v>9.258</v>
      </c>
      <c r="V190" s="168" t="n">
        <v>100</v>
      </c>
      <c r="W190" s="169" t="n">
        <f aca="false">ROUNDUP((U190)/V190,0)</f>
        <v>1</v>
      </c>
    </row>
    <row r="191" s="96" customFormat="true" ht="18" hidden="false" customHeight="true" outlineLevel="0" collapsed="false">
      <c r="A191" s="170" t="n">
        <f aca="false">IF(B191="","",+A190+1)</f>
        <v>14</v>
      </c>
      <c r="B191" s="131" t="s">
        <v>443</v>
      </c>
      <c r="C191" s="131" t="s">
        <v>444</v>
      </c>
      <c r="D191" s="132" t="s">
        <v>272</v>
      </c>
      <c r="E191" s="130"/>
      <c r="F191" s="130" t="s">
        <v>272</v>
      </c>
      <c r="G191" s="130" t="s">
        <v>405</v>
      </c>
      <c r="H191" s="130" t="n">
        <v>1</v>
      </c>
      <c r="I191" s="142"/>
      <c r="J191" s="134" t="n">
        <f aca="false">$J$120*H191</f>
        <v>1</v>
      </c>
      <c r="N191" s="107" t="s">
        <v>445</v>
      </c>
      <c r="O191" s="62" t="s">
        <v>452</v>
      </c>
      <c r="P191" s="62" t="s">
        <v>453</v>
      </c>
      <c r="Q191" s="55" t="s">
        <v>232</v>
      </c>
      <c r="R191" s="158"/>
      <c r="S191" s="158" t="s">
        <v>232</v>
      </c>
      <c r="T191" s="158" t="s">
        <v>409</v>
      </c>
      <c r="U191" s="168" t="n">
        <f aca="false">((($I$143*$G$143*2)+($I$144*$G$144*2)+($I$141*$G$141*2))/1000)*$J$120</f>
        <v>30.928</v>
      </c>
      <c r="V191" s="168" t="n">
        <v>350</v>
      </c>
      <c r="W191" s="169" t="n">
        <f aca="false">ROUNDUP((U191)/V191,0)</f>
        <v>1</v>
      </c>
    </row>
    <row r="192" s="96" customFormat="true" ht="18" hidden="false" customHeight="true" outlineLevel="0" collapsed="false">
      <c r="A192" s="170" t="n">
        <f aca="false">IF(B192="","",+A191+1)</f>
        <v>15</v>
      </c>
      <c r="B192" s="132" t="str">
        <f aca="false">IF($D$129="Standard",$O$189,IF($D$129="Soumdproof",$O$190,))</f>
        <v>ยางเฟรมกันน้ำ (ธรรมดา)</v>
      </c>
      <c r="C192" s="132" t="str">
        <f aca="false">IF($D$129="Standard",$P$189,IF($D$129="Soumdproof",$P$190,))</f>
        <v>FRAME SEAL (Standard)</v>
      </c>
      <c r="D192" s="132" t="str">
        <f aca="false">IF($D$129="Standard",$Q$189,IF($D$129="Soumdproof",$Q$190,))</f>
        <v>02-026</v>
      </c>
      <c r="E192" s="130" t="n">
        <f aca="false">IF($D$129="Standard",R190,IF($D$129="Soumdproof",R191,))</f>
        <v>0</v>
      </c>
      <c r="F192" s="130" t="str">
        <f aca="false">IF($D$129="Standard",$S$189,IF($D$129="Soumdproof",$S$190,))</f>
        <v>02-026</v>
      </c>
      <c r="G192" s="130" t="str">
        <f aca="false">IF($D$129="Standard",$T$189,IF($D$129="Soumdproof",$T$190,))</f>
        <v>M</v>
      </c>
      <c r="H192" s="173" t="n">
        <f aca="false">IF($D$129="Standard",$U$189,IF($D$129="Soumdproof",$U$190,))</f>
        <v>9.258</v>
      </c>
      <c r="I192" s="174" t="n">
        <f aca="false">IF($D$129="Standard",$V$189,IF($D$129="Soumdproof",$V$190,))</f>
        <v>300</v>
      </c>
      <c r="J192" s="177" t="n">
        <f aca="false">ROUNDUP((H192)/100,0)</f>
        <v>1</v>
      </c>
      <c r="N192" s="107" t="s">
        <v>448</v>
      </c>
      <c r="O192" s="62" t="s">
        <v>454</v>
      </c>
      <c r="P192" s="62" t="s">
        <v>455</v>
      </c>
      <c r="Q192" s="55" t="s">
        <v>456</v>
      </c>
      <c r="R192" s="158"/>
      <c r="S192" s="158" t="s">
        <v>456</v>
      </c>
      <c r="T192" s="158" t="s">
        <v>409</v>
      </c>
      <c r="U192" s="168" t="n">
        <f aca="false">((($I$143*$G$143*2)+($I$144*$G$144*2)+($I$141*$G$141*2))/1000)*$J$120</f>
        <v>30.928</v>
      </c>
      <c r="V192" s="168" t="n">
        <v>100</v>
      </c>
      <c r="W192" s="169" t="n">
        <f aca="false">ROUNDUP((U192)/V192,0)</f>
        <v>1</v>
      </c>
    </row>
    <row r="193" s="96" customFormat="true" ht="18" hidden="false" customHeight="true" outlineLevel="0" collapsed="false">
      <c r="A193" s="170" t="n">
        <f aca="false">IF(B193="","",+A192+1)</f>
        <v>16</v>
      </c>
      <c r="B193" s="132" t="str">
        <f aca="false">IF($D$129="Standard",$O$191,IF($D$129="Soumdproof",$O$192,))</f>
        <v>ยางแซชกันน้ำ (ธรรมดา)</v>
      </c>
      <c r="C193" s="132" t="str">
        <f aca="false">IF($D$129="Standard",$P$191,IF($D$129="Soumdproof",$P$192,))</f>
        <v>SASH SEAL FOAM (Standard)</v>
      </c>
      <c r="D193" s="132" t="str">
        <f aca="false">IF($D$129="Standard",$Q$191,IF($D$129="Soumdproof",$Q$192,))</f>
        <v>02-031</v>
      </c>
      <c r="E193" s="130" t="n">
        <f aca="false">IF($D$129="Standard",R192,IF($D$129="Soumdproof",R193,))</f>
        <v>0</v>
      </c>
      <c r="F193" s="130" t="str">
        <f aca="false">IF($D$129="Standard",$S$191,IF($D$129="Soumdproof",$S$192,))</f>
        <v>02-031</v>
      </c>
      <c r="G193" s="130" t="str">
        <f aca="false">IF($D$129="Standard",$T$191,IF($D$129="Soumdproof",$T$192,))</f>
        <v>M</v>
      </c>
      <c r="H193" s="173" t="n">
        <f aca="false">IF($D$129="Standard",$U$191,IF($D$129="Soumdproof",$U$192,))</f>
        <v>30.928</v>
      </c>
      <c r="I193" s="174" t="n">
        <f aca="false">IF($D$129="Standard",$V$191,IF($D$129="Soumdproof",$V$192,))</f>
        <v>350</v>
      </c>
      <c r="J193" s="177" t="n">
        <f aca="false">ROUNDUP((H193)/100,0)</f>
        <v>1</v>
      </c>
    </row>
    <row r="194" s="96" customFormat="true" ht="18" hidden="false" customHeight="true" outlineLevel="0" collapsed="false">
      <c r="A194" s="170" t="n">
        <f aca="false">IF(B194="","",+A193+1)</f>
        <v>17</v>
      </c>
      <c r="B194" s="176" t="str">
        <f aca="false">IF($D$127=5,$O$180,IF($D$127=6,$O$181,IF($D$127=8,$O$182,IF($D$127=10,$O$180,IF($D$127=12,$O$180,IF($D$127=14,$O$182,IF($D$127=18,$O$180,IF($D$127=20,$O$181,IF($D$127=22,"")))))))))</f>
        <v>6,20 mm ยางอัดกระจก</v>
      </c>
      <c r="C194" s="176" t="str">
        <f aca="false">IF($D$127=5,$P$180,IF($D$127=6,$P$181,IF($D$127=8,$P$182,IF($D$127=10,$P$180,IF($D$127=12,$P$180,IF($D$127=14,$P$182,IF($D$127=18,$P$180,IF($D$127=20,$P$181,IF($D$127=22,"")))))))))</f>
        <v>6,20 mm ROLL IN WEDGE</v>
      </c>
      <c r="D194" s="176" t="str">
        <f aca="false">IF($D$127=5,$Q$180,IF($D$127=6,$Q$181,IF($D$127=8,$Q$182,IF($D$127=10,$Q$180,IF($D$127=12,$Q$180,IF($D$127=14,$Q$182,IF($D$127=18,$Q$180,IF($D$127=20,$Q$181,IF($D$127=22,"")))))))))</f>
        <v>02-034</v>
      </c>
      <c r="E194" s="176" t="n">
        <f aca="false">IF($D$127=5,R181,IF($D$127=6,R182,IF($D$127=8,R183,IF($D$127=10,R181,IF($D$127=12,R181,IF($D$127=14,R183,IF($D$127=18,R181,IF($D$127=20,R182,IF($D$127=22,"",)))))))))</f>
        <v>0</v>
      </c>
      <c r="F194" s="167" t="str">
        <f aca="false">IF($D$127=5,$S$180,IF($D$127=6,$S$181,IF($D$127=8,$S$182,IF($D$127=10,$S$180,IF($D$127=12,$S$180,IF($D$127=14,$S$182,IF($D$127=18,$S$180,IF($D$127=20,$S$181,IF($D$127=22,"")))))))))</f>
        <v>02-034</v>
      </c>
      <c r="G194" s="167" t="str">
        <f aca="false">IF($D$127=5,$T$180,IF($D$127=6,$T$181,IF($D$127=8,$T$182,IF($D$127=10,$T$180,IF($D$127=12,$T$180,IF($D$127=14,$T$182,IF($D$127=18,$T$180,IF($D$127=20,$T$181,IF($D$127=22,"")))))))))</f>
        <v>M</v>
      </c>
      <c r="H194" s="173" t="n">
        <f aca="false">IF($D$127=5,$U$180,IF($D$127=6,$U$181,IF($D$127=8,$U$182,IF($D$127=10,$U$180*2,IF($D$127=12,$U$180,IF($D$127=14,$U$182*2,IF($D$127=18,$U$180,IF($D$127=20,$U$181,IF($D$127=22,"")))))))))</f>
        <v>21.296</v>
      </c>
      <c r="I194" s="174" t="n">
        <f aca="false">IF($D$127=5,$V$180,IF($D$127=6,$V$181,IF($D$127=8,$V$182,IF($D$127=10,$V$180,IF($D$127=12,$V$180,IF($D$127=14,$V$182,IF($D$127=18,$V$180,IF($D$127=20,$V$181,IF($D$127=22,"")))))))))</f>
        <v>100</v>
      </c>
      <c r="J194" s="177" t="n">
        <f aca="false">ROUNDUP((H194)/100,0)</f>
        <v>1</v>
      </c>
    </row>
    <row r="195" s="96" customFormat="true" ht="18" hidden="false" customHeight="true" outlineLevel="0" collapsed="false">
      <c r="A195" s="170" t="n">
        <f aca="false">IF(B195="","",+A194+1)</f>
        <v>18</v>
      </c>
      <c r="B195" s="176" t="str">
        <f aca="false">IF($D$127=5,$O$178,IF($D$127=6,$O$178,IF($D$127=8,$O$180,IF($D$127=10,"",IF($D$127=12,$O$179,IF($D$127=14,"",IF($D$127=18,$O$178,IF($D$127=20,$O$179,IF($D$127=22,"",)))))))))</f>
        <v>5,6,18 mm ยางรองกระจก</v>
      </c>
      <c r="C195" s="176" t="str">
        <f aca="false">IF($D$127=5,$P$178,IF($D$127=6,$P$178,IF($D$127=8,$P$180,IF($D$127=10,"",IF($D$127=12,$P$179,IF($D$127=14,"",IF($D$127=18,$P$178,IF($D$127=20,$P$179,IF($D$127=22,"",)))))))))</f>
        <v>5,6,18 mm CAPTIVE WEDGE</v>
      </c>
      <c r="D195" s="176" t="str">
        <f aca="false">IF($D$127=5,$Q$178,IF($D$127=6,$Q$178,IF($D$127=8,$Q$180,IF($D$127=10,"",IF($D$127=12,$Q$179,IF($D$127=14,"",IF($D$127=18,$Q$178,IF($D$127=20,$Q$179,IF($D$127=22,"",)))))))))</f>
        <v>02-022</v>
      </c>
      <c r="E195" s="176" t="n">
        <f aca="false">IF($D$127=5,R179,IF($D$127=6,R179,IF($D$127=8,R181,IF($D$127=10,"",IF($D$127=12,R180,IF($D$127=14,"",IF($D$127=18,R179,IF($D$127=20,R180,IF($D$127=22,"",)))))))))</f>
        <v>0</v>
      </c>
      <c r="F195" s="167" t="str">
        <f aca="false">IF($D$127=5,$S$178,IF($D$127=6,$S$178,IF($D$127=8,$S$180,IF($D$127=10,"",IF($D$127=12,$S$179,IF($D$127=14,"",IF($D$127=18,$S$178,IF($D$127=20,$S$179,IF($D$127=22,"",)))))))))</f>
        <v>02-022</v>
      </c>
      <c r="G195" s="167" t="str">
        <f aca="false">IF($D$127=5,$T$178,IF($D$127=6,$T$178,IF($D$127=8,$T$180,IF($D$127=10,"",IF($D$127=12,$T$179,IF($D$127=14,"",IF($D$127=18,$T$178,IF($D$127=20,$T$179,IF($D$127=22,"",)))))))))</f>
        <v>M</v>
      </c>
      <c r="H195" s="173" t="n">
        <f aca="false">IF($D$127=5,$U$178,IF($D$127=6,$U$178,IF($D$127=8,$U$180,IF($D$127=10,"",IF($D$127=12,$U$179,IF($D$127=14,"",IF($D$127=18,$U$178,IF($D$127=20,$U$179,IF($D$127=22,"")))))))))</f>
        <v>21.296</v>
      </c>
      <c r="I195" s="174" t="n">
        <f aca="false">IF($D$127=5,$V$178,IF($D$127=6,$V$178,IF($D$127=8,$V$180,IF($D$127=10,"",IF($D$127=12,$V$179,IF($D$127=14,"",IF($D$127=18,$V$178,IF($D$127=20,$V$179,IF($D$127=22,"",)))))))))</f>
        <v>100</v>
      </c>
      <c r="J195" s="175" t="n">
        <f aca="false">ROUNDUP((H195)/100,0)</f>
        <v>1</v>
      </c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30"/>
      <c r="I196" s="142"/>
      <c r="J196" s="134" t="n">
        <f aca="false">$J$120*H196</f>
        <v>0</v>
      </c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$J$120*H197</f>
        <v>0</v>
      </c>
    </row>
    <row r="198" customFormat="fals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$J$120*H198</f>
        <v>0</v>
      </c>
      <c r="Y198" s="96"/>
      <c r="Z198" s="96"/>
      <c r="AA198" s="96"/>
      <c r="AB198" s="96"/>
      <c r="AC198" s="96"/>
      <c r="AD198" s="96"/>
      <c r="AE198" s="96"/>
      <c r="AF198" s="96"/>
      <c r="AG198" s="96"/>
      <c r="AH198" s="96"/>
      <c r="AI198" s="96"/>
      <c r="AJ198" s="96"/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/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  <c r="P202" s="178"/>
    </row>
    <row r="203" s="96" customFormat="true" ht="18" hidden="false" customHeight="true" outlineLevel="0" collapsed="false">
      <c r="A203" s="170" t="str">
        <f aca="false">IF(B203="","",+""+1)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/>
    </row>
    <row r="205" s="96" customFormat="true" ht="18" hidden="false" customHeight="true" outlineLevel="0" collapsed="false">
      <c r="A205" s="170" t="str">
        <f aca="false">IF(B205="","",+A204+1)</f>
        <v/>
      </c>
      <c r="B205" s="131"/>
      <c r="C205" s="131"/>
      <c r="D205" s="132"/>
      <c r="E205" s="130"/>
      <c r="F205" s="130"/>
      <c r="G205" s="130"/>
      <c r="H205" s="130"/>
      <c r="I205" s="133"/>
      <c r="J205" s="134" t="n">
        <f aca="false">$J$120*H205</f>
        <v>0</v>
      </c>
    </row>
    <row r="206" s="96" customFormat="true" ht="18" hidden="false" customHeight="true" outlineLevel="0" collapsed="false">
      <c r="A206" s="248"/>
      <c r="B206" s="135"/>
      <c r="C206" s="135"/>
      <c r="D206" s="139"/>
      <c r="E206" s="136"/>
      <c r="F206" s="136"/>
      <c r="G206" s="136"/>
      <c r="H206" s="136"/>
      <c r="I206" s="140"/>
      <c r="J206" s="137"/>
    </row>
    <row r="207" customFormat="false" ht="18" hidden="false" customHeight="true" outlineLevel="0" collapsed="false">
      <c r="A207" s="97"/>
      <c r="B207" s="96"/>
      <c r="C207" s="96"/>
      <c r="D207" s="98"/>
      <c r="E207" s="97"/>
      <c r="F207" s="97"/>
      <c r="G207" s="97"/>
      <c r="H207" s="97"/>
      <c r="J207" s="92" t="str">
        <f aca="false">LEFT($J$111,13)&amp;"-02"</f>
        <v>FG-240-3P2L1R-02</v>
      </c>
    </row>
    <row r="208" customFormat="false" ht="12.75" hidden="false" customHeight="true" outlineLevel="0" collapsed="false">
      <c r="K208" s="78"/>
      <c r="L208" s="78"/>
      <c r="M208" s="79"/>
      <c r="N208" s="79"/>
    </row>
    <row r="209" customFormat="false" ht="30" hidden="false" customHeight="true" outlineLevel="0" collapsed="false">
      <c r="C209" s="75"/>
      <c r="D209" s="76"/>
      <c r="E209" s="76"/>
      <c r="F209" s="76"/>
      <c r="G209" s="76"/>
      <c r="H209" s="76"/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82"/>
      <c r="D210" s="82"/>
      <c r="E210" s="82"/>
      <c r="F210" s="82"/>
      <c r="G210" s="82"/>
      <c r="H210" s="82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B211" s="81"/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4"/>
      <c r="C212" s="84"/>
      <c r="D212" s="85"/>
      <c r="E212" s="84"/>
      <c r="F212" s="84"/>
      <c r="G212" s="84"/>
      <c r="H212" s="84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B215" s="182"/>
      <c r="D215" s="98"/>
      <c r="E215" s="83"/>
      <c r="F215" s="183"/>
      <c r="G215" s="183"/>
      <c r="H215" s="183"/>
      <c r="I215" s="183"/>
      <c r="J215" s="99"/>
    </row>
    <row r="216" s="96" customFormat="true" ht="15" hidden="false" customHeight="true" outlineLevel="0" collapsed="false">
      <c r="A216" s="97"/>
      <c r="C216" s="184"/>
      <c r="D216" s="98"/>
      <c r="E216" s="83"/>
      <c r="F216" s="98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customFormat="false" ht="15" hidden="false" customHeight="true" outlineLevel="0" collapsed="false">
      <c r="A218" s="97"/>
      <c r="B218" s="96"/>
      <c r="C218" s="181"/>
      <c r="D218" s="98"/>
      <c r="E218" s="97"/>
      <c r="F218" s="98"/>
      <c r="G218" s="96"/>
      <c r="H218" s="181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4" t="s">
        <v>543</v>
      </c>
      <c r="I219" s="98"/>
      <c r="J219" s="97"/>
    </row>
    <row r="220" s="96" customFormat="true" ht="15" hidden="false" customHeight="true" outlineLevel="0" collapsed="false">
      <c r="A220" s="97"/>
      <c r="C220" s="184" t="s">
        <v>458</v>
      </c>
      <c r="D220" s="98"/>
      <c r="E220" s="83"/>
      <c r="F220" s="98"/>
      <c r="H220" s="181" t="s">
        <v>544</v>
      </c>
      <c r="I220" s="181"/>
      <c r="J220" s="181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249" t="s">
        <v>545</v>
      </c>
      <c r="I221" s="249"/>
      <c r="J221" s="249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H222" s="250" t="n">
        <f aca="false">$I$148</f>
        <v>2408</v>
      </c>
      <c r="I222" s="187" t="n">
        <f aca="false">$J$148+$J$149</f>
        <v>2</v>
      </c>
    </row>
    <row r="223" s="96" customFormat="true" ht="15" hidden="false" customHeight="true" outlineLevel="0" collapsed="false">
      <c r="A223" s="97"/>
      <c r="C223" s="185" t="n">
        <f aca="false">$I$133</f>
        <v>3440</v>
      </c>
      <c r="D223" s="98"/>
      <c r="E223" s="83"/>
      <c r="F223" s="98"/>
      <c r="G223" s="186"/>
      <c r="I223" s="181"/>
      <c r="J223" s="181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J225" s="97"/>
    </row>
    <row r="226" s="96" customFormat="true" ht="15" hidden="false" customHeight="true" outlineLevel="0" collapsed="false">
      <c r="A226" s="99"/>
      <c r="B226" s="99"/>
      <c r="C226" s="83"/>
      <c r="D226" s="98"/>
      <c r="E226" s="97"/>
      <c r="F226" s="98"/>
      <c r="G226" s="186"/>
      <c r="J226" s="97"/>
    </row>
    <row r="227" s="96" customFormat="true" ht="15" hidden="false" customHeight="true" outlineLevel="0" collapsed="false">
      <c r="A227" s="99"/>
      <c r="B227" s="99"/>
      <c r="C227" s="83"/>
      <c r="D227" s="98"/>
      <c r="E227" s="97"/>
      <c r="F227" s="98"/>
      <c r="H227" s="97"/>
      <c r="J227" s="97"/>
    </row>
    <row r="228" s="96" customFormat="true" ht="1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97"/>
      <c r="J228" s="97"/>
    </row>
    <row r="229" s="96" customFormat="true" ht="1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97"/>
      <c r="J229" s="97"/>
    </row>
    <row r="230" s="96" customFormat="true" ht="15" hidden="false" customHeight="true" outlineLevel="0" collapsed="false">
      <c r="A230" s="99"/>
      <c r="B230" s="99"/>
      <c r="C230" s="181"/>
      <c r="D230" s="98"/>
      <c r="E230" s="97"/>
      <c r="F230" s="98"/>
      <c r="H230" s="97"/>
      <c r="I230" s="97"/>
      <c r="J230" s="97"/>
    </row>
    <row r="231" s="96" customFormat="true" ht="15.75" hidden="false" customHeight="true" outlineLevel="0" collapsed="false">
      <c r="A231" s="188"/>
      <c r="B231" s="188"/>
      <c r="D231" s="98"/>
      <c r="E231" s="97"/>
      <c r="F231" s="98"/>
      <c r="I231" s="97"/>
      <c r="J231" s="97"/>
    </row>
    <row r="232" s="96" customFormat="true" ht="15.75" hidden="false" customHeight="true" outlineLevel="0" collapsed="false">
      <c r="A232" s="97"/>
      <c r="B232" s="97"/>
      <c r="D232" s="98"/>
      <c r="E232" s="97"/>
      <c r="F232" s="98"/>
      <c r="I232" s="97"/>
      <c r="J232" s="97"/>
    </row>
    <row r="233" s="96" customFormat="true" ht="15.75" hidden="false" customHeight="true" outlineLevel="0" collapsed="false">
      <c r="A233" s="81"/>
      <c r="D233" s="98"/>
      <c r="E233" s="97"/>
      <c r="F233" s="97"/>
      <c r="I233" s="189"/>
      <c r="J233" s="190"/>
    </row>
    <row r="234" s="96" customFormat="true" ht="15.75" hidden="false" customHeight="true" outlineLevel="0" collapsed="false">
      <c r="A234" s="191"/>
      <c r="B234" s="191"/>
      <c r="C234" s="184" t="s">
        <v>461</v>
      </c>
      <c r="D234" s="192"/>
      <c r="E234" s="191"/>
      <c r="F234" s="191"/>
      <c r="G234" s="97"/>
      <c r="H234" s="97"/>
      <c r="I234" s="181"/>
      <c r="J234" s="193"/>
    </row>
    <row r="235" s="96" customFormat="true" ht="15.75" hidden="false" customHeight="true" outlineLevel="0" collapsed="false">
      <c r="A235" s="190"/>
      <c r="B235" s="190"/>
      <c r="C235" s="181" t="s">
        <v>462</v>
      </c>
      <c r="D235" s="194"/>
      <c r="E235" s="190"/>
      <c r="F235" s="189"/>
      <c r="G235" s="97"/>
      <c r="H235" s="97"/>
      <c r="I235" s="181"/>
      <c r="J235" s="193"/>
    </row>
    <row r="236" s="96" customFormat="true" ht="15.75" hidden="false" customHeight="true" outlineLevel="0" collapsed="false">
      <c r="A236" s="97"/>
      <c r="C236" s="181" t="s">
        <v>518</v>
      </c>
      <c r="D236" s="98"/>
      <c r="E236" s="97"/>
      <c r="F236" s="98"/>
      <c r="G236" s="97"/>
      <c r="H236" s="97"/>
      <c r="I236" s="181"/>
      <c r="J236" s="193"/>
    </row>
    <row r="237" s="96" customFormat="true" ht="15.75" hidden="false" customHeight="true" outlineLevel="0" collapsed="false">
      <c r="A237" s="97"/>
      <c r="C237" s="185" t="n">
        <f aca="false">$I$134</f>
        <v>3414</v>
      </c>
      <c r="D237" s="98"/>
      <c r="E237" s="97"/>
      <c r="F237" s="98"/>
      <c r="G237" s="97"/>
      <c r="H237" s="97"/>
      <c r="I237" s="181"/>
      <c r="J237" s="193"/>
    </row>
    <row r="238" s="96" customFormat="true" ht="15.75" hidden="false" customHeight="true" outlineLevel="0" collapsed="false">
      <c r="A238" s="97"/>
      <c r="C238" s="187" t="n">
        <f aca="false">$J$134</f>
        <v>1</v>
      </c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C239" s="191"/>
      <c r="D239" s="98"/>
      <c r="E239" s="97"/>
      <c r="F239" s="98"/>
      <c r="G239" s="97"/>
      <c r="H239" s="195"/>
      <c r="J239" s="97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97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196"/>
      <c r="J242" s="196"/>
    </row>
    <row r="243" s="96" customFormat="true" ht="15.75" hidden="false" customHeight="true" outlineLevel="0" collapsed="false">
      <c r="A243" s="97"/>
      <c r="D243" s="98"/>
      <c r="E243" s="97"/>
      <c r="F243" s="98"/>
      <c r="G243" s="97"/>
      <c r="H243" s="197"/>
      <c r="I243" s="184"/>
      <c r="J243" s="198"/>
    </row>
    <row r="244" s="96" customFormat="true" ht="15.75" hidden="false" customHeight="true" outlineLevel="0" collapsed="false">
      <c r="A244" s="97"/>
      <c r="D244" s="98"/>
      <c r="E244" s="97"/>
      <c r="F244" s="98"/>
      <c r="G244" s="97"/>
      <c r="H244" s="97"/>
      <c r="I244" s="181"/>
      <c r="J244" s="193"/>
    </row>
    <row r="245" s="96" customFormat="true" ht="15.75" hidden="false" customHeight="true" outlineLevel="0" collapsed="false">
      <c r="A245" s="97"/>
      <c r="C245" s="184" t="s">
        <v>464</v>
      </c>
      <c r="D245" s="98"/>
      <c r="E245" s="97"/>
      <c r="F245" s="98"/>
      <c r="G245" s="97"/>
      <c r="H245" s="97"/>
      <c r="I245" s="181"/>
      <c r="J245" s="193"/>
    </row>
    <row r="246" s="96" customFormat="true" ht="15.75" hidden="false" customHeight="true" outlineLevel="0" collapsed="false">
      <c r="A246" s="97"/>
      <c r="C246" s="181" t="s">
        <v>459</v>
      </c>
      <c r="D246" s="98"/>
      <c r="E246" s="97"/>
      <c r="F246" s="98"/>
      <c r="G246" s="97"/>
      <c r="H246" s="97"/>
      <c r="I246" s="196"/>
      <c r="J246" s="196"/>
    </row>
    <row r="247" s="96" customFormat="true" ht="15.75" hidden="false" customHeight="true" outlineLevel="0" collapsed="false">
      <c r="A247" s="97"/>
      <c r="C247" s="181" t="s">
        <v>460</v>
      </c>
      <c r="D247" s="98"/>
      <c r="E247" s="97"/>
      <c r="F247" s="98"/>
      <c r="G247" s="97"/>
      <c r="H247" s="97"/>
      <c r="I247" s="196"/>
      <c r="J247" s="196"/>
    </row>
    <row r="248" s="96" customFormat="true" ht="15.75" hidden="false" customHeight="true" outlineLevel="0" collapsed="false">
      <c r="A248" s="97"/>
      <c r="C248" s="185" t="n">
        <f aca="false">$I$135</f>
        <v>3440</v>
      </c>
      <c r="D248" s="98"/>
      <c r="E248" s="97"/>
      <c r="F248" s="98"/>
      <c r="G248" s="97"/>
      <c r="H248" s="97"/>
      <c r="I248" s="97"/>
      <c r="J248" s="196"/>
    </row>
    <row r="249" s="96" customFormat="true" ht="15.75" hidden="false" customHeight="true" outlineLevel="0" collapsed="false">
      <c r="A249" s="97"/>
      <c r="C249" s="187" t="n">
        <f aca="false">$J$135</f>
        <v>1</v>
      </c>
      <c r="D249" s="98"/>
      <c r="E249" s="97"/>
      <c r="F249" s="98"/>
      <c r="G249" s="97"/>
      <c r="H249" s="97"/>
      <c r="I249" s="196"/>
      <c r="J249" s="196"/>
    </row>
    <row r="250" s="96" customFormat="true" ht="15.75" hidden="false" customHeight="true" outlineLevel="0" collapsed="false">
      <c r="A250" s="97"/>
      <c r="C250" s="98"/>
      <c r="D250" s="98"/>
      <c r="E250" s="97"/>
      <c r="F250" s="98"/>
      <c r="G250" s="97"/>
      <c r="H250" s="97"/>
      <c r="I250" s="196"/>
      <c r="J250" s="196"/>
    </row>
    <row r="251" s="96" customFormat="true" ht="15" hidden="false" customHeight="true" outlineLevel="0" collapsed="false">
      <c r="A251" s="97"/>
      <c r="D251" s="98"/>
      <c r="E251" s="97"/>
      <c r="F251" s="97"/>
      <c r="G251" s="191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191"/>
      <c r="H252" s="97"/>
      <c r="I252" s="191"/>
      <c r="J252" s="199"/>
    </row>
    <row r="253" s="96" customFormat="true" ht="15.75" hidden="false" customHeight="true" outlineLevel="0" collapsed="false">
      <c r="A253" s="97"/>
      <c r="D253" s="98"/>
      <c r="E253" s="97"/>
      <c r="F253" s="97"/>
      <c r="G253" s="191"/>
      <c r="H253" s="97"/>
      <c r="I253" s="191"/>
      <c r="J253" s="199"/>
    </row>
    <row r="254" s="96" customFormat="true" ht="15.75" hidden="false" customHeight="true" outlineLevel="0" collapsed="false">
      <c r="A254" s="97"/>
      <c r="D254" s="98"/>
      <c r="E254" s="97"/>
      <c r="F254" s="97"/>
      <c r="G254" s="190"/>
      <c r="H254" s="97"/>
      <c r="I254" s="189"/>
      <c r="J254" s="190"/>
    </row>
    <row r="255" s="96" customFormat="true" ht="15.75" hidden="false" customHeight="true" outlineLevel="0" collapsed="false">
      <c r="A255" s="97"/>
      <c r="D255" s="98"/>
      <c r="E255" s="97"/>
      <c r="F255" s="97"/>
      <c r="G255" s="97"/>
      <c r="H255" s="97"/>
      <c r="J255" s="97"/>
    </row>
    <row r="256" s="96" customFormat="true" ht="15.75" hidden="false" customHeight="true" outlineLevel="0" collapsed="false">
      <c r="A256" s="191"/>
      <c r="B256" s="191"/>
      <c r="D256" s="192"/>
      <c r="E256" s="191"/>
      <c r="F256" s="191"/>
      <c r="G256" s="97"/>
      <c r="H256" s="97"/>
      <c r="J256" s="97"/>
    </row>
    <row r="257" s="96" customFormat="true" ht="15.75" hidden="false" customHeight="true" outlineLevel="0" collapsed="false">
      <c r="A257" s="190"/>
      <c r="B257" s="190"/>
      <c r="C257" s="184" t="s">
        <v>465</v>
      </c>
      <c r="D257" s="194"/>
      <c r="E257" s="190"/>
      <c r="F257" s="189"/>
      <c r="G257" s="97"/>
      <c r="J257" s="97"/>
    </row>
    <row r="258" s="96" customFormat="true" ht="15.75" hidden="false" customHeight="true" outlineLevel="0" collapsed="false">
      <c r="A258" s="200"/>
      <c r="C258" s="181" t="s">
        <v>459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C259" s="181" t="s">
        <v>460</v>
      </c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C260" s="185" t="n">
        <f aca="false">$I$136</f>
        <v>3440</v>
      </c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C261" s="187" t="n">
        <f aca="false">$J$136</f>
        <v>1</v>
      </c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D264" s="98"/>
      <c r="E264" s="97"/>
      <c r="F264" s="97"/>
      <c r="G264" s="97"/>
      <c r="I264" s="196"/>
      <c r="J264" s="196"/>
    </row>
    <row r="265" s="96" customFormat="true" ht="15.75" hidden="false" customHeight="true" outlineLevel="0" collapsed="false">
      <c r="A265" s="200"/>
      <c r="D265" s="98"/>
      <c r="E265" s="97"/>
      <c r="F265" s="97"/>
      <c r="G265" s="97"/>
      <c r="I265" s="196"/>
      <c r="J265" s="196"/>
    </row>
    <row r="266" s="96" customFormat="true" ht="15.75" hidden="false" customHeight="true" outlineLevel="0" collapsed="false">
      <c r="A266" s="200"/>
      <c r="C266" s="98"/>
      <c r="D266" s="98"/>
      <c r="E266" s="97"/>
      <c r="F266" s="97"/>
      <c r="G266" s="97"/>
      <c r="I266" s="196"/>
      <c r="J266" s="196"/>
    </row>
    <row r="267" s="96" customFormat="true" ht="15.75" hidden="false" customHeight="true" outlineLevel="0" collapsed="false">
      <c r="A267" s="200"/>
      <c r="D267" s="98"/>
      <c r="E267" s="97"/>
      <c r="F267" s="97"/>
      <c r="G267" s="97"/>
      <c r="I267" s="196"/>
      <c r="J267" s="196"/>
    </row>
    <row r="268" s="96" customFormat="true" ht="15.75" hidden="false" customHeight="true" outlineLevel="0" collapsed="false">
      <c r="A268" s="200"/>
      <c r="C268" s="184" t="s">
        <v>466</v>
      </c>
      <c r="D268" s="98"/>
      <c r="E268" s="97"/>
      <c r="F268" s="97"/>
      <c r="G268" s="97"/>
      <c r="H268" s="97"/>
      <c r="I268" s="196"/>
      <c r="J268" s="196"/>
    </row>
    <row r="269" s="96" customFormat="true" ht="15.75" hidden="false" customHeight="true" outlineLevel="0" collapsed="false">
      <c r="A269" s="200"/>
      <c r="C269" s="181" t="s">
        <v>467</v>
      </c>
      <c r="D269" s="181"/>
      <c r="E269" s="181"/>
      <c r="F269" s="97"/>
      <c r="G269" s="97"/>
      <c r="H269" s="97"/>
      <c r="I269" s="196"/>
      <c r="J269" s="196"/>
      <c r="AF269" s="96" t="n">
        <v>6</v>
      </c>
    </row>
    <row r="270" s="96" customFormat="true" ht="15.75" hidden="false" customHeight="true" outlineLevel="0" collapsed="false">
      <c r="A270" s="200"/>
      <c r="C270" s="181" t="s">
        <v>468</v>
      </c>
      <c r="D270" s="181"/>
      <c r="E270" s="181"/>
      <c r="F270" s="97"/>
      <c r="G270" s="97"/>
      <c r="H270" s="97"/>
      <c r="I270" s="196"/>
      <c r="J270" s="196"/>
    </row>
    <row r="271" s="96" customFormat="true" ht="15.75" hidden="false" customHeight="true" outlineLevel="0" collapsed="false">
      <c r="A271" s="200"/>
      <c r="C271" s="185" t="n">
        <f aca="false">$I$137</f>
        <v>2500</v>
      </c>
      <c r="D271" s="98"/>
      <c r="E271" s="97"/>
      <c r="F271" s="97"/>
      <c r="I271" s="196"/>
      <c r="J271" s="196"/>
    </row>
    <row r="272" s="96" customFormat="true" ht="15.75" hidden="false" customHeight="true" outlineLevel="0" collapsed="false">
      <c r="A272" s="200"/>
      <c r="C272" s="187" t="n">
        <f aca="false">$J$137+$J$138</f>
        <v>2</v>
      </c>
      <c r="D272" s="98"/>
      <c r="E272" s="97"/>
      <c r="F272" s="97"/>
      <c r="G272" s="97"/>
      <c r="H272" s="97"/>
      <c r="I272" s="196"/>
      <c r="J272" s="196"/>
    </row>
    <row r="273" s="96" customFormat="true" ht="15.75" hidden="false" customHeight="true" outlineLevel="0" collapsed="false">
      <c r="A273" s="200"/>
      <c r="D273" s="184"/>
      <c r="E273" s="184"/>
      <c r="F273" s="97"/>
      <c r="G273" s="97"/>
      <c r="H273" s="97"/>
      <c r="I273" s="196"/>
      <c r="J273" s="196"/>
    </row>
    <row r="274" s="96" customFormat="true" ht="15.75" hidden="false" customHeight="true" outlineLevel="0" collapsed="false">
      <c r="A274" s="200"/>
      <c r="D274" s="184"/>
      <c r="E274" s="184"/>
      <c r="F274" s="97"/>
      <c r="G274" s="97"/>
      <c r="H274" s="97"/>
      <c r="J274" s="97"/>
    </row>
    <row r="275" s="96" customFormat="true" ht="15.75" hidden="false" customHeight="true" outlineLevel="0" collapsed="false">
      <c r="A275" s="200"/>
      <c r="D275" s="184"/>
      <c r="E275" s="184"/>
      <c r="F275" s="97"/>
      <c r="G275" s="97"/>
      <c r="H275" s="97"/>
      <c r="J275" s="97"/>
    </row>
    <row r="276" s="96" customFormat="true" ht="15.75" hidden="false" customHeight="true" outlineLevel="0" collapsed="false">
      <c r="A276" s="200"/>
      <c r="D276" s="184"/>
      <c r="E276" s="184"/>
      <c r="F276" s="97"/>
      <c r="G276" s="97"/>
      <c r="H276" s="97"/>
      <c r="J276" s="97"/>
    </row>
    <row r="277" s="96" customFormat="true" ht="15.75" hidden="false" customHeight="true" outlineLevel="0" collapsed="false">
      <c r="A277" s="200"/>
      <c r="D277" s="181"/>
      <c r="E277" s="181"/>
      <c r="F277" s="97"/>
      <c r="G277" s="97"/>
      <c r="H277" s="97"/>
      <c r="J277" s="97"/>
    </row>
    <row r="278" s="96" customFormat="true" ht="15.75" hidden="false" customHeight="true" outlineLevel="0" collapsed="false">
      <c r="A278" s="200"/>
      <c r="D278" s="181"/>
      <c r="E278" s="181"/>
      <c r="F278" s="97"/>
      <c r="G278" s="97"/>
      <c r="J278" s="97"/>
    </row>
    <row r="279" s="96" customFormat="true" ht="15.75" hidden="false" customHeight="true" outlineLevel="0" collapsed="false">
      <c r="A279" s="200"/>
      <c r="D279" s="98"/>
      <c r="E279" s="97"/>
      <c r="F279" s="97"/>
      <c r="G279" s="97"/>
      <c r="J279" s="97"/>
    </row>
    <row r="280" s="96" customFormat="true" ht="15.75" hidden="false" customHeight="true" outlineLevel="0" collapsed="false">
      <c r="A280" s="200"/>
      <c r="C280" s="184" t="s">
        <v>469</v>
      </c>
      <c r="D280" s="201"/>
      <c r="E280" s="196"/>
      <c r="F280" s="97"/>
      <c r="G280" s="97"/>
      <c r="J280" s="97"/>
    </row>
    <row r="281" s="96" customFormat="true" ht="15.75" hidden="false" customHeight="true" outlineLevel="0" collapsed="false">
      <c r="A281" s="200"/>
      <c r="C281" s="181" t="s">
        <v>470</v>
      </c>
      <c r="D281" s="181"/>
      <c r="E281" s="181"/>
      <c r="F281" s="97"/>
      <c r="G281" s="97"/>
      <c r="J281" s="97"/>
    </row>
    <row r="282" s="96" customFormat="true" ht="15.75" hidden="false" customHeight="true" outlineLevel="0" collapsed="false">
      <c r="A282" s="200"/>
      <c r="C282" s="181" t="s">
        <v>471</v>
      </c>
      <c r="D282" s="181"/>
      <c r="E282" s="181"/>
      <c r="F282" s="97"/>
      <c r="G282" s="97"/>
      <c r="I282" s="196"/>
      <c r="J282" s="196"/>
    </row>
    <row r="283" s="96" customFormat="true" ht="15.75" hidden="false" customHeight="true" outlineLevel="0" collapsed="false">
      <c r="A283" s="200"/>
      <c r="C283" s="185" t="n">
        <f aca="false">$I$139</f>
        <v>2404</v>
      </c>
      <c r="F283" s="97"/>
      <c r="G283" s="97"/>
      <c r="I283" s="196"/>
      <c r="J283" s="196"/>
    </row>
    <row r="284" s="96" customFormat="true" ht="15.75" hidden="false" customHeight="true" outlineLevel="0" collapsed="false">
      <c r="A284" s="200"/>
      <c r="C284" s="187" t="n">
        <f aca="false">$J$139+$J$140</f>
        <v>2</v>
      </c>
      <c r="F284" s="97"/>
      <c r="G284" s="97"/>
      <c r="I284" s="196"/>
      <c r="J284" s="196"/>
    </row>
    <row r="285" s="96" customFormat="true" ht="15.75" hidden="false" customHeight="true" outlineLevel="0" collapsed="false">
      <c r="A285" s="200"/>
      <c r="F285" s="97"/>
      <c r="G285" s="97"/>
      <c r="H285" s="97"/>
      <c r="I285" s="97"/>
      <c r="J285" s="196"/>
    </row>
    <row r="286" s="96" customFormat="true" ht="15.75" hidden="false" customHeight="true" outlineLevel="0" collapsed="false">
      <c r="A286" s="200"/>
      <c r="F286" s="97"/>
      <c r="G286" s="97"/>
      <c r="H286" s="97"/>
      <c r="I286" s="97"/>
      <c r="J286" s="196"/>
    </row>
    <row r="287" s="96" customFormat="true" ht="15.75" hidden="false" customHeight="true" outlineLevel="0" collapsed="false">
      <c r="A287" s="200"/>
      <c r="D287" s="98"/>
      <c r="E287" s="97"/>
      <c r="F287" s="97"/>
      <c r="G287" s="97"/>
      <c r="H287" s="97"/>
      <c r="I287" s="97"/>
      <c r="J287" s="196"/>
    </row>
    <row r="288" s="96" customFormat="true" ht="15.75" hidden="false" customHeight="true" outlineLevel="0" collapsed="false">
      <c r="A288" s="200"/>
      <c r="F288" s="97"/>
      <c r="G288" s="97"/>
      <c r="H288" s="97"/>
      <c r="I288" s="97"/>
      <c r="J288" s="196"/>
    </row>
    <row r="289" s="96" customFormat="true" ht="15.75" hidden="false" customHeight="true" outlineLevel="0" collapsed="false">
      <c r="A289" s="200"/>
      <c r="F289" s="97"/>
      <c r="G289" s="97"/>
      <c r="H289" s="97"/>
      <c r="I289" s="97"/>
      <c r="J289" s="196"/>
    </row>
    <row r="290" s="96" customFormat="true" ht="15.75" hidden="false" customHeight="true" outlineLevel="0" collapsed="false">
      <c r="A290" s="200"/>
      <c r="C290" s="184" t="s">
        <v>472</v>
      </c>
      <c r="F290" s="97"/>
      <c r="G290" s="97"/>
      <c r="H290" s="97"/>
      <c r="J290" s="97"/>
    </row>
    <row r="291" s="96" customFormat="true" ht="15.75" hidden="false" customHeight="true" outlineLevel="0" collapsed="false">
      <c r="A291" s="200"/>
      <c r="C291" s="83" t="s">
        <v>546</v>
      </c>
      <c r="D291" s="98"/>
      <c r="E291" s="97"/>
      <c r="F291" s="97"/>
      <c r="G291" s="97"/>
      <c r="H291" s="97"/>
      <c r="J291" s="97"/>
    </row>
    <row r="292" s="96" customFormat="true" ht="15.75" hidden="false" customHeight="true" outlineLevel="0" collapsed="false">
      <c r="A292" s="200"/>
      <c r="C292" s="181" t="s">
        <v>547</v>
      </c>
      <c r="D292" s="98"/>
      <c r="E292" s="97"/>
      <c r="F292" s="97"/>
      <c r="G292" s="97"/>
      <c r="H292" s="97"/>
      <c r="J292" s="97"/>
    </row>
    <row r="293" s="96" customFormat="true" ht="15.75" hidden="false" customHeight="true" outlineLevel="0" collapsed="false">
      <c r="A293" s="200"/>
      <c r="C293" s="181" t="s">
        <v>475</v>
      </c>
      <c r="D293" s="181"/>
      <c r="E293" s="181"/>
      <c r="F293" s="97"/>
      <c r="G293" s="97"/>
      <c r="I293" s="201"/>
      <c r="J293" s="196"/>
    </row>
    <row r="294" s="96" customFormat="true" ht="15.75" hidden="false" customHeight="true" outlineLevel="0" collapsed="false">
      <c r="A294" s="200"/>
      <c r="C294" s="181" t="s">
        <v>476</v>
      </c>
      <c r="D294" s="181"/>
      <c r="E294" s="181"/>
      <c r="F294" s="97"/>
      <c r="G294" s="97"/>
      <c r="I294" s="97"/>
      <c r="J294" s="196"/>
    </row>
    <row r="295" s="96" customFormat="true" ht="15.75" hidden="false" customHeight="true" outlineLevel="0" collapsed="false">
      <c r="A295" s="200"/>
      <c r="C295" s="185" t="n">
        <f aca="false">$I$141</f>
        <v>1141.33333333333</v>
      </c>
      <c r="F295" s="97"/>
      <c r="G295" s="97"/>
      <c r="I295" s="196"/>
      <c r="J295" s="196"/>
    </row>
    <row r="296" s="96" customFormat="true" ht="15.75" hidden="false" customHeight="true" outlineLevel="0" collapsed="false">
      <c r="A296" s="200"/>
      <c r="C296" s="187" t="n">
        <f aca="false">$J$141+$J$142</f>
        <v>6</v>
      </c>
      <c r="D296" s="98"/>
      <c r="E296" s="97"/>
      <c r="F296" s="97"/>
      <c r="G296" s="97"/>
      <c r="H296" s="98"/>
      <c r="I296" s="196"/>
      <c r="J296" s="196"/>
    </row>
    <row r="297" s="96" customFormat="true" ht="15.75" hidden="false" customHeight="true" outlineLevel="0" collapsed="false">
      <c r="A297" s="200"/>
      <c r="C297" s="185" t="n">
        <f aca="false">$I$143</f>
        <v>2408</v>
      </c>
      <c r="D297" s="98"/>
      <c r="E297" s="97"/>
      <c r="F297" s="97"/>
      <c r="G297" s="97"/>
      <c r="H297" s="97"/>
      <c r="I297" s="196"/>
      <c r="J297" s="196"/>
    </row>
    <row r="298" s="202" customFormat="true" ht="15.75" hidden="false" customHeight="true" outlineLevel="0" collapsed="false">
      <c r="A298" s="200"/>
      <c r="B298" s="96"/>
      <c r="C298" s="187" t="n">
        <f aca="false">$J$143+$J$144+$J$145</f>
        <v>6</v>
      </c>
      <c r="D298" s="98"/>
      <c r="E298" s="97"/>
      <c r="F298" s="97"/>
      <c r="G298" s="97"/>
      <c r="H298" s="97"/>
      <c r="I298" s="97"/>
      <c r="J298" s="97"/>
    </row>
    <row r="299" s="202" customFormat="true" ht="15.75" hidden="false" customHeight="true" outlineLevel="0" collapsed="false">
      <c r="A299" s="200"/>
      <c r="B299" s="96"/>
      <c r="C299" s="96"/>
      <c r="D299" s="98"/>
      <c r="E299" s="97"/>
      <c r="F299" s="97"/>
      <c r="G299" s="97"/>
      <c r="H299" s="97"/>
      <c r="I299" s="97"/>
      <c r="J299" s="97"/>
    </row>
    <row r="300" s="202" customFormat="true" ht="15.75" hidden="false" customHeight="true" outlineLevel="0" collapsed="false">
      <c r="A300" s="200"/>
      <c r="B300" s="96"/>
      <c r="C300" s="96"/>
      <c r="D300" s="98"/>
      <c r="E300" s="97"/>
      <c r="F300" s="97"/>
      <c r="G300" s="97"/>
      <c r="H300" s="97"/>
      <c r="I300" s="97"/>
      <c r="J300" s="97"/>
    </row>
    <row r="301" s="96" customFormat="true" ht="15.75" hidden="false" customHeight="true" outlineLevel="0" collapsed="false">
      <c r="A301" s="200"/>
      <c r="D301" s="98"/>
      <c r="E301" s="97"/>
      <c r="F301" s="97"/>
      <c r="G301" s="97"/>
      <c r="H301" s="97"/>
      <c r="I301" s="191"/>
      <c r="J301" s="199"/>
    </row>
    <row r="302" s="96" customFormat="true" ht="15.75" hidden="false" customHeight="true" outlineLevel="0" collapsed="false">
      <c r="A302" s="200"/>
      <c r="C302" s="202"/>
      <c r="D302" s="98"/>
      <c r="E302" s="97"/>
      <c r="F302" s="97"/>
      <c r="G302" s="97"/>
      <c r="H302" s="97"/>
      <c r="I302" s="189"/>
      <c r="J302" s="190"/>
    </row>
    <row r="303" s="96" customFormat="true" ht="15.75" hidden="false" customHeight="true" outlineLevel="0" collapsed="false">
      <c r="A303" s="200"/>
      <c r="C303" s="184" t="s">
        <v>477</v>
      </c>
      <c r="D303" s="98"/>
      <c r="E303" s="97"/>
      <c r="F303" s="97"/>
      <c r="G303" s="97"/>
      <c r="H303" s="97"/>
      <c r="I303" s="196"/>
      <c r="J303" s="196"/>
    </row>
    <row r="304" s="96" customFormat="true" ht="15.75" hidden="false" customHeight="true" outlineLevel="0" collapsed="false">
      <c r="A304" s="200"/>
      <c r="C304" s="83" t="s">
        <v>546</v>
      </c>
      <c r="D304" s="98"/>
      <c r="E304" s="97"/>
      <c r="F304" s="97"/>
      <c r="G304" s="191"/>
      <c r="H304" s="191"/>
      <c r="I304" s="196"/>
      <c r="J304" s="196"/>
    </row>
    <row r="305" s="96" customFormat="true" ht="15.75" hidden="false" customHeight="true" outlineLevel="0" collapsed="false">
      <c r="A305" s="200"/>
      <c r="C305" s="181" t="s">
        <v>547</v>
      </c>
      <c r="D305" s="181"/>
      <c r="E305" s="181"/>
      <c r="F305" s="97"/>
      <c r="G305" s="190"/>
      <c r="H305" s="189"/>
      <c r="I305" s="97"/>
      <c r="J305" s="196"/>
    </row>
    <row r="306" s="96" customFormat="true" ht="15.75" hidden="false" customHeight="true" outlineLevel="0" collapsed="false">
      <c r="A306" s="107"/>
      <c r="C306" s="181" t="s">
        <v>478</v>
      </c>
      <c r="D306" s="181"/>
      <c r="E306" s="181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191"/>
      <c r="B307" s="191"/>
      <c r="C307" s="181" t="s">
        <v>479</v>
      </c>
      <c r="D307" s="203"/>
      <c r="E307" s="204"/>
      <c r="F307" s="191"/>
      <c r="G307" s="97"/>
      <c r="H307" s="97"/>
      <c r="I307" s="97"/>
      <c r="J307" s="196"/>
    </row>
    <row r="308" s="96" customFormat="true" ht="15.75" hidden="false" customHeight="true" outlineLevel="0" collapsed="false">
      <c r="A308" s="190"/>
      <c r="B308" s="190"/>
      <c r="C308" s="185" t="n">
        <f aca="false">$I$146</f>
        <v>1030.5</v>
      </c>
      <c r="D308" s="205"/>
      <c r="E308" s="206"/>
      <c r="F308" s="189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7" t="n">
        <f aca="false">$J$146</f>
        <v>6</v>
      </c>
      <c r="D309" s="98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5" t="n">
        <f aca="false">$I$147</f>
        <v>2258</v>
      </c>
      <c r="D310" s="98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C311" s="187" t="n">
        <f aca="false">$J$147</f>
        <v>6</v>
      </c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C312" s="184"/>
      <c r="D312" s="98"/>
      <c r="E312" s="97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C313" s="181"/>
      <c r="D313" s="181"/>
      <c r="E313" s="181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B314" s="49"/>
      <c r="C314" s="49"/>
      <c r="D314" s="207"/>
      <c r="E314" s="200"/>
      <c r="F314" s="200"/>
      <c r="G314" s="200"/>
      <c r="H314" s="200"/>
      <c r="I314" s="200"/>
      <c r="J314" s="92" t="str">
        <f aca="false">LEFT($J$111,13)&amp;"-03"</f>
        <v>FG-240-3P2L1R-03</v>
      </c>
    </row>
    <row r="315" customFormat="false" ht="12.75" hidden="false" customHeight="true" outlineLevel="0" collapsed="false">
      <c r="A315" s="97"/>
      <c r="B315" s="96"/>
      <c r="C315" s="96"/>
      <c r="D315" s="98"/>
      <c r="E315" s="97"/>
      <c r="F315" s="97"/>
      <c r="G315" s="97"/>
      <c r="H315" s="97"/>
      <c r="I315" s="208"/>
      <c r="J315" s="208"/>
    </row>
    <row r="316" customFormat="false" ht="30" hidden="false" customHeight="true" outlineLevel="0" collapsed="false">
      <c r="C316" s="75"/>
      <c r="D316" s="76"/>
      <c r="E316" s="76"/>
      <c r="F316" s="76"/>
      <c r="G316" s="76"/>
      <c r="H316" s="76"/>
      <c r="I316" s="76"/>
      <c r="J316" s="77" t="str">
        <f aca="false">$J$2</f>
        <v>HOMELIFE</v>
      </c>
      <c r="K316" s="83"/>
      <c r="L316" s="83"/>
      <c r="M316" s="79"/>
      <c r="N316" s="79"/>
    </row>
    <row r="317" customFormat="false" ht="24.75" hidden="false" customHeight="true" outlineLevel="0" collapsed="false">
      <c r="C317" s="82"/>
      <c r="D317" s="82"/>
      <c r="E317" s="82"/>
      <c r="F317" s="82"/>
      <c r="G317" s="82"/>
      <c r="H317" s="82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B318" s="81"/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customFormat="false" ht="15" hidden="false" customHeight="true" outlineLevel="0" collapsed="false"/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</row>
    <row r="321" s="96" customFormat="true" ht="15" hidden="false" customHeight="true" outlineLevel="0" collapsed="false">
      <c r="A321" s="188"/>
      <c r="B321" s="81"/>
      <c r="D321" s="98"/>
      <c r="E321" s="83"/>
      <c r="F321" s="183"/>
      <c r="G321" s="183"/>
      <c r="H321" s="183"/>
      <c r="I321" s="183"/>
      <c r="J321" s="99"/>
    </row>
    <row r="322" s="96" customFormat="true" ht="15" hidden="false" customHeight="true" outlineLevel="0" collapsed="false">
      <c r="A322" s="188"/>
      <c r="B322" s="81"/>
      <c r="D322" s="98"/>
      <c r="E322" s="83"/>
      <c r="F322" s="183"/>
      <c r="G322" s="183"/>
      <c r="H322" s="183"/>
      <c r="I322" s="183"/>
      <c r="J322" s="99"/>
    </row>
    <row r="323" s="96" customFormat="true" ht="15" hidden="false" customHeight="true" outlineLevel="0" collapsed="false">
      <c r="A323" s="97"/>
      <c r="D323" s="98"/>
      <c r="E323" s="83"/>
      <c r="F323" s="98"/>
      <c r="G323" s="83"/>
      <c r="H323" s="83"/>
      <c r="I323" s="83"/>
      <c r="J323" s="97"/>
    </row>
    <row r="324" s="96" customFormat="true" ht="15" hidden="false" customHeight="true" outlineLevel="0" collapsed="false">
      <c r="A324" s="97"/>
      <c r="C324" s="98"/>
      <c r="D324" s="98"/>
      <c r="E324" s="83"/>
      <c r="F324" s="98"/>
      <c r="G324" s="97"/>
      <c r="H324" s="83"/>
      <c r="I324" s="97"/>
      <c r="J324" s="97"/>
    </row>
    <row r="325" s="96" customFormat="true" ht="15" hidden="false" customHeight="true" outlineLevel="0" collapsed="false">
      <c r="A325" s="97"/>
      <c r="C325" s="98"/>
      <c r="D325" s="98"/>
      <c r="E325" s="83"/>
      <c r="F325" s="98"/>
      <c r="G325" s="97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97"/>
      <c r="J329" s="97"/>
    </row>
    <row r="330" s="96" customFormat="true" ht="15" hidden="false" customHeight="true" outlineLevel="0" collapsed="false">
      <c r="A330" s="97"/>
      <c r="C330" s="182"/>
      <c r="D330" s="98"/>
      <c r="E330" s="97"/>
      <c r="F330" s="209"/>
      <c r="G330" s="209"/>
      <c r="H330" s="110"/>
      <c r="I330" s="182"/>
      <c r="J330" s="97"/>
    </row>
    <row r="331" s="96" customFormat="true" ht="15" hidden="false" customHeight="true" outlineLevel="0" collapsed="false">
      <c r="A331" s="99"/>
      <c r="B331" s="99"/>
      <c r="C331" s="98"/>
      <c r="D331" s="98"/>
      <c r="E331" s="97"/>
      <c r="F331" s="110"/>
      <c r="G331" s="1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240-3 Panel (2L1R)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188"/>
      <c r="C333" s="182"/>
      <c r="D333" s="98"/>
      <c r="E333" s="97"/>
      <c r="F333" s="210"/>
      <c r="G333" s="210"/>
      <c r="H333" s="110"/>
      <c r="I333" s="97"/>
      <c r="J333" s="97"/>
    </row>
    <row r="334" s="96" customFormat="true" ht="15.75" hidden="false" customHeight="true" outlineLevel="0" collapsed="false">
      <c r="A334" s="97"/>
      <c r="B334" s="97"/>
      <c r="C334" s="98"/>
      <c r="D334" s="98"/>
      <c r="E334" s="97"/>
      <c r="F334" s="78"/>
      <c r="H334" s="97"/>
      <c r="I334" s="97"/>
      <c r="J334" s="97"/>
    </row>
    <row r="335" s="96" customFormat="true" ht="15.75" hidden="false" customHeight="true" outlineLevel="0" collapsed="false">
      <c r="A335" s="81"/>
      <c r="C335" s="212"/>
      <c r="D335" s="98"/>
      <c r="E335" s="97"/>
      <c r="F335" s="97"/>
      <c r="G335" s="97"/>
      <c r="H335" s="97"/>
      <c r="I335" s="97"/>
      <c r="J335" s="97"/>
    </row>
    <row r="336" s="96" customFormat="true" ht="15.75" hidden="false" customHeight="true" outlineLevel="0" collapsed="false">
      <c r="A336" s="191"/>
      <c r="C336" s="191"/>
      <c r="D336" s="192"/>
      <c r="E336" s="191"/>
      <c r="F336" s="191"/>
      <c r="G336" s="191"/>
      <c r="H336" s="191"/>
      <c r="I336" s="191"/>
      <c r="J336" s="199"/>
    </row>
    <row r="337" s="96" customFormat="true" ht="15.75" hidden="false" customHeight="true" outlineLevel="0" collapsed="false">
      <c r="A337" s="190"/>
      <c r="C337" s="98"/>
      <c r="D337" s="194"/>
      <c r="E337" s="190"/>
      <c r="F337" s="189"/>
      <c r="G337" s="190"/>
      <c r="H337" s="189"/>
      <c r="I337" s="189"/>
      <c r="J337" s="190"/>
    </row>
    <row r="338" s="96" customFormat="true" ht="15.75" hidden="false" customHeight="true" outlineLevel="0" collapsed="false">
      <c r="A338" s="97"/>
      <c r="C338" s="98"/>
      <c r="D338" s="98"/>
      <c r="E338" s="97"/>
      <c r="F338" s="98"/>
      <c r="G338" s="97"/>
      <c r="H338" s="97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191"/>
      <c r="D340" s="98"/>
      <c r="E340" s="97"/>
      <c r="F340" s="98"/>
      <c r="G340" s="97"/>
      <c r="H340" s="201"/>
      <c r="I340" s="201"/>
      <c r="J340" s="201"/>
    </row>
    <row r="341" s="96" customFormat="true" ht="15.75" hidden="false" customHeight="true" outlineLevel="0" collapsed="false">
      <c r="A341" s="97"/>
      <c r="C341" s="182"/>
      <c r="D341" s="98"/>
      <c r="E341" s="97"/>
      <c r="F341" s="98"/>
      <c r="G341" s="97"/>
      <c r="H341" s="98"/>
      <c r="I341" s="98"/>
      <c r="J341" s="98"/>
    </row>
    <row r="342" s="96" customFormat="true" ht="15.75" hidden="false" customHeight="true" outlineLevel="0" collapsed="false">
      <c r="A342" s="97"/>
      <c r="C342" s="98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7"/>
      <c r="I343" s="97"/>
      <c r="J343" s="196"/>
    </row>
    <row r="344" s="96" customFormat="true" ht="15.75" hidden="false" customHeight="true" outlineLevel="0" collapsed="false">
      <c r="A344" s="97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C347" s="191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98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D351" s="98"/>
      <c r="E351" s="97"/>
      <c r="F351" s="97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195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97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B355" s="191"/>
      <c r="C355" s="191"/>
      <c r="D355" s="192"/>
      <c r="E355" s="191"/>
      <c r="F355" s="191"/>
      <c r="G355" s="191"/>
      <c r="H355" s="191"/>
      <c r="I355" s="191"/>
      <c r="J355" s="199"/>
    </row>
    <row r="356" s="96" customFormat="true" ht="15.75" hidden="false" customHeight="true" outlineLevel="0" collapsed="false">
      <c r="A356" s="190"/>
      <c r="B356" s="190"/>
      <c r="C356" s="191"/>
      <c r="D356" s="194"/>
      <c r="E356" s="190"/>
      <c r="F356" s="189"/>
      <c r="G356" s="190"/>
      <c r="H356" s="189"/>
      <c r="I356" s="189"/>
      <c r="J356" s="190"/>
    </row>
    <row r="357" s="96" customFormat="true" ht="15.75" hidden="false" customHeight="true" outlineLevel="0" collapsed="false">
      <c r="A357" s="200"/>
      <c r="C357" s="182"/>
      <c r="D357" s="98"/>
      <c r="E357" s="97"/>
      <c r="F357" s="97"/>
      <c r="G357" s="97"/>
      <c r="H357" s="182"/>
      <c r="I357" s="196"/>
      <c r="J357" s="196"/>
    </row>
    <row r="358" s="96" customFormat="true" ht="15.75" hidden="false" customHeight="true" outlineLevel="0" collapsed="false">
      <c r="A358" s="200"/>
      <c r="C358" s="98"/>
      <c r="D358" s="98"/>
      <c r="E358" s="97"/>
      <c r="F358" s="97"/>
      <c r="G358" s="97"/>
      <c r="H358" s="98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D360" s="98"/>
      <c r="E360" s="97"/>
      <c r="F360" s="97"/>
      <c r="G360" s="97"/>
      <c r="H360" s="97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C363" s="98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G372" s="97"/>
      <c r="H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182"/>
      <c r="I375" s="196"/>
      <c r="J375" s="196"/>
    </row>
    <row r="376" s="96" customFormat="true" ht="15.75" hidden="false" customHeight="true" outlineLevel="0" collapsed="false">
      <c r="A376" s="200"/>
      <c r="C376" s="188"/>
      <c r="D376" s="98"/>
      <c r="E376" s="97"/>
      <c r="F376" s="97"/>
      <c r="G376" s="97"/>
      <c r="H376" s="98"/>
      <c r="I376" s="98"/>
      <c r="J376" s="98"/>
    </row>
    <row r="377" s="96" customFormat="true" ht="15.75" hidden="false" customHeight="true" outlineLevel="0" collapsed="false">
      <c r="A377" s="200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C378" s="98"/>
      <c r="D378" s="98"/>
      <c r="E378" s="97"/>
      <c r="F378" s="97"/>
      <c r="G378" s="97"/>
      <c r="H378" s="182"/>
      <c r="I378" s="196"/>
      <c r="J378" s="196"/>
    </row>
    <row r="379" s="96" customFormat="true" ht="15.75" hidden="false" customHeight="true" outlineLevel="0" collapsed="false">
      <c r="A379" s="200"/>
      <c r="D379" s="98"/>
      <c r="E379" s="97"/>
      <c r="F379" s="97"/>
      <c r="G379" s="97"/>
      <c r="H379" s="98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7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213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97"/>
      <c r="I389" s="97"/>
      <c r="J389" s="97"/>
    </row>
    <row r="390" s="96" customFormat="true" ht="15.75" hidden="false" customHeight="true" outlineLevel="0" collapsed="false">
      <c r="A390" s="200"/>
      <c r="C390" s="188"/>
      <c r="D390" s="98"/>
      <c r="E390" s="97"/>
      <c r="F390" s="97"/>
      <c r="G390" s="97"/>
      <c r="H390" s="98"/>
      <c r="I390" s="98"/>
      <c r="J390" s="98"/>
    </row>
    <row r="391" s="96" customFormat="true" ht="15.75" hidden="false" customHeight="true" outlineLevel="0" collapsed="false">
      <c r="A391" s="200"/>
      <c r="D391" s="98"/>
      <c r="E391" s="97"/>
      <c r="F391" s="97"/>
      <c r="G391" s="97"/>
      <c r="H391" s="97"/>
      <c r="I391" s="196"/>
      <c r="J391" s="196"/>
    </row>
    <row r="392" s="96" customFormat="true" ht="15.75" hidden="false" customHeight="true" outlineLevel="0" collapsed="false">
      <c r="A392" s="200"/>
      <c r="C392" s="98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202" customFormat="true" ht="15.75" hidden="false" customHeight="true" outlineLevel="0" collapsed="false">
      <c r="A405" s="107"/>
      <c r="B405" s="96"/>
      <c r="C405" s="96"/>
      <c r="D405" s="98"/>
      <c r="E405" s="97"/>
      <c r="F405" s="97"/>
      <c r="G405" s="97"/>
      <c r="H405" s="97"/>
      <c r="I405" s="97"/>
      <c r="J405" s="97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D419" s="98"/>
      <c r="E419" s="97"/>
      <c r="F419" s="97"/>
      <c r="G419" s="97"/>
      <c r="H419" s="97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LEFT($J$111,13)&amp;"-04"</f>
        <v>FG-240-3P2L1R-04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C423" s="75"/>
      <c r="D423" s="76"/>
      <c r="E423" s="76"/>
      <c r="F423" s="76"/>
      <c r="G423" s="76"/>
      <c r="H423" s="76"/>
      <c r="I423" s="76"/>
      <c r="J423" s="77" t="str">
        <f aca="false">J2</f>
        <v>HOMELIFE</v>
      </c>
      <c r="K423" s="83"/>
      <c r="L423" s="83"/>
      <c r="M423" s="79"/>
      <c r="N423" s="79"/>
    </row>
    <row r="424" customFormat="false" ht="24.75" hidden="false" customHeight="true" outlineLevel="0" collapsed="false">
      <c r="C424" s="82"/>
      <c r="D424" s="82"/>
      <c r="E424" s="82"/>
      <c r="F424" s="82"/>
      <c r="G424" s="82"/>
      <c r="H424" s="82"/>
      <c r="I424" s="82"/>
      <c r="J424" s="80" t="str">
        <f aca="false">J3</f>
        <v>Fabricators Guide</v>
      </c>
      <c r="K424" s="83"/>
      <c r="L424" s="83"/>
      <c r="M424" s="79"/>
      <c r="N424" s="79"/>
    </row>
    <row r="425" customFormat="false" ht="24.75" hidden="false" customHeight="true" outlineLevel="0" collapsed="false">
      <c r="B425" s="81"/>
      <c r="C425" s="82"/>
      <c r="D425" s="82"/>
      <c r="E425" s="82"/>
      <c r="F425" s="82"/>
      <c r="G425" s="82"/>
      <c r="H425" s="82"/>
      <c r="I425" s="82"/>
      <c r="J425" s="80" t="str">
        <f aca="false">J4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4"/>
      <c r="C426" s="84"/>
      <c r="D426" s="85"/>
      <c r="E426" s="84"/>
      <c r="F426" s="84"/>
      <c r="G426" s="84"/>
      <c r="H426" s="84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</row>
    <row r="428" s="96" customFormat="true" ht="15" hidden="false" customHeight="true" outlineLevel="0" collapsed="false">
      <c r="A428" s="188"/>
      <c r="B428" s="81"/>
      <c r="D428" s="98"/>
      <c r="E428" s="83"/>
      <c r="F428" s="81"/>
      <c r="H428" s="191"/>
      <c r="I428" s="191"/>
      <c r="J428" s="199"/>
    </row>
    <row r="429" s="96" customFormat="true" ht="15" hidden="false" customHeight="true" outlineLevel="0" collapsed="false">
      <c r="A429" s="97"/>
      <c r="D429" s="98"/>
      <c r="E429" s="83"/>
      <c r="F429" s="98"/>
      <c r="H429" s="191"/>
      <c r="I429" s="191"/>
      <c r="J429" s="199"/>
    </row>
    <row r="430" s="96" customFormat="true" ht="15" hidden="false" customHeight="true" outlineLevel="0" collapsed="false">
      <c r="A430" s="97"/>
      <c r="D430" s="98"/>
      <c r="E430" s="83"/>
      <c r="F430" s="98"/>
      <c r="H430" s="191"/>
      <c r="I430" s="191"/>
      <c r="J430" s="199"/>
    </row>
    <row r="431" s="96" customFormat="true" ht="15" hidden="false" customHeight="true" outlineLevel="0" collapsed="false">
      <c r="A431" s="97"/>
      <c r="C431" s="98"/>
      <c r="D431" s="98"/>
      <c r="E431" s="97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C432" s="98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83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182"/>
      <c r="D434" s="98"/>
      <c r="E434" s="97"/>
      <c r="F434" s="216"/>
      <c r="H434" s="191"/>
      <c r="I434" s="191"/>
      <c r="J434" s="199"/>
    </row>
    <row r="435" s="96" customFormat="true" ht="15" hidden="false" customHeight="true" outlineLevel="0" collapsed="false">
      <c r="A435" s="81"/>
      <c r="B435" s="81"/>
      <c r="C435" s="98"/>
      <c r="D435" s="98"/>
      <c r="E435" s="97"/>
      <c r="F435" s="186"/>
      <c r="H435" s="191"/>
      <c r="I435" s="191"/>
      <c r="J435" s="199"/>
    </row>
    <row r="436" s="96" customFormat="true" ht="15" hidden="false" customHeight="true" outlineLevel="0" collapsed="false">
      <c r="A436" s="99"/>
      <c r="B436" s="99"/>
      <c r="C436" s="98"/>
      <c r="D436" s="98"/>
      <c r="E436" s="97"/>
      <c r="F436" s="110"/>
      <c r="H436" s="191"/>
      <c r="I436" s="191"/>
      <c r="J436" s="199"/>
    </row>
    <row r="437" s="96" customFormat="true" ht="15" hidden="false" customHeight="true" outlineLevel="0" collapsed="false">
      <c r="B437" s="99"/>
      <c r="C437" s="98"/>
      <c r="D437" s="98"/>
      <c r="E437" s="97"/>
      <c r="F437" s="110"/>
      <c r="H437" s="191"/>
      <c r="I437" s="191"/>
      <c r="J437" s="199"/>
    </row>
    <row r="438" s="96" customFormat="true" ht="15" hidden="false" customHeight="true" outlineLevel="0" collapsed="false">
      <c r="A438" s="211" t="str">
        <f aca="false">A18</f>
        <v>240-3 Panel (2L1R)</v>
      </c>
      <c r="C438" s="182"/>
      <c r="D438" s="98"/>
      <c r="E438" s="97"/>
      <c r="F438" s="186"/>
      <c r="H438" s="191"/>
      <c r="I438" s="191"/>
      <c r="J438" s="199"/>
    </row>
    <row r="439" s="96" customFormat="true" ht="15.75" hidden="false" customHeight="true" outlineLevel="0" collapsed="false">
      <c r="A439" s="90" t="str">
        <f aca="false">A19</f>
        <v>Outside Bi Fold Door </v>
      </c>
      <c r="C439" s="98"/>
      <c r="D439" s="98"/>
      <c r="E439" s="97"/>
      <c r="F439" s="78"/>
      <c r="H439" s="191"/>
      <c r="I439" s="191"/>
      <c r="J439" s="199"/>
    </row>
    <row r="440" s="96" customFormat="true" ht="15.75" hidden="false" customHeight="true" outlineLevel="0" collapsed="false">
      <c r="A440" s="81"/>
      <c r="C440" s="212"/>
      <c r="D440" s="98"/>
      <c r="E440" s="97"/>
      <c r="F440" s="97"/>
      <c r="H440" s="191"/>
      <c r="I440" s="191"/>
      <c r="J440" s="199"/>
    </row>
    <row r="441" s="96" customFormat="true" ht="15.75" hidden="false" customHeight="true" outlineLevel="0" collapsed="false">
      <c r="A441" s="191"/>
      <c r="C441" s="191"/>
      <c r="D441" s="192"/>
      <c r="E441" s="191"/>
      <c r="F441" s="191"/>
      <c r="H441" s="191"/>
      <c r="I441" s="191"/>
      <c r="J441" s="199"/>
    </row>
    <row r="442" s="96" customFormat="true" ht="15.75" hidden="false" customHeight="true" outlineLevel="0" collapsed="false">
      <c r="A442" s="190"/>
      <c r="C442" s="98"/>
      <c r="D442" s="194"/>
      <c r="E442" s="190"/>
      <c r="F442" s="189"/>
      <c r="H442" s="191"/>
      <c r="I442" s="191"/>
      <c r="J442" s="199"/>
    </row>
    <row r="448" s="96" customFormat="true" ht="15.75" hidden="false" customHeight="true" outlineLevel="0" collapsed="false">
      <c r="A448" s="97"/>
      <c r="D448" s="98"/>
      <c r="E448" s="97"/>
      <c r="F448" s="98"/>
      <c r="G448" s="97"/>
      <c r="H448" s="97"/>
      <c r="I448" s="196"/>
      <c r="J448" s="196"/>
    </row>
    <row r="449" s="96" customFormat="true" ht="15.75" hidden="false" customHeight="true" outlineLevel="0" collapsed="false">
      <c r="A449" s="97"/>
      <c r="D449" s="98"/>
      <c r="E449" s="97"/>
      <c r="F449" s="98"/>
      <c r="G449" s="97"/>
      <c r="H449" s="97"/>
      <c r="I449" s="196"/>
      <c r="J449" s="196"/>
    </row>
    <row r="450" s="96" customFormat="true" ht="15.75" hidden="false" customHeight="true" outlineLevel="0" collapsed="false">
      <c r="A450" s="97"/>
      <c r="D450" s="98"/>
      <c r="E450" s="97"/>
      <c r="F450" s="98"/>
      <c r="G450" s="97"/>
      <c r="H450" s="97"/>
      <c r="I450" s="196"/>
      <c r="J450" s="196"/>
    </row>
    <row r="451" s="96" customFormat="true" ht="15.75" hidden="false" customHeight="true" outlineLevel="0" collapsed="false">
      <c r="A451" s="97"/>
      <c r="C451" s="191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C452" s="98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C453" s="98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98"/>
      <c r="D454" s="98"/>
      <c r="E454" s="97"/>
      <c r="F454" s="98"/>
      <c r="G454" s="97"/>
      <c r="H454" s="97"/>
      <c r="I454" s="97"/>
      <c r="J454" s="196"/>
    </row>
    <row r="455" s="96" customFormat="true" ht="15.75" hidden="false" customHeight="true" outlineLevel="0" collapsed="false">
      <c r="A455" s="97"/>
      <c r="D455" s="98"/>
      <c r="E455" s="97"/>
      <c r="F455" s="97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D456" s="98"/>
      <c r="E456" s="97"/>
      <c r="F456" s="97"/>
      <c r="G456" s="97"/>
      <c r="H456" s="195"/>
      <c r="I456" s="196"/>
      <c r="J456" s="196"/>
    </row>
    <row r="457" s="96" customFormat="true" ht="15" hidden="false" customHeight="true" outlineLevel="0" collapsed="false">
      <c r="A457" s="97"/>
      <c r="D457" s="98"/>
      <c r="E457" s="97"/>
      <c r="F457" s="97"/>
      <c r="G457" s="97"/>
      <c r="H457" s="97"/>
      <c r="I457" s="196"/>
      <c r="J457" s="196"/>
    </row>
    <row r="458" s="96" customFormat="true" ht="1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97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202" customFormat="true" ht="15.75" hidden="false" customHeight="true" outlineLevel="0" collapsed="false">
      <c r="A475" s="97"/>
      <c r="B475" s="96"/>
      <c r="C475" s="96"/>
      <c r="D475" s="98"/>
      <c r="E475" s="97"/>
      <c r="F475" s="97"/>
      <c r="G475" s="97"/>
      <c r="H475" s="97"/>
      <c r="I475" s="97"/>
      <c r="J475" s="97"/>
    </row>
    <row r="476" s="96" customFormat="true" ht="15.75" hidden="false" customHeight="true" outlineLevel="0" collapsed="false">
      <c r="A476" s="191"/>
      <c r="B476" s="191"/>
      <c r="C476" s="191"/>
      <c r="D476" s="192"/>
      <c r="E476" s="191"/>
      <c r="F476" s="191"/>
      <c r="G476" s="191"/>
      <c r="H476" s="191"/>
      <c r="I476" s="191"/>
      <c r="J476" s="199"/>
    </row>
    <row r="477" s="96" customFormat="true" ht="15.75" hidden="false" customHeight="true" outlineLevel="0" collapsed="false">
      <c r="A477" s="190"/>
      <c r="B477" s="190"/>
      <c r="C477" s="191"/>
      <c r="D477" s="194"/>
      <c r="E477" s="190"/>
      <c r="F477" s="189"/>
      <c r="G477" s="190"/>
      <c r="H477" s="189"/>
      <c r="I477" s="189"/>
      <c r="J477" s="190"/>
    </row>
    <row r="478" s="96" customFormat="true" ht="15.75" hidden="false" customHeight="true" outlineLevel="0" collapsed="false">
      <c r="A478" s="200"/>
      <c r="C478" s="182"/>
      <c r="D478" s="98"/>
      <c r="E478" s="97"/>
      <c r="F478" s="97"/>
      <c r="G478" s="97"/>
      <c r="H478" s="182"/>
      <c r="I478" s="196"/>
      <c r="J478" s="196"/>
    </row>
    <row r="479" s="96" customFormat="true" ht="15.75" hidden="false" customHeight="true" outlineLevel="0" collapsed="false">
      <c r="A479" s="200"/>
      <c r="C479" s="98"/>
      <c r="D479" s="98"/>
      <c r="E479" s="97"/>
      <c r="F479" s="97"/>
      <c r="G479" s="97"/>
      <c r="J479" s="97"/>
    </row>
    <row r="480" s="96" customFormat="true" ht="15.75" hidden="false" customHeight="true" outlineLevel="0" collapsed="false">
      <c r="A480" s="200"/>
      <c r="C480" s="98"/>
      <c r="D480" s="98"/>
      <c r="E480" s="97"/>
      <c r="F480" s="97"/>
      <c r="G480" s="97"/>
      <c r="J480" s="97"/>
    </row>
    <row r="481" s="96" customFormat="true" ht="15.75" hidden="false" customHeight="true" outlineLevel="0" collapsed="false">
      <c r="A481" s="200"/>
      <c r="D481" s="98"/>
      <c r="E481" s="97"/>
      <c r="F481" s="97"/>
      <c r="G481" s="97"/>
      <c r="H481" s="97"/>
      <c r="I481" s="196"/>
      <c r="J481" s="196"/>
    </row>
    <row r="482" s="96" customFormat="true" ht="15.75" hidden="false" customHeight="true" outlineLevel="0" collapsed="false">
      <c r="A482" s="200"/>
      <c r="D482" s="98"/>
      <c r="E482" s="97"/>
      <c r="F482" s="97"/>
      <c r="G482" s="97"/>
      <c r="H482" s="97"/>
      <c r="I482" s="196"/>
      <c r="J482" s="196"/>
    </row>
    <row r="483" s="96" customFormat="true" ht="15.75" hidden="false" customHeight="true" outlineLevel="0" collapsed="false">
      <c r="A483" s="200"/>
      <c r="D483" s="98"/>
      <c r="E483" s="97"/>
      <c r="F483" s="97"/>
      <c r="G483" s="97"/>
      <c r="H483" s="97"/>
      <c r="I483" s="196"/>
      <c r="J483" s="196"/>
    </row>
    <row r="484" s="96" customFormat="true" ht="15.75" hidden="false" customHeight="true" outlineLevel="0" collapsed="false">
      <c r="A484" s="200"/>
      <c r="C484" s="98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G495" s="97"/>
      <c r="H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182"/>
      <c r="I496" s="196"/>
      <c r="J496" s="196"/>
    </row>
    <row r="497" s="96" customFormat="true" ht="15.75" hidden="false" customHeight="true" outlineLevel="0" collapsed="false">
      <c r="A497" s="200"/>
      <c r="C497" s="188"/>
      <c r="D497" s="98"/>
      <c r="E497" s="97"/>
      <c r="F497" s="97"/>
      <c r="G497" s="97"/>
      <c r="J497" s="97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J498" s="97"/>
    </row>
    <row r="499" s="96" customFormat="true" ht="15.75" hidden="false" customHeight="true" outlineLevel="0" collapsed="false">
      <c r="A499" s="200"/>
      <c r="C499" s="98"/>
      <c r="D499" s="98"/>
      <c r="E499" s="97"/>
      <c r="F499" s="97"/>
      <c r="G499" s="97"/>
      <c r="H499" s="182"/>
      <c r="I499" s="196"/>
      <c r="J499" s="196"/>
    </row>
    <row r="500" s="96" customFormat="true" ht="15.75" hidden="false" customHeight="true" outlineLevel="0" collapsed="false">
      <c r="A500" s="200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J501" s="97"/>
    </row>
    <row r="502" s="96" customFormat="true" ht="15.75" hidden="false" customHeight="true" outlineLevel="0" collapsed="false">
      <c r="A502" s="200"/>
      <c r="D502" s="98"/>
      <c r="E502" s="97"/>
      <c r="F502" s="97"/>
      <c r="G502" s="97"/>
      <c r="H502" s="97"/>
      <c r="I502" s="196"/>
      <c r="J502" s="196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H503" s="97"/>
      <c r="I503" s="196"/>
      <c r="J503" s="196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H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97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97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97"/>
      <c r="J513" s="196"/>
    </row>
    <row r="514" s="96" customFormat="true" ht="15.75" hidden="false" customHeight="true" outlineLevel="0" collapsed="false">
      <c r="A514" s="200"/>
      <c r="D514" s="98"/>
      <c r="E514" s="97"/>
      <c r="F514" s="97"/>
      <c r="G514" s="97"/>
      <c r="H514" s="97"/>
      <c r="I514" s="97"/>
      <c r="J514" s="196"/>
    </row>
    <row r="515" s="96" customFormat="true" ht="15.75" hidden="false" customHeight="true" outlineLevel="0" collapsed="false">
      <c r="A515" s="200"/>
      <c r="D515" s="98"/>
      <c r="E515" s="97"/>
      <c r="F515" s="97"/>
      <c r="G515" s="97"/>
      <c r="H515" s="238"/>
      <c r="I515" s="212"/>
      <c r="J515" s="195"/>
    </row>
    <row r="516" s="96" customFormat="true" ht="15.75" hidden="false" customHeight="true" outlineLevel="0" collapsed="false">
      <c r="A516" s="191"/>
      <c r="B516" s="191"/>
      <c r="C516" s="191"/>
      <c r="D516" s="192"/>
      <c r="E516" s="191"/>
      <c r="F516" s="191"/>
      <c r="G516" s="191"/>
      <c r="H516" s="191"/>
      <c r="I516" s="191"/>
      <c r="J516" s="199"/>
    </row>
    <row r="517" s="96" customFormat="true" ht="15.75" hidden="false" customHeight="true" outlineLevel="0" collapsed="false">
      <c r="A517" s="191"/>
      <c r="B517" s="191"/>
      <c r="C517" s="191"/>
      <c r="D517" s="192"/>
      <c r="E517" s="191"/>
      <c r="F517" s="191"/>
      <c r="G517" s="191"/>
      <c r="H517" s="191"/>
      <c r="I517" s="191"/>
      <c r="J517" s="199"/>
    </row>
    <row r="518" s="96" customFormat="true" ht="15.75" hidden="false" customHeight="true" outlineLevel="0" collapsed="false"/>
    <row r="519" s="96" customFormat="true" ht="15.75" hidden="false" customHeight="true" outlineLevel="0" collapsed="false"/>
    <row r="520" s="96" customFormat="true" ht="24.75" hidden="false" customHeight="true" outlineLevel="0" collapsed="false">
      <c r="A520" s="88" t="s">
        <v>482</v>
      </c>
      <c r="B520" s="88"/>
      <c r="C520" s="88"/>
      <c r="D520" s="88"/>
      <c r="E520" s="88"/>
      <c r="F520" s="88"/>
      <c r="G520" s="88"/>
      <c r="H520" s="88"/>
      <c r="I520" s="88"/>
      <c r="J520" s="88"/>
    </row>
    <row r="521" s="96" customFormat="true" ht="34.5" hidden="false" customHeight="true" outlineLevel="0" collapsed="false">
      <c r="A521" s="114" t="s">
        <v>319</v>
      </c>
      <c r="B521" s="115" t="s">
        <v>168</v>
      </c>
      <c r="C521" s="115" t="s">
        <v>168</v>
      </c>
      <c r="D521" s="116" t="s">
        <v>483</v>
      </c>
      <c r="E521" s="115" t="s">
        <v>321</v>
      </c>
      <c r="F521" s="239" t="s">
        <v>484</v>
      </c>
      <c r="G521" s="240"/>
      <c r="H521" s="116" t="s">
        <v>484</v>
      </c>
      <c r="I521" s="116" t="s">
        <v>485</v>
      </c>
      <c r="J521" s="117" t="s">
        <v>323</v>
      </c>
      <c r="N521" s="118" t="s">
        <v>168</v>
      </c>
      <c r="O521" s="118" t="s">
        <v>168</v>
      </c>
      <c r="Q521" s="251"/>
      <c r="R521" s="252"/>
      <c r="S521" s="251"/>
      <c r="T521" s="252"/>
      <c r="U521" s="252"/>
    </row>
    <row r="522" s="96" customFormat="true" ht="15.75" hidden="false" customHeight="true" outlineLevel="0" collapsed="false">
      <c r="A522" s="120" t="n">
        <f aca="false">IF(C522="","",1)</f>
        <v>1</v>
      </c>
      <c r="B522" s="121" t="str">
        <f aca="false">IF($D$127=5,N522,IF($D$127=6,N523,IF($D$127=8,N524,IF($D$127=10,N525,IF($D$127=12,N526,IF($D$127=14,N527,IF($D$127=18,N528,IF($D$127=20,N529,IF($D$127=22,N530,)))))))))</f>
        <v>กระจก 6 mm (สูง) (กว้าง)</v>
      </c>
      <c r="C522" s="121" t="str">
        <f aca="false">IF($D$127=5,O522,IF($D$127=6,O523,IF($D$127=8,O524,IF($D$127=10,O525,IF($D$127=12,O526,IF($D$127=14,O527,IF($D$127=18,O528,IF($D$127=20,O529,IF($D$127=22,O530,)))))))))</f>
        <v>GLASS thk.6 mm (H) (W)</v>
      </c>
      <c r="D522" s="123" t="n">
        <f aca="false">$J$123-215</f>
        <v>2285</v>
      </c>
      <c r="E522" s="120" t="s">
        <v>486</v>
      </c>
      <c r="F522" s="224" t="s">
        <v>487</v>
      </c>
      <c r="G522" s="224"/>
      <c r="H522" s="120" t="s">
        <v>548</v>
      </c>
      <c r="I522" s="225" t="n">
        <f aca="false">(($J$126-182-(113.25*2))/3)-13</f>
        <v>1017.5</v>
      </c>
      <c r="J522" s="226" t="n">
        <f aca="false">$J$120*3</f>
        <v>3</v>
      </c>
      <c r="M522" s="96" t="n">
        <f aca="false">ROW()</f>
        <v>522</v>
      </c>
      <c r="N522" s="62" t="s">
        <v>489</v>
      </c>
      <c r="O522" s="62" t="s">
        <v>490</v>
      </c>
      <c r="Q522" s="97"/>
      <c r="R522" s="97"/>
      <c r="S522" s="172"/>
      <c r="T522" s="97"/>
      <c r="U522" s="253"/>
    </row>
    <row r="523" s="96" customFormat="true" ht="15.75" hidden="false" customHeight="true" outlineLevel="0" collapsed="false">
      <c r="A523" s="167"/>
      <c r="B523" s="228"/>
      <c r="C523" s="228"/>
      <c r="D523" s="241"/>
      <c r="E523" s="167"/>
      <c r="F523" s="229"/>
      <c r="G523" s="242"/>
      <c r="H523" s="167"/>
      <c r="I523" s="231"/>
      <c r="J523" s="232"/>
      <c r="M523" s="96" t="n">
        <f aca="false">ROW()</f>
        <v>523</v>
      </c>
      <c r="N523" s="62" t="s">
        <v>491</v>
      </c>
      <c r="O523" s="62" t="s">
        <v>492</v>
      </c>
      <c r="Q523" s="97"/>
      <c r="R523" s="97"/>
      <c r="S523" s="172"/>
      <c r="T523" s="97"/>
      <c r="U523" s="253"/>
    </row>
    <row r="524" s="96" customFormat="true" ht="15.75" hidden="false" customHeight="true" outlineLevel="0" collapsed="false">
      <c r="A524" s="227"/>
      <c r="B524" s="131"/>
      <c r="C524" s="228"/>
      <c r="D524" s="176" t="s">
        <v>208</v>
      </c>
      <c r="E524" s="167"/>
      <c r="F524" s="229"/>
      <c r="G524" s="230"/>
      <c r="H524" s="228"/>
      <c r="I524" s="231"/>
      <c r="J524" s="235"/>
      <c r="M524" s="96" t="n">
        <f aca="false">ROW()</f>
        <v>524</v>
      </c>
      <c r="N524" s="62" t="s">
        <v>493</v>
      </c>
      <c r="O524" s="62" t="s">
        <v>494</v>
      </c>
      <c r="Q524" s="97"/>
      <c r="R524" s="97"/>
      <c r="S524" s="172"/>
      <c r="T524" s="97"/>
      <c r="U524" s="253"/>
    </row>
    <row r="525" s="96" customFormat="true" ht="15.75" hidden="false" customHeight="true" outlineLevel="0" collapsed="false">
      <c r="A525" s="227"/>
      <c r="B525" s="131"/>
      <c r="C525" s="131"/>
      <c r="D525" s="132"/>
      <c r="E525" s="130"/>
      <c r="F525" s="233"/>
      <c r="G525" s="234"/>
      <c r="H525" s="130"/>
      <c r="I525" s="133"/>
      <c r="J525" s="235"/>
      <c r="M525" s="96" t="n">
        <f aca="false">ROW()</f>
        <v>525</v>
      </c>
      <c r="N525" s="62" t="s">
        <v>495</v>
      </c>
      <c r="O525" s="62" t="s">
        <v>496</v>
      </c>
    </row>
    <row r="526" s="96" customFormat="true" ht="15.75" hidden="false" customHeight="true" outlineLevel="0" collapsed="false">
      <c r="A526" s="136" t="str">
        <f aca="false">IF(B526="","",+A524+1)</f>
        <v/>
      </c>
      <c r="B526" s="135"/>
      <c r="C526" s="135"/>
      <c r="D526" s="139"/>
      <c r="E526" s="136"/>
      <c r="F526" s="236"/>
      <c r="G526" s="237"/>
      <c r="H526" s="136"/>
      <c r="I526" s="180"/>
      <c r="J526" s="140"/>
      <c r="M526" s="96" t="n">
        <f aca="false">ROW()</f>
        <v>526</v>
      </c>
      <c r="N526" s="62" t="s">
        <v>497</v>
      </c>
      <c r="O526" s="62" t="s">
        <v>498</v>
      </c>
    </row>
    <row r="527" customFormat="false" ht="14.25" hidden="false" customHeight="false" outlineLevel="0" collapsed="false">
      <c r="J527" s="92" t="str">
        <f aca="false">LEFT($J$111,13)&amp;"-05"</f>
        <v>FG-240-3P2L1R-05</v>
      </c>
      <c r="M527" s="96" t="n">
        <f aca="false">ROW()</f>
        <v>527</v>
      </c>
      <c r="N527" s="62" t="s">
        <v>499</v>
      </c>
      <c r="O527" s="62" t="s">
        <v>500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501</v>
      </c>
      <c r="O528" s="62" t="s">
        <v>502</v>
      </c>
    </row>
    <row r="529" customFormat="false" ht="14.25" hidden="false" customHeight="false" outlineLevel="0" collapsed="false">
      <c r="M529" s="96" t="n">
        <f aca="false">ROW()</f>
        <v>529</v>
      </c>
      <c r="N529" s="62" t="s">
        <v>503</v>
      </c>
      <c r="O529" s="62" t="s">
        <v>504</v>
      </c>
    </row>
    <row r="530" customFormat="false" ht="14.25" hidden="false" customHeight="false" outlineLevel="0" collapsed="false">
      <c r="M530" s="96" t="n">
        <f aca="false">ROW()</f>
        <v>530</v>
      </c>
      <c r="N530" s="62" t="s">
        <v>505</v>
      </c>
      <c r="O530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8:J158"/>
    <mergeCell ref="I159:J159"/>
    <mergeCell ref="I160:J160"/>
    <mergeCell ref="I161:J161"/>
    <mergeCell ref="I162:J162"/>
    <mergeCell ref="D163:D164"/>
    <mergeCell ref="H163:H164"/>
    <mergeCell ref="I163:J164"/>
    <mergeCell ref="D165:D166"/>
    <mergeCell ref="H165:H166"/>
    <mergeCell ref="I165:J165"/>
    <mergeCell ref="I166:J169"/>
    <mergeCell ref="D167:D171"/>
    <mergeCell ref="H167:H171"/>
    <mergeCell ref="I170:J171"/>
    <mergeCell ref="D172:D173"/>
    <mergeCell ref="H172:H173"/>
    <mergeCell ref="I172:J172"/>
    <mergeCell ref="D174:D175"/>
    <mergeCell ref="H174:H175"/>
    <mergeCell ref="I175:J175"/>
    <mergeCell ref="A176:J176"/>
    <mergeCell ref="A213:J213"/>
    <mergeCell ref="H221:J221"/>
    <mergeCell ref="A320:J320"/>
    <mergeCell ref="F330:G330"/>
    <mergeCell ref="F333:G333"/>
    <mergeCell ref="A427:J427"/>
    <mergeCell ref="A520:J520"/>
    <mergeCell ref="F522:G522"/>
  </mergeCells>
  <dataValidations count="3">
    <dataValidation allowBlank="true" errorStyle="stop" operator="between" showDropDown="false" showErrorMessage="true" showInputMessage="true" sqref="D127:G127" type="list">
      <formula1>$N$120:$N$128</formula1>
      <formula2>0</formula2>
    </dataValidation>
    <dataValidation allowBlank="true" errorStyle="stop" operator="between" showDropDown="false" showErrorMessage="true" showInputMessage="true" sqref="D129:G129" type="list">
      <formula1>$O$120</formula1>
      <formula2>0</formula2>
    </dataValidation>
    <dataValidation allowBlank="true" errorStyle="stop" operator="between" showDropDown="false" showErrorMessage="true" showInputMessage="true" sqref="D123:G123" type="list">
      <formula1>$P$119:$P$128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AJ530"/>
  <sheetViews>
    <sheetView showFormulas="false" showGridLines="false" showRowColHeaders="true" showZeros="true" rightToLeft="false" tabSelected="false" showOutlineSymbols="true" defaultGridColor="true" view="pageBreakPreview" topLeftCell="A124" colorId="64" zoomScale="75" zoomScaleNormal="75" zoomScalePageLayoutView="75" workbookViewId="0">
      <selection pane="topLeft" activeCell="I135" activeCellId="0" sqref="I135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59.67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8.67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1.33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549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>
      <c r="G45" s="91"/>
    </row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550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246" t="s">
        <v>285</v>
      </c>
      <c r="B117" s="246"/>
      <c r="C117" s="246"/>
      <c r="D117" s="246"/>
      <c r="E117" s="246"/>
      <c r="F117" s="246"/>
      <c r="G117" s="246"/>
      <c r="H117" s="246"/>
      <c r="I117" s="246"/>
      <c r="J117" s="246"/>
      <c r="K117" s="83"/>
      <c r="L117" s="87"/>
      <c r="M117" s="87"/>
      <c r="N117" s="87"/>
    </row>
    <row r="118" s="96" customFormat="true" ht="15" hidden="false" customHeight="true" outlineLevel="0" collapsed="false">
      <c r="A118" s="97"/>
      <c r="C118" s="81"/>
      <c r="D118" s="98"/>
      <c r="E118" s="83"/>
      <c r="J118" s="99"/>
      <c r="K118" s="83"/>
    </row>
    <row r="119" s="96" customFormat="true" ht="15" hidden="false" customHeight="true" outlineLevel="0" collapsed="false">
      <c r="A119" s="97"/>
      <c r="C119" s="100" t="s">
        <v>286</v>
      </c>
      <c r="D119" s="101"/>
      <c r="E119" s="101"/>
      <c r="F119" s="101"/>
      <c r="G119" s="101"/>
      <c r="I119" s="83"/>
      <c r="J119" s="97"/>
      <c r="N119" s="102" t="s">
        <v>288</v>
      </c>
      <c r="O119" s="97" t="s">
        <v>289</v>
      </c>
      <c r="P119" s="102" t="s">
        <v>290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102" t="n">
        <v>5</v>
      </c>
      <c r="O120" s="97" t="s">
        <v>509</v>
      </c>
      <c r="P120" s="106" t="s">
        <v>294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102" t="n">
        <v>6</v>
      </c>
      <c r="O121" s="97" t="s">
        <v>296</v>
      </c>
      <c r="P121" s="106" t="s">
        <v>297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102" t="n">
        <v>8</v>
      </c>
      <c r="P122" s="106" t="s">
        <v>299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2200</v>
      </c>
      <c r="N123" s="102" t="n">
        <v>10</v>
      </c>
      <c r="P123" s="106" t="s">
        <v>303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102" t="n">
        <v>12</v>
      </c>
      <c r="P124" s="106" t="s">
        <v>305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102" t="n">
        <v>14</v>
      </c>
      <c r="P125" s="106" t="s">
        <v>308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2100</v>
      </c>
      <c r="K126" s="110"/>
      <c r="L126" s="110"/>
      <c r="N126" s="102" t="n">
        <v>18</v>
      </c>
      <c r="P126" s="106" t="s">
        <v>311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5</v>
      </c>
      <c r="E127" s="111"/>
      <c r="F127" s="111"/>
      <c r="G127" s="111"/>
      <c r="H127" s="104"/>
      <c r="I127" s="104"/>
      <c r="J127" s="105"/>
      <c r="N127" s="102" t="n">
        <v>20</v>
      </c>
      <c r="P127" s="106" t="s">
        <v>313</v>
      </c>
    </row>
    <row r="128" s="96" customFormat="true" ht="18.75" hidden="false" customHeight="true" outlineLevel="0" collapsed="false">
      <c r="C128" s="108" t="s">
        <v>314</v>
      </c>
      <c r="I128" s="97"/>
      <c r="J128" s="97"/>
      <c r="N128" s="102" t="n">
        <v>22</v>
      </c>
      <c r="P128" s="106" t="s">
        <v>315</v>
      </c>
    </row>
    <row r="129" s="96" customFormat="true" ht="15" hidden="false" customHeight="true" outlineLevel="0" collapsed="false">
      <c r="A129" s="89" t="str">
        <f aca="false">A18</f>
        <v>240-3 Panel (1L2R)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330</v>
      </c>
      <c r="G133" s="120" t="n">
        <v>1</v>
      </c>
      <c r="H133" s="120" t="s">
        <v>331</v>
      </c>
      <c r="I133" s="123" t="n">
        <f aca="false">$J$126-60</f>
        <v>2040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6</v>
      </c>
      <c r="U133" s="127" t="s">
        <v>528</v>
      </c>
      <c r="V133" s="247" t="n">
        <f aca="false">($J$126-182-(113.25*2))/3</f>
        <v>563.833333333333</v>
      </c>
      <c r="W133" s="129" t="n">
        <f aca="false">$J$119*T133</f>
        <v>0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2014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6</v>
      </c>
      <c r="U134" s="130" t="s">
        <v>528</v>
      </c>
      <c r="V134" s="247" t="n">
        <f aca="false">($J$126-182-(113.25*2))/3</f>
        <v>563.833333333333</v>
      </c>
      <c r="W134" s="134" t="n">
        <f aca="false">$J$119*T134</f>
        <v>0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2040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6</v>
      </c>
      <c r="U135" s="136" t="s">
        <v>528</v>
      </c>
      <c r="V135" s="247" t="n">
        <f aca="false">($J$126-182-(113.25*2))/3</f>
        <v>563.833333333333</v>
      </c>
      <c r="W135" s="137" t="n">
        <f aca="false">$J$119*T135</f>
        <v>0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2040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6</v>
      </c>
      <c r="U136" s="127" t="s">
        <v>360</v>
      </c>
      <c r="V136" s="138" t="n">
        <f aca="false">$J$123-242</f>
        <v>1958</v>
      </c>
      <c r="W136" s="129" t="n">
        <f aca="false">$J$119*T136</f>
        <v>0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2200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6</v>
      </c>
      <c r="U137" s="130" t="s">
        <v>360</v>
      </c>
      <c r="V137" s="133" t="n">
        <f aca="false">$J$123-242</f>
        <v>1958</v>
      </c>
      <c r="W137" s="134" t="n">
        <f aca="false">$J$119*T137</f>
        <v>0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529</v>
      </c>
      <c r="G138" s="130" t="n">
        <v>1</v>
      </c>
      <c r="H138" s="130" t="s">
        <v>332</v>
      </c>
      <c r="I138" s="133" t="n">
        <f aca="false">$J$123</f>
        <v>2200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6</v>
      </c>
      <c r="U138" s="136" t="s">
        <v>360</v>
      </c>
      <c r="V138" s="140" t="n">
        <f aca="false">$J$123-242</f>
        <v>1958</v>
      </c>
      <c r="W138" s="137" t="n">
        <f aca="false">$J$119*T138</f>
        <v>0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2104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2104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3</v>
      </c>
      <c r="H141" s="130" t="s">
        <v>530</v>
      </c>
      <c r="I141" s="141" t="n">
        <f aca="false">($J$126-60-(3+1)*4)/3</f>
        <v>674.666666666667</v>
      </c>
      <c r="J141" s="134" t="n">
        <f aca="false">$J$120*G141</f>
        <v>3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3</v>
      </c>
      <c r="H142" s="130" t="s">
        <v>530</v>
      </c>
      <c r="I142" s="141" t="n">
        <f aca="false">($J$126-60-(3+1)*4)/3</f>
        <v>674.666666666667</v>
      </c>
      <c r="J142" s="134" t="n">
        <f aca="false">$J$120*G142</f>
        <v>3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4</v>
      </c>
      <c r="H143" s="130" t="s">
        <v>389</v>
      </c>
      <c r="I143" s="133" t="n">
        <f aca="false">$J$123-92</f>
        <v>2108</v>
      </c>
      <c r="J143" s="134" t="n">
        <f aca="false">$J$120*G143</f>
        <v>4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1</v>
      </c>
      <c r="H144" s="130" t="s">
        <v>389</v>
      </c>
      <c r="I144" s="133" t="n">
        <f aca="false">$J$123-92</f>
        <v>2108</v>
      </c>
      <c r="J144" s="134" t="n">
        <f aca="false">$J$120*G144</f>
        <v>1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531</v>
      </c>
      <c r="C145" s="131" t="s">
        <v>532</v>
      </c>
      <c r="D145" s="132" t="s">
        <v>74</v>
      </c>
      <c r="E145" s="130" t="n">
        <v>1.106</v>
      </c>
      <c r="F145" s="132" t="s">
        <v>533</v>
      </c>
      <c r="G145" s="130" t="n">
        <v>1</v>
      </c>
      <c r="H145" s="130" t="s">
        <v>389</v>
      </c>
      <c r="I145" s="133" t="n">
        <f aca="false">$J$123-92</f>
        <v>2108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6" s="131" t="str">
        <f aca="false">IF($D$127=5,Q133,IF($D$127=6,Q133,IF($D$127=8,Q134,IF($D$127=10,Q134,IF($D$127=12,Q134,IF($D$127=14,Q135,IF($D$127=18,Q135,IF($D$127=20,Q135,IF($D$127=22,Q135,)))))))))</f>
        <v>B24008</v>
      </c>
      <c r="E146" s="131" t="n">
        <f aca="false">IF($D$127=5,R133,IF($D$127=6,R133,IF($D$127=8,R134,IF($D$127=10,R134,IF($D$127=12,R134,IF($D$127=14,R135,IF($D$127=18,R135,IF($D$127=20,R135,IF($D$127=22,R135,)))))))))</f>
        <v>0.231</v>
      </c>
      <c r="F146" s="131" t="str">
        <f aca="false">IF($D$127=5,S133,IF($D$127=6,S133,IF($D$127=8,S134,IF($D$127=10,S134,IF($D$127=12,S134,IF($D$127=14,S135,IF($D$127=18,S135,IF($D$127=20,S135,IF($D$127=22,S135,)))))))))</f>
        <v>B24008-001</v>
      </c>
      <c r="G146" s="130" t="n">
        <f aca="false">IF($D$127=5,T133,IF($D$127=6,T133,IF($D$127=8,T134,IF($D$127=10,T134,IF($D$127=12,T134,IF($D$127=14,T135,IF($D$127=18,T135,IF($D$127=20,T135,IF($D$127=22,T135,)))))))))</f>
        <v>6</v>
      </c>
      <c r="H146" s="130" t="str">
        <f aca="false">IF($D$127=5,U133,IF($D$127=6,U133,IF($D$127=8,U134,IF($D$127=10,U134,IF($D$127=12,U134,IF($D$127=14,U135,IF($D$127=18,U135,IF($D$127=20,U135,IF($D$127=22,U135,)))))))))</f>
        <v>(W-182-(113.25 × 2))/3</v>
      </c>
      <c r="I146" s="141" t="n">
        <f aca="false">IF($D$127=5,V133,IF($D$127=6,V133,IF($D$127=8,V134,IF($D$127=10,V134,IF($D$127=12,V134,IF($D$127=14,V135,IF($D$127=18,V135,IF($D$127=20,V135,IF($D$127=22,V135,)))))))))</f>
        <v>563.833333333333</v>
      </c>
      <c r="J146" s="134" t="n">
        <f aca="false">$J$120*G146</f>
        <v>6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7" s="131" t="str">
        <f aca="false">IF($D$127=5,Q136,IF($D$127=6,Q136,IF($D$127=8,Q137,IF($D$127=10,Q137,IF($D$127=12,Q137,IF($D$127=14,Q138,IF($D$127=18,Q138,IF($D$127=20,Q138,IF($D$127=22,Q138,)))))))))</f>
        <v>B24008</v>
      </c>
      <c r="E147" s="131" t="n">
        <f aca="false">IF($D$127=5,R136,IF($D$127=6,R136,IF($D$127=8,R137,IF($D$127=10,R137,IF($D$127=12,R137,IF($D$127=14,R138,IF($D$127=18,R138,IF($D$127=20,R138,IF($D$127=22,R138,)))))))))</f>
        <v>0.231</v>
      </c>
      <c r="F147" s="131" t="str">
        <f aca="false">IF($D$127=5,S136,IF($D$127=6,S136,IF($D$127=8,S137,IF($D$127=10,S137,IF($D$127=12,S137,IF($D$127=14,S138,IF($D$127=18,S138,IF($D$127=20,S138,IF($D$127=22,S138,)))))))))</f>
        <v>B24008-002</v>
      </c>
      <c r="G147" s="130" t="n">
        <f aca="false">IF($D$127=5,T136,IF($D$127=6,T136,IF($D$127=8,T137,IF($D$127=10,T137,IF($D$127=12,T137,IF($D$127=14,T138,IF($D$127=18,T138,IF($D$127=20,T138,IF($D$127=22,T138,)))))))))</f>
        <v>6</v>
      </c>
      <c r="H147" s="130" t="str">
        <f aca="false">IF($D$127=5,U136,IF($D$127=6,U136,IF($D$127=8,U137,IF($D$127=10,U137,IF($D$127=12,U137,IF($D$127=14,U138,IF($D$127=18,U138,IF($D$127=20,U138,IF($D$127=22,U138,)))))))))</f>
        <v>H-242</v>
      </c>
      <c r="I147" s="133" t="n">
        <f aca="false">IF($D$127=5,V136,IF($D$127=6,V136,IF($D$127=8,V137,IF($D$127=10,V137,IF($D$127=12,V137,IF($D$127=14,V138,IF($D$127=18,V138,IF($D$127=20,V138,IF($D$127=22,V138,)))))))))</f>
        <v>1958</v>
      </c>
      <c r="J147" s="134" t="n">
        <f aca="false">$J$120*G147</f>
        <v>6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">
        <v>534</v>
      </c>
      <c r="C148" s="131" t="s">
        <v>535</v>
      </c>
      <c r="D148" s="132" t="s">
        <v>536</v>
      </c>
      <c r="E148" s="130"/>
      <c r="F148" s="132" t="s">
        <v>537</v>
      </c>
      <c r="G148" s="130" t="n">
        <v>1</v>
      </c>
      <c r="H148" s="130" t="s">
        <v>389</v>
      </c>
      <c r="I148" s="133" t="n">
        <f aca="false">$J$123-92</f>
        <v>2108</v>
      </c>
      <c r="J148" s="134" t="n">
        <f aca="false">$J$120*G148</f>
        <v>1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538</v>
      </c>
      <c r="D149" s="132" t="s">
        <v>536</v>
      </c>
      <c r="E149" s="130"/>
      <c r="F149" s="132" t="s">
        <v>539</v>
      </c>
      <c r="G149" s="130" t="n">
        <v>1</v>
      </c>
      <c r="H149" s="130" t="s">
        <v>389</v>
      </c>
      <c r="I149" s="133" t="n">
        <f aca="false">$J$123-92</f>
        <v>2108</v>
      </c>
      <c r="J149" s="134" t="n">
        <f aca="false">$J$120*G149</f>
        <v>1</v>
      </c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42"/>
      <c r="J150" s="134" t="n">
        <f aca="false">$J$120*G150</f>
        <v>0</v>
      </c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42"/>
      <c r="J151" s="134"/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31"/>
      <c r="C153" s="131"/>
      <c r="D153" s="132"/>
      <c r="E153" s="130"/>
      <c r="F153" s="132"/>
      <c r="G153" s="130"/>
      <c r="H153" s="130"/>
      <c r="I153" s="142"/>
      <c r="J153" s="134" t="n">
        <f aca="false">$J$120*G153</f>
        <v>0</v>
      </c>
    </row>
    <row r="154" s="96" customFormat="true" ht="18" hidden="false" customHeight="true" outlineLevel="0" collapsed="false">
      <c r="A154" s="130" t="str">
        <f aca="false">IF(B154="","",+A153+1)</f>
        <v/>
      </c>
      <c r="B154" s="131"/>
      <c r="C154" s="131"/>
      <c r="D154" s="132"/>
      <c r="E154" s="130"/>
      <c r="F154" s="132"/>
      <c r="G154" s="130"/>
      <c r="H154" s="130"/>
      <c r="I154" s="142"/>
      <c r="J154" s="134" t="n">
        <f aca="false">$J$120*G154</f>
        <v>0</v>
      </c>
    </row>
    <row r="155" s="96" customFormat="true" ht="18" hidden="false" customHeight="true" outlineLevel="0" collapsed="false">
      <c r="A155" s="130" t="str">
        <f aca="false">IF(B155="","",+A154+1)</f>
        <v/>
      </c>
      <c r="B155" s="131"/>
      <c r="C155" s="131"/>
      <c r="D155" s="132"/>
      <c r="E155" s="130"/>
      <c r="F155" s="132"/>
      <c r="G155" s="130"/>
      <c r="H155" s="130"/>
      <c r="I155" s="142"/>
      <c r="J155" s="134" t="n">
        <f aca="false">$J$120*G155</f>
        <v>0</v>
      </c>
    </row>
    <row r="156" s="96" customFormat="true" ht="18" hidden="false" customHeight="true" outlineLevel="0" collapsed="false">
      <c r="A156" s="130" t="str">
        <f aca="false">IF(B156="","",+A155+1)</f>
        <v/>
      </c>
      <c r="B156" s="131"/>
      <c r="C156" s="131"/>
      <c r="D156" s="132"/>
      <c r="E156" s="130"/>
      <c r="F156" s="132"/>
      <c r="G156" s="130"/>
      <c r="H156" s="130"/>
      <c r="I156" s="142"/>
      <c r="J156" s="134" t="n">
        <f aca="false">$J$120*G156</f>
        <v>0</v>
      </c>
    </row>
    <row r="157" s="96" customFormat="true" ht="18" hidden="false" customHeight="true" outlineLevel="0" collapsed="false">
      <c r="A157" s="130" t="str">
        <f aca="false">IF(B157="","",+A156+1)</f>
        <v/>
      </c>
      <c r="B157" s="143"/>
      <c r="C157" s="143"/>
      <c r="D157" s="144"/>
      <c r="E157" s="145"/>
      <c r="F157" s="144"/>
      <c r="G157" s="145"/>
      <c r="H157" s="145"/>
      <c r="I157" s="146"/>
      <c r="J157" s="147" t="n">
        <f aca="false">$J$120*G157</f>
        <v>0</v>
      </c>
    </row>
    <row r="158" s="96" customFormat="true" ht="27" hidden="false" customHeight="true" outlineLevel="1" collapsed="false">
      <c r="A158" s="148" t="s">
        <v>319</v>
      </c>
      <c r="B158" s="148" t="s">
        <v>320</v>
      </c>
      <c r="C158" s="148" t="s">
        <v>168</v>
      </c>
      <c r="D158" s="148" t="s">
        <v>166</v>
      </c>
      <c r="E158" s="148" t="s">
        <v>321</v>
      </c>
      <c r="F158" s="149" t="s">
        <v>393</v>
      </c>
      <c r="G158" s="148" t="s">
        <v>394</v>
      </c>
      <c r="H158" s="150" t="s">
        <v>395</v>
      </c>
      <c r="I158" s="151"/>
      <c r="J158" s="151"/>
    </row>
    <row r="159" s="96" customFormat="true" ht="15" hidden="false" customHeight="true" outlineLevel="1" collapsed="false">
      <c r="A159" s="152" t="n">
        <f aca="false">IF(B159="","",1)</f>
        <v>1</v>
      </c>
      <c r="B159" s="153" t="str">
        <f aca="false">B133</f>
        <v>เฟรมบน</v>
      </c>
      <c r="C159" s="153" t="str">
        <f aca="false">C133</f>
        <v>HEAD</v>
      </c>
      <c r="D159" s="154" t="str">
        <f aca="false">VLOOKUP(C159,$C$133:$H$157,2,0)</f>
        <v>B24001</v>
      </c>
      <c r="E159" s="155" t="n">
        <f aca="false">VLOOKUP(C159,$C$133:$H$157,3,0)</f>
        <v>1.603</v>
      </c>
      <c r="F159" s="155" t="n">
        <f aca="false">VLOOKUP(C159,$C$133:$J$157,7,0)</f>
        <v>2040</v>
      </c>
      <c r="G159" s="155" t="n">
        <f aca="false">VLOOKUP(C159,$C$133:$J$157,8,0)</f>
        <v>1</v>
      </c>
      <c r="H159" s="156" t="n">
        <f aca="false">ROUNDUP((F159*G159)/6400,0)</f>
        <v>1</v>
      </c>
      <c r="I159" s="157"/>
      <c r="J159" s="157"/>
    </row>
    <row r="160" s="96" customFormat="true" ht="15" hidden="false" customHeight="true" outlineLevel="1" collapsed="false">
      <c r="A160" s="158" t="n">
        <f aca="false">IF(B160="","",+A159+1)</f>
        <v>2</v>
      </c>
      <c r="B160" s="153" t="str">
        <f aca="false">B134</f>
        <v>บังใบบน</v>
      </c>
      <c r="C160" s="153" t="str">
        <f aca="false">C134</f>
        <v>DOOR STOP HEAD</v>
      </c>
      <c r="D160" s="154" t="str">
        <f aca="false">VLOOKUP(C160,$C$133:$H$157,2,0)</f>
        <v>B24002</v>
      </c>
      <c r="E160" s="155" t="n">
        <f aca="false">VLOOKUP(C160,$C$133:$H$157,3,0)</f>
        <v>0.278</v>
      </c>
      <c r="F160" s="155" t="n">
        <f aca="false">VLOOKUP(C160,$C$133:$I$157,7,0)</f>
        <v>2014</v>
      </c>
      <c r="G160" s="155" t="n">
        <f aca="false">VLOOKUP(C160,$C$133:$J$157,8,0)</f>
        <v>1</v>
      </c>
      <c r="H160" s="156" t="n">
        <f aca="false">ROUNDUP((F160*G160)/6400,0)</f>
        <v>1</v>
      </c>
      <c r="I160" s="157"/>
      <c r="J160" s="157"/>
    </row>
    <row r="161" s="96" customFormat="true" ht="15" hidden="false" customHeight="true" outlineLevel="1" collapsed="false">
      <c r="A161" s="158" t="n">
        <f aca="false">IF(B161="","",+A160+1)</f>
        <v>3</v>
      </c>
      <c r="B161" s="153" t="str">
        <f aca="false">B135</f>
        <v>เฟรมล่าง </v>
      </c>
      <c r="C161" s="153" t="str">
        <f aca="false">C135</f>
        <v>SILL</v>
      </c>
      <c r="D161" s="154" t="str">
        <f aca="false">VLOOKUP(C161,$C$133:$H$157,2,0)</f>
        <v>B24003</v>
      </c>
      <c r="E161" s="155" t="n">
        <f aca="false">VLOOKUP(C161,$C$133:$H$157,3,0)</f>
        <v>1.603</v>
      </c>
      <c r="F161" s="155" t="n">
        <f aca="false">VLOOKUP(C161,$C$133:$I$157,7,0)</f>
        <v>2040</v>
      </c>
      <c r="G161" s="155" t="n">
        <f aca="false">VLOOKUP(C161,$C$133:$J$157,8,0)</f>
        <v>1</v>
      </c>
      <c r="H161" s="156" t="n">
        <f aca="false">ROUNDUP((F161*G161)/6400,0)</f>
        <v>1</v>
      </c>
      <c r="I161" s="157"/>
      <c r="J161" s="157"/>
    </row>
    <row r="162" s="96" customFormat="true" ht="15" hidden="false" customHeight="true" outlineLevel="1" collapsed="false">
      <c r="A162" s="158" t="n">
        <f aca="false">IF(B162="","",+A161+1)</f>
        <v>4</v>
      </c>
      <c r="B162" s="153" t="str">
        <f aca="false">B136</f>
        <v>ตัวตับธรณี</v>
      </c>
      <c r="C162" s="153" t="str">
        <f aca="false">C136</f>
        <v>DOOR STOP SILL</v>
      </c>
      <c r="D162" s="154" t="str">
        <f aca="false">VLOOKUP(C162,$C$133:$H$157,2,0)</f>
        <v>B24004</v>
      </c>
      <c r="E162" s="155" t="n">
        <f aca="false">VLOOKUP(C162,$C$133:$H$157,3,0)</f>
        <v>0.516</v>
      </c>
      <c r="F162" s="155" t="n">
        <f aca="false">VLOOKUP(C162,$C$133:$I$157,7,0)</f>
        <v>2040</v>
      </c>
      <c r="G162" s="155" t="n">
        <f aca="false">VLOOKUP(C162,$C$133:$J$157,8,0)</f>
        <v>1</v>
      </c>
      <c r="H162" s="156" t="n">
        <f aca="false">ROUNDUP((F162*G162)/6400,0)</f>
        <v>1</v>
      </c>
      <c r="I162" s="157"/>
      <c r="J162" s="157"/>
    </row>
    <row r="163" s="96" customFormat="true" ht="15" hidden="false" customHeight="true" outlineLevel="1" collapsed="false">
      <c r="A163" s="158" t="n">
        <f aca="false">IF(B163="","",+A162+1)</f>
        <v>5</v>
      </c>
      <c r="B163" s="153" t="str">
        <f aca="false">B137</f>
        <v>เฟรมข้าง (ซ้าย)</v>
      </c>
      <c r="C163" s="153" t="str">
        <f aca="false">C137</f>
        <v>JAMB (L)</v>
      </c>
      <c r="D163" s="159" t="str">
        <f aca="false">VLOOKUP(C163,$C$133:$H$157,2,0)</f>
        <v>B24005</v>
      </c>
      <c r="E163" s="155" t="n">
        <f aca="false">VLOOKUP(C163,$C$133:$H$157,3,0)</f>
        <v>0.893</v>
      </c>
      <c r="F163" s="155" t="n">
        <f aca="false">VLOOKUP(C163,$C$133:$I$157,7,0)</f>
        <v>2200</v>
      </c>
      <c r="G163" s="155" t="n">
        <f aca="false">VLOOKUP(C163,$C$133:$J$157,8,0)</f>
        <v>1</v>
      </c>
      <c r="H163" s="160" t="n">
        <f aca="false">ROUNDUP(((F163*G163)+(F164*G164))/6400,0)</f>
        <v>1</v>
      </c>
      <c r="I163" s="161"/>
      <c r="J163" s="161"/>
    </row>
    <row r="164" s="96" customFormat="true" ht="15" hidden="false" customHeight="true" outlineLevel="1" collapsed="false">
      <c r="A164" s="158" t="n">
        <f aca="false">IF(B164="","",+A163+1)</f>
        <v>6</v>
      </c>
      <c r="B164" s="153" t="str">
        <f aca="false">B138</f>
        <v>เฟรมข้าง (ขวา)</v>
      </c>
      <c r="C164" s="153" t="str">
        <f aca="false">C138</f>
        <v>JAMB (R)</v>
      </c>
      <c r="D164" s="159"/>
      <c r="E164" s="155" t="n">
        <f aca="false">VLOOKUP(C164,$C$133:$H$157,3,0)</f>
        <v>0.893</v>
      </c>
      <c r="F164" s="155" t="n">
        <f aca="false">VLOOKUP(C164,$C$133:$I$157,7,0)</f>
        <v>2200</v>
      </c>
      <c r="G164" s="155" t="n">
        <f aca="false">VLOOKUP(C164,$C$133:$J$157,8,0)</f>
        <v>1</v>
      </c>
      <c r="H164" s="160"/>
      <c r="I164" s="161"/>
      <c r="J164" s="161"/>
    </row>
    <row r="165" s="96" customFormat="true" ht="15" hidden="false" customHeight="true" outlineLevel="1" collapsed="false">
      <c r="A165" s="158" t="n">
        <f aca="false">IF(B165="","",+A164+1)</f>
        <v>7</v>
      </c>
      <c r="B165" s="153" t="str">
        <f aca="false">B139</f>
        <v>บังใบข้าง (ซ้าย)</v>
      </c>
      <c r="C165" s="153" t="str">
        <f aca="false">C139</f>
        <v>DOOR STOP JAMB (L)</v>
      </c>
      <c r="D165" s="159" t="str">
        <f aca="false">VLOOKUP(C165,$C$133:$H$157,2,0)</f>
        <v>B24006</v>
      </c>
      <c r="E165" s="155" t="n">
        <f aca="false">VLOOKUP(C165,$C$133:$H$157,3,0)</f>
        <v>0.235</v>
      </c>
      <c r="F165" s="155" t="n">
        <f aca="false">VLOOKUP(C165,$C$133:$I$157,7,0)</f>
        <v>2104</v>
      </c>
      <c r="G165" s="155" t="n">
        <f aca="false">VLOOKUP(C165,$C$133:$J$157,8,0)</f>
        <v>1</v>
      </c>
      <c r="H165" s="160" t="n">
        <f aca="false">ROUNDUP(((F165*G165)+(F166*G166))/6400,0)</f>
        <v>1</v>
      </c>
      <c r="I165" s="157"/>
      <c r="J165" s="157"/>
    </row>
    <row r="166" s="96" customFormat="true" ht="15" hidden="false" customHeight="true" outlineLevel="1" collapsed="false">
      <c r="A166" s="158" t="n">
        <f aca="false">IF(B166="","",+A165+1)</f>
        <v>8</v>
      </c>
      <c r="B166" s="153" t="str">
        <f aca="false">B140</f>
        <v>บังใบข้าง (ขวา)</v>
      </c>
      <c r="C166" s="153" t="str">
        <f aca="false">C140</f>
        <v>DOOR STOP JAMB (R)</v>
      </c>
      <c r="D166" s="159"/>
      <c r="E166" s="155" t="n">
        <f aca="false">VLOOKUP(C166,$C$133:$H$157,3,0)</f>
        <v>0.235</v>
      </c>
      <c r="F166" s="155" t="n">
        <f aca="false">VLOOKUP(C166,$C$133:$I$157,7,0)</f>
        <v>2104</v>
      </c>
      <c r="G166" s="155" t="n">
        <f aca="false">VLOOKUP(C166,$C$133:$J$157,8,0)</f>
        <v>1</v>
      </c>
      <c r="H166" s="160"/>
      <c r="I166" s="162"/>
      <c r="J166" s="162"/>
    </row>
    <row r="167" s="96" customFormat="true" ht="13.5" hidden="false" customHeight="true" outlineLevel="1" collapsed="false">
      <c r="A167" s="158" t="n">
        <f aca="false">IF(B167="","",+A166+1)</f>
        <v>9</v>
      </c>
      <c r="B167" s="153" t="str">
        <f aca="false">B141</f>
        <v>ขวางบน</v>
      </c>
      <c r="C167" s="153" t="str">
        <f aca="false">C141</f>
        <v>SASH (Hor) (T)</v>
      </c>
      <c r="D167" s="159" t="str">
        <f aca="false">VLOOKUP(C167,$C$133:$H$157,2,0)</f>
        <v>B24007</v>
      </c>
      <c r="E167" s="155" t="n">
        <f aca="false">VLOOKUP(C167,$C$133:$H$157,3,0)</f>
        <v>1.106</v>
      </c>
      <c r="F167" s="155" t="n">
        <f aca="false">VLOOKUP(C167,$C$133:$I$157,7,0)</f>
        <v>674.666666666667</v>
      </c>
      <c r="G167" s="155" t="n">
        <f aca="false">VLOOKUP(C167,$C$133:$J$157,8,0)</f>
        <v>3</v>
      </c>
      <c r="H167" s="160" t="n">
        <f aca="false">ROUNDUP(((F167*G167)+(F168*G168)+(F169*G169)+(F170*G170)+(F171*G171))/6400,0)</f>
        <v>3</v>
      </c>
      <c r="I167" s="162"/>
      <c r="J167" s="162"/>
    </row>
    <row r="168" s="96" customFormat="true" ht="13.5" hidden="false" customHeight="true" outlineLevel="1" collapsed="false">
      <c r="A168" s="158" t="n">
        <f aca="false">IF(B168="","",+A167+1)</f>
        <v>10</v>
      </c>
      <c r="B168" s="153" t="str">
        <f aca="false">B142</f>
        <v>ขวางล่าง</v>
      </c>
      <c r="C168" s="153" t="str">
        <f aca="false">C142</f>
        <v>SASH (Hor) (B)</v>
      </c>
      <c r="D168" s="159"/>
      <c r="E168" s="155" t="n">
        <f aca="false">VLOOKUP(C168,$C$133:$H$157,3,0)</f>
        <v>1.106</v>
      </c>
      <c r="F168" s="155" t="n">
        <f aca="false">VLOOKUP(C168,$C$133:$I$157,7,0)</f>
        <v>674.666666666667</v>
      </c>
      <c r="G168" s="155" t="n">
        <f aca="false">VLOOKUP(C168,$C$133:$J$157,8,0)</f>
        <v>3</v>
      </c>
      <c r="H168" s="160"/>
      <c r="I168" s="162"/>
      <c r="J168" s="162"/>
    </row>
    <row r="169" s="96" customFormat="true" ht="13.5" hidden="false" customHeight="true" outlineLevel="1" collapsed="false">
      <c r="A169" s="158" t="n">
        <f aca="false">IF(B169="","",+A168+1)</f>
        <v>11</v>
      </c>
      <c r="B169" s="153" t="str">
        <f aca="false">B143</f>
        <v>เสา</v>
      </c>
      <c r="C169" s="153" t="str">
        <f aca="false">C143</f>
        <v>SASH (Ver) </v>
      </c>
      <c r="D169" s="159"/>
      <c r="E169" s="155" t="n">
        <f aca="false">VLOOKUP(C169,$C$133:$H$157,3,0)</f>
        <v>1.106</v>
      </c>
      <c r="F169" s="155" t="n">
        <f aca="false">VLOOKUP(C169,$C$133:$I$157,7,0)</f>
        <v>2108</v>
      </c>
      <c r="G169" s="155" t="n">
        <f aca="false">VLOOKUP(C169,$C$133:$J$157,8,0)</f>
        <v>4</v>
      </c>
      <c r="H169" s="160"/>
      <c r="I169" s="162"/>
      <c r="J169" s="162"/>
    </row>
    <row r="170" s="96" customFormat="true" ht="13.5" hidden="false" customHeight="true" outlineLevel="1" collapsed="false">
      <c r="A170" s="158" t="n">
        <f aca="false">IF(B170="","",+A169+1)</f>
        <v>12</v>
      </c>
      <c r="B170" s="153" t="str">
        <f aca="false">B144</f>
        <v>เสากุญแจ</v>
      </c>
      <c r="C170" s="153" t="str">
        <f aca="false">C144</f>
        <v>SASH (Ver) LOCK </v>
      </c>
      <c r="D170" s="159"/>
      <c r="E170" s="155" t="n">
        <f aca="false">VLOOKUP(C170,$C$133:$H$157,3,0)</f>
        <v>1.106</v>
      </c>
      <c r="F170" s="155" t="n">
        <f aca="false">VLOOKUP(C170,$C$133:$I$157,7,0)</f>
        <v>2108</v>
      </c>
      <c r="G170" s="155" t="n">
        <f aca="false">VLOOKUP(C170,$C$133:$J$157,8,0)</f>
        <v>1</v>
      </c>
      <c r="H170" s="160"/>
      <c r="I170" s="162"/>
      <c r="J170" s="162"/>
    </row>
    <row r="171" s="96" customFormat="true" ht="13.5" hidden="false" customHeight="true" outlineLevel="1" collapsed="false">
      <c r="A171" s="158" t="n">
        <f aca="false">IF(B171="","",+A170+1)</f>
        <v>13</v>
      </c>
      <c r="B171" s="153" t="str">
        <f aca="false">B145</f>
        <v>เสากุญแจมือจับ</v>
      </c>
      <c r="C171" s="153" t="str">
        <f aca="false">C145</f>
        <v>SASH (Ver) LOCK HANDLE</v>
      </c>
      <c r="D171" s="159"/>
      <c r="E171" s="155" t="n">
        <f aca="false">VLOOKUP(C171,$C$133:$H$157,3,0)</f>
        <v>1.106</v>
      </c>
      <c r="F171" s="155" t="n">
        <f aca="false">VLOOKUP(C171,$C$133:$I$157,7,0)</f>
        <v>2108</v>
      </c>
      <c r="G171" s="155" t="n">
        <f aca="false">VLOOKUP(C171,$C$133:$J$157,8,0)</f>
        <v>1</v>
      </c>
      <c r="H171" s="160"/>
      <c r="I171" s="162"/>
      <c r="J171" s="162"/>
    </row>
    <row r="172" s="96" customFormat="true" ht="13.5" hidden="false" customHeight="true" outlineLevel="1" collapsed="false">
      <c r="A172" s="158" t="n">
        <f aca="false">IF(B172="","",+A171+1)</f>
        <v>14</v>
      </c>
      <c r="B172" s="153" t="str">
        <f aca="false">B146</f>
        <v>5-6mm คิ้วตบกระจกแนวนอน</v>
      </c>
      <c r="C172" s="153" t="str">
        <f aca="false">C146</f>
        <v>5-6mm GLAZING BEAD HORIZONTAL</v>
      </c>
      <c r="D172" s="159" t="str">
        <f aca="false">VLOOKUP(C172,$C$133:$H$157,2,0)</f>
        <v>B24008</v>
      </c>
      <c r="E172" s="155" t="n">
        <f aca="false">VLOOKUP(C172,$C$133:$H$157,3,0)</f>
        <v>0.231</v>
      </c>
      <c r="F172" s="155" t="n">
        <f aca="false">VLOOKUP(C172,$C$133:$I$157,7,0)</f>
        <v>563.833333333333</v>
      </c>
      <c r="G172" s="155" t="n">
        <f aca="false">VLOOKUP(C172,$C$133:$J$157,8,0)</f>
        <v>6</v>
      </c>
      <c r="H172" s="160" t="n">
        <f aca="false">ROUNDUP(((F172*G172)+(F173*G173))/6400,0)</f>
        <v>3</v>
      </c>
      <c r="I172" s="157"/>
      <c r="J172" s="157"/>
    </row>
    <row r="173" s="96" customFormat="true" ht="13.5" hidden="false" customHeight="true" outlineLevel="1" collapsed="false">
      <c r="A173" s="158" t="n">
        <f aca="false">IF(B173="","",+A172+1)</f>
        <v>15</v>
      </c>
      <c r="B173" s="153" t="str">
        <f aca="false">B147</f>
        <v>5-6mm คิ้วตบกระจกแนวตั้ง</v>
      </c>
      <c r="C173" s="153" t="str">
        <f aca="false">C147</f>
        <v>5-6mm GLAZING BEAD VERTICAL</v>
      </c>
      <c r="D173" s="159"/>
      <c r="E173" s="155" t="n">
        <f aca="false">VLOOKUP(C173,$C$133:$H$157,3,0)</f>
        <v>0.231</v>
      </c>
      <c r="F173" s="155" t="n">
        <f aca="false">VLOOKUP(C173,$C$133:$I$157,7,0)</f>
        <v>1958</v>
      </c>
      <c r="G173" s="155" t="n">
        <f aca="false">VLOOKUP(C173,$C$133:$J$157,8,0)</f>
        <v>6</v>
      </c>
      <c r="H173" s="160"/>
      <c r="I173" s="157"/>
      <c r="J173" s="196"/>
    </row>
    <row r="174" s="96" customFormat="true" ht="13.5" hidden="false" customHeight="true" outlineLevel="1" collapsed="false">
      <c r="A174" s="158" t="n">
        <f aca="false">IF(B174="","",+A173+1)</f>
        <v>16</v>
      </c>
      <c r="B174" s="153" t="str">
        <f aca="false">B148</f>
        <v>บังใบ</v>
      </c>
      <c r="C174" s="153" t="str">
        <f aca="false">C148</f>
        <v>SASH STOP</v>
      </c>
      <c r="D174" s="163" t="str">
        <f aca="false">VLOOKUP(C174,$C$133:$H$157,2,0)</f>
        <v>B24009</v>
      </c>
      <c r="E174" s="155" t="n">
        <f aca="false">VLOOKUP(C174,$C$133:$H$157,3,0)</f>
        <v>0</v>
      </c>
      <c r="F174" s="155" t="n">
        <f aca="false">VLOOKUP(C174,$C$133:$I$157,7,0)</f>
        <v>2108</v>
      </c>
      <c r="G174" s="155" t="n">
        <f aca="false">VLOOKUP(C174,$C$133:$J$157,8,0)</f>
        <v>1</v>
      </c>
      <c r="H174" s="160" t="n">
        <f aca="false">ROUNDUP(((F174*G174)+(F175*G175))/6400,0)</f>
        <v>1</v>
      </c>
      <c r="I174" s="157"/>
      <c r="J174" s="196"/>
    </row>
    <row r="175" s="202" customFormat="true" ht="15" hidden="false" customHeight="true" outlineLevel="1" collapsed="false">
      <c r="A175" s="158" t="n">
        <f aca="false">IF(B175="","",+A174+1)</f>
        <v>17</v>
      </c>
      <c r="B175" s="153" t="str">
        <f aca="false">B149</f>
        <v>บังใบ</v>
      </c>
      <c r="C175" s="153" t="str">
        <f aca="false">C149</f>
        <v>SASH STOP </v>
      </c>
      <c r="D175" s="163"/>
      <c r="E175" s="155" t="n">
        <f aca="false">VLOOKUP(C175,$C$133:$H$157,3,0)</f>
        <v>0</v>
      </c>
      <c r="F175" s="155" t="n">
        <f aca="false">VLOOKUP(C175,$C$133:$I$157,7,0)</f>
        <v>2108</v>
      </c>
      <c r="G175" s="155" t="n">
        <f aca="false">VLOOKUP(C175,$C$133:$J$157,8,0)</f>
        <v>1</v>
      </c>
      <c r="H175" s="160"/>
      <c r="I175" s="157"/>
      <c r="J175" s="157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Y175" s="96"/>
      <c r="Z175" s="96"/>
      <c r="AA175" s="96"/>
      <c r="AB175" s="96"/>
      <c r="AC175" s="96"/>
      <c r="AD175" s="96"/>
      <c r="AE175" s="96"/>
      <c r="AF175" s="96"/>
      <c r="AG175" s="96"/>
      <c r="AH175" s="96"/>
      <c r="AI175" s="96"/>
      <c r="AJ175" s="96"/>
    </row>
    <row r="176" s="96" customFormat="true" ht="24.75" hidden="false" customHeight="true" outlineLevel="0" collapsed="false">
      <c r="A176" s="113" t="s">
        <v>396</v>
      </c>
      <c r="B176" s="113"/>
      <c r="C176" s="113"/>
      <c r="D176" s="113"/>
      <c r="E176" s="113"/>
      <c r="F176" s="113"/>
      <c r="G176" s="113"/>
      <c r="H176" s="113"/>
      <c r="I176" s="113"/>
      <c r="J176" s="113"/>
    </row>
    <row r="177" s="96" customFormat="true" ht="34.5" hidden="false" customHeight="true" outlineLevel="0" collapsed="false">
      <c r="A177" s="114" t="s">
        <v>319</v>
      </c>
      <c r="B177" s="115" t="s">
        <v>320</v>
      </c>
      <c r="C177" s="115" t="s">
        <v>168</v>
      </c>
      <c r="D177" s="115" t="s">
        <v>397</v>
      </c>
      <c r="E177" s="115" t="s">
        <v>321</v>
      </c>
      <c r="F177" s="116" t="s">
        <v>398</v>
      </c>
      <c r="G177" s="115" t="s">
        <v>399</v>
      </c>
      <c r="H177" s="116" t="s">
        <v>400</v>
      </c>
      <c r="I177" s="116" t="s">
        <v>401</v>
      </c>
      <c r="J177" s="117" t="s">
        <v>402</v>
      </c>
      <c r="N177" s="107" t="s">
        <v>288</v>
      </c>
      <c r="O177" s="165" t="s">
        <v>320</v>
      </c>
      <c r="P177" s="165" t="s">
        <v>168</v>
      </c>
      <c r="Q177" s="165" t="s">
        <v>397</v>
      </c>
      <c r="R177" s="165" t="s">
        <v>321</v>
      </c>
      <c r="S177" s="165" t="s">
        <v>398</v>
      </c>
      <c r="T177" s="165" t="s">
        <v>399</v>
      </c>
      <c r="U177" s="165" t="s">
        <v>400</v>
      </c>
      <c r="V177" s="165" t="s">
        <v>401</v>
      </c>
      <c r="W177" s="165" t="s">
        <v>402</v>
      </c>
    </row>
    <row r="178" s="96" customFormat="true" ht="18" hidden="false" customHeight="true" outlineLevel="0" collapsed="false">
      <c r="A178" s="166" t="n">
        <f aca="false">IF(B178="","",1)</f>
        <v>1</v>
      </c>
      <c r="B178" s="131" t="s">
        <v>403</v>
      </c>
      <c r="C178" s="131" t="s">
        <v>404</v>
      </c>
      <c r="D178" s="132" t="s">
        <v>276</v>
      </c>
      <c r="E178" s="130"/>
      <c r="F178" s="130" t="s">
        <v>276</v>
      </c>
      <c r="G178" s="130" t="s">
        <v>405</v>
      </c>
      <c r="H178" s="130" t="n">
        <v>1</v>
      </c>
      <c r="I178" s="133"/>
      <c r="J178" s="134" t="n">
        <f aca="false">$J$120*H178</f>
        <v>1</v>
      </c>
      <c r="N178" s="107" t="s">
        <v>406</v>
      </c>
      <c r="O178" s="55" t="s">
        <v>407</v>
      </c>
      <c r="P178" s="62" t="s">
        <v>408</v>
      </c>
      <c r="Q178" s="55" t="s">
        <v>227</v>
      </c>
      <c r="R178" s="158"/>
      <c r="S178" s="158" t="s">
        <v>227</v>
      </c>
      <c r="T178" s="158" t="s">
        <v>409</v>
      </c>
      <c r="U178" s="168" t="n">
        <f aca="false">((($I$141*$G$141)+($I$142*$G$142)+($I$143*$G$143)+($I$144*$G$144)+($I$145*$G$145))/1000)*$J$120</f>
        <v>16.696</v>
      </c>
      <c r="V178" s="168" t="n">
        <v>100</v>
      </c>
      <c r="W178" s="169" t="n">
        <f aca="false">ROUNDUP((U178)/100,0)</f>
        <v>1</v>
      </c>
    </row>
    <row r="179" s="96" customFormat="true" ht="18" hidden="false" customHeight="true" outlineLevel="0" collapsed="false">
      <c r="A179" s="170" t="n">
        <f aca="false">IF(B179="","",+A178+1)</f>
        <v>2</v>
      </c>
      <c r="B179" s="131" t="s">
        <v>410</v>
      </c>
      <c r="C179" s="131" t="s">
        <v>411</v>
      </c>
      <c r="D179" s="132" t="s">
        <v>267</v>
      </c>
      <c r="E179" s="130"/>
      <c r="F179" s="130" t="s">
        <v>267</v>
      </c>
      <c r="G179" s="130" t="s">
        <v>405</v>
      </c>
      <c r="H179" s="130" t="n">
        <v>6</v>
      </c>
      <c r="I179" s="133"/>
      <c r="J179" s="134" t="n">
        <f aca="false">$J$120*H179</f>
        <v>6</v>
      </c>
      <c r="N179" s="107" t="s">
        <v>412</v>
      </c>
      <c r="O179" s="55" t="s">
        <v>413</v>
      </c>
      <c r="P179" s="62" t="s">
        <v>414</v>
      </c>
      <c r="Q179" s="55" t="s">
        <v>234</v>
      </c>
      <c r="R179" s="158"/>
      <c r="S179" s="158" t="s">
        <v>234</v>
      </c>
      <c r="T179" s="158" t="s">
        <v>409</v>
      </c>
      <c r="U179" s="168" t="n">
        <f aca="false">((($I$141*$G$141)+($I$142*$G$142)+($I$143*$G$143)+($I$144*$G$144)+($I$145*$G$145))/1000)*$J$120</f>
        <v>16.696</v>
      </c>
      <c r="V179" s="168" t="n">
        <v>100</v>
      </c>
      <c r="W179" s="169" t="n">
        <f aca="false">ROUNDUP((U179)/100,0)</f>
        <v>1</v>
      </c>
    </row>
    <row r="180" s="96" customFormat="true" ht="18" hidden="false" customHeight="true" outlineLevel="0" collapsed="false">
      <c r="A180" s="170" t="n">
        <f aca="false">IF(B180="","",+A179+1)</f>
        <v>3</v>
      </c>
      <c r="B180" s="131" t="s">
        <v>415</v>
      </c>
      <c r="C180" s="131" t="s">
        <v>416</v>
      </c>
      <c r="D180" s="132" t="s">
        <v>222</v>
      </c>
      <c r="E180" s="130"/>
      <c r="F180" s="130" t="s">
        <v>222</v>
      </c>
      <c r="G180" s="130" t="s">
        <v>405</v>
      </c>
      <c r="H180" s="130" t="n">
        <v>2</v>
      </c>
      <c r="I180" s="133"/>
      <c r="J180" s="134" t="n">
        <f aca="false">$J$120*H180</f>
        <v>2</v>
      </c>
      <c r="N180" s="107" t="s">
        <v>417</v>
      </c>
      <c r="O180" s="62" t="s">
        <v>418</v>
      </c>
      <c r="P180" s="62" t="s">
        <v>419</v>
      </c>
      <c r="Q180" s="55" t="s">
        <v>236</v>
      </c>
      <c r="R180" s="158"/>
      <c r="S180" s="158" t="s">
        <v>236</v>
      </c>
      <c r="T180" s="158" t="s">
        <v>409</v>
      </c>
      <c r="U180" s="168" t="n">
        <f aca="false">((($I$141*$G$141)+($I$142*$G$142)+($I$143*$G$143)+($I$144*$G$144)+($I$145*$G$145))/1000)*$J$120</f>
        <v>16.696</v>
      </c>
      <c r="V180" s="168" t="n">
        <v>100</v>
      </c>
      <c r="W180" s="169" t="n">
        <f aca="false">ROUNDUP((U180)/100,0)</f>
        <v>1</v>
      </c>
    </row>
    <row r="181" s="96" customFormat="true" ht="18" hidden="false" customHeight="true" outlineLevel="0" collapsed="false">
      <c r="A181" s="170" t="n">
        <f aca="false">IF(B181="","",+A180+1)</f>
        <v>4</v>
      </c>
      <c r="B181" s="131" t="s">
        <v>420</v>
      </c>
      <c r="C181" s="131" t="s">
        <v>421</v>
      </c>
      <c r="D181" s="132" t="s">
        <v>225</v>
      </c>
      <c r="E181" s="130"/>
      <c r="F181" s="130" t="s">
        <v>225</v>
      </c>
      <c r="G181" s="130" t="s">
        <v>405</v>
      </c>
      <c r="H181" s="130" t="n">
        <v>2</v>
      </c>
      <c r="I181" s="133"/>
      <c r="J181" s="134" t="n">
        <f aca="false">$J$120*H181</f>
        <v>2</v>
      </c>
      <c r="N181" s="107" t="s">
        <v>422</v>
      </c>
      <c r="O181" s="62" t="s">
        <v>423</v>
      </c>
      <c r="P181" s="62" t="s">
        <v>424</v>
      </c>
      <c r="Q181" s="55" t="s">
        <v>238</v>
      </c>
      <c r="R181" s="158"/>
      <c r="S181" s="158" t="s">
        <v>238</v>
      </c>
      <c r="T181" s="158" t="s">
        <v>409</v>
      </c>
      <c r="U181" s="168" t="n">
        <f aca="false">((($I$141*$G$141)+($I$142*$G$142)+($I$143*$G$143)+($I$144*$G$144)+($I$145*$G$145))/1000)*$J$120</f>
        <v>16.696</v>
      </c>
      <c r="V181" s="168" t="n">
        <v>100</v>
      </c>
      <c r="W181" s="169" t="n">
        <f aca="false">ROUNDUP((U181)/100,0)</f>
        <v>1</v>
      </c>
    </row>
    <row r="182" s="96" customFormat="true" ht="18" hidden="false" customHeight="true" outlineLevel="0" collapsed="false">
      <c r="A182" s="170" t="n">
        <f aca="false">IF(B182="","",+A181+1)</f>
        <v>5</v>
      </c>
      <c r="B182" s="131" t="s">
        <v>425</v>
      </c>
      <c r="C182" s="131" t="s">
        <v>426</v>
      </c>
      <c r="D182" s="132" t="n">
        <v>9</v>
      </c>
      <c r="E182" s="130"/>
      <c r="F182" s="130" t="n">
        <v>9</v>
      </c>
      <c r="G182" s="130" t="s">
        <v>405</v>
      </c>
      <c r="H182" s="130" t="n">
        <v>24</v>
      </c>
      <c r="I182" s="133"/>
      <c r="J182" s="134" t="n">
        <f aca="false">$J$120*H182</f>
        <v>24</v>
      </c>
      <c r="N182" s="107" t="s">
        <v>427</v>
      </c>
      <c r="O182" s="62" t="s">
        <v>428</v>
      </c>
      <c r="P182" s="62" t="s">
        <v>429</v>
      </c>
      <c r="Q182" s="55" t="s">
        <v>240</v>
      </c>
      <c r="R182" s="158"/>
      <c r="S182" s="158" t="s">
        <v>240</v>
      </c>
      <c r="T182" s="158" t="s">
        <v>409</v>
      </c>
      <c r="U182" s="168" t="n">
        <f aca="false">((($I$141*$G$141)+($I$142*$G$142)+($I$143*$G$143)+($I$144*$G$144)+($I$145*$G$145))/1000)*$J$120</f>
        <v>16.696</v>
      </c>
      <c r="V182" s="168" t="n">
        <v>100</v>
      </c>
      <c r="W182" s="169" t="n">
        <f aca="false">ROUNDUP((U182)/100,0)</f>
        <v>1</v>
      </c>
    </row>
    <row r="183" s="96" customFormat="true" ht="18" hidden="false" customHeight="true" outlineLevel="0" collapsed="false">
      <c r="A183" s="170" t="n">
        <f aca="false">IF(B183="","",+A182+1)</f>
        <v>6</v>
      </c>
      <c r="B183" s="131" t="s">
        <v>430</v>
      </c>
      <c r="C183" s="131" t="s">
        <v>431</v>
      </c>
      <c r="D183" s="132" t="n">
        <v>9</v>
      </c>
      <c r="E183" s="130"/>
      <c r="F183" s="130" t="n">
        <v>9</v>
      </c>
      <c r="G183" s="130" t="s">
        <v>405</v>
      </c>
      <c r="H183" s="130" t="n">
        <v>48</v>
      </c>
      <c r="I183" s="133"/>
      <c r="J183" s="134" t="n">
        <f aca="false">$J$120*H183</f>
        <v>48</v>
      </c>
    </row>
    <row r="184" s="96" customFormat="true" ht="18" hidden="false" customHeight="true" outlineLevel="0" collapsed="false">
      <c r="A184" s="170" t="n">
        <f aca="false">IF(B184="","",+A183+1)</f>
        <v>7</v>
      </c>
      <c r="B184" s="131" t="s">
        <v>432</v>
      </c>
      <c r="C184" s="131" t="s">
        <v>433</v>
      </c>
      <c r="D184" s="132" t="s">
        <v>6</v>
      </c>
      <c r="E184" s="130"/>
      <c r="F184" s="130" t="s">
        <v>6</v>
      </c>
      <c r="G184" s="130" t="s">
        <v>434</v>
      </c>
      <c r="H184" s="130" t="n">
        <v>1</v>
      </c>
      <c r="I184" s="133"/>
      <c r="J184" s="134" t="n">
        <f aca="false">$J$120*H184</f>
        <v>1</v>
      </c>
    </row>
    <row r="185" s="96" customFormat="true" ht="18" hidden="false" customHeight="true" outlineLevel="0" collapsed="false">
      <c r="A185" s="170" t="n">
        <f aca="false">IF(B185="","",+A184+1)</f>
        <v>8</v>
      </c>
      <c r="B185" s="131" t="s">
        <v>512</v>
      </c>
      <c r="C185" s="131" t="s">
        <v>513</v>
      </c>
      <c r="D185" s="132" t="s">
        <v>7</v>
      </c>
      <c r="E185" s="130"/>
      <c r="F185" s="130" t="s">
        <v>7</v>
      </c>
      <c r="G185" s="130" t="s">
        <v>434</v>
      </c>
      <c r="H185" s="130" t="n">
        <v>1</v>
      </c>
      <c r="I185" s="133"/>
      <c r="J185" s="134" t="n">
        <f aca="false">$J$120*H185</f>
        <v>1</v>
      </c>
    </row>
    <row r="186" s="96" customFormat="true" ht="18" hidden="false" customHeight="true" outlineLevel="0" collapsed="false">
      <c r="A186" s="170" t="n">
        <f aca="false">IF(B186="","",+A185+1)</f>
        <v>9</v>
      </c>
      <c r="B186" s="131" t="s">
        <v>514</v>
      </c>
      <c r="C186" s="131" t="s">
        <v>515</v>
      </c>
      <c r="D186" s="132" t="s">
        <v>8</v>
      </c>
      <c r="E186" s="130"/>
      <c r="F186" s="130" t="s">
        <v>8</v>
      </c>
      <c r="G186" s="130" t="s">
        <v>434</v>
      </c>
      <c r="H186" s="130" t="n">
        <v>1</v>
      </c>
      <c r="I186" s="133"/>
      <c r="J186" s="134" t="n">
        <f aca="false">$J$120*H186</f>
        <v>1</v>
      </c>
    </row>
    <row r="187" s="96" customFormat="true" ht="18" hidden="false" customHeight="true" outlineLevel="0" collapsed="false">
      <c r="A187" s="170" t="n">
        <f aca="false">IF(B187="","",+A186+1)</f>
        <v>10</v>
      </c>
      <c r="B187" s="131" t="s">
        <v>437</v>
      </c>
      <c r="C187" s="131" t="s">
        <v>438</v>
      </c>
      <c r="D187" s="132" t="s">
        <v>4</v>
      </c>
      <c r="E187" s="130"/>
      <c r="F187" s="130" t="s">
        <v>4</v>
      </c>
      <c r="G187" s="130" t="s">
        <v>434</v>
      </c>
      <c r="H187" s="130" t="n">
        <v>1</v>
      </c>
      <c r="I187" s="133"/>
      <c r="J187" s="134" t="n">
        <f aca="false">$J$120*H187</f>
        <v>1</v>
      </c>
      <c r="Q187" s="172"/>
      <c r="R187" s="172"/>
      <c r="S187" s="172"/>
      <c r="T187" s="97"/>
      <c r="U187" s="97"/>
      <c r="V187" s="97"/>
    </row>
    <row r="188" s="96" customFormat="true" ht="18" hidden="false" customHeight="true" outlineLevel="0" collapsed="false">
      <c r="A188" s="170" t="n">
        <f aca="false">IF(B188="","",+A187+1)</f>
        <v>11</v>
      </c>
      <c r="B188" s="131" t="s">
        <v>439</v>
      </c>
      <c r="C188" s="131" t="s">
        <v>440</v>
      </c>
      <c r="D188" s="132" t="s">
        <v>12</v>
      </c>
      <c r="E188" s="130"/>
      <c r="F188" s="130" t="s">
        <v>12</v>
      </c>
      <c r="G188" s="130" t="s">
        <v>434</v>
      </c>
      <c r="H188" s="130" t="n">
        <v>1</v>
      </c>
      <c r="I188" s="133"/>
      <c r="J188" s="134" t="n">
        <f aca="false">$J$120*H188</f>
        <v>1</v>
      </c>
      <c r="N188" s="107" t="s">
        <v>289</v>
      </c>
      <c r="O188" s="165" t="s">
        <v>320</v>
      </c>
      <c r="P188" s="165" t="s">
        <v>168</v>
      </c>
      <c r="Q188" s="165" t="s">
        <v>397</v>
      </c>
      <c r="R188" s="165" t="s">
        <v>321</v>
      </c>
      <c r="S188" s="165" t="s">
        <v>398</v>
      </c>
      <c r="T188" s="165" t="s">
        <v>399</v>
      </c>
      <c r="U188" s="165" t="s">
        <v>400</v>
      </c>
      <c r="V188" s="165" t="s">
        <v>401</v>
      </c>
      <c r="W188" s="165" t="s">
        <v>402</v>
      </c>
    </row>
    <row r="189" s="96" customFormat="true" ht="18" hidden="false" customHeight="true" outlineLevel="0" collapsed="false">
      <c r="A189" s="170" t="n">
        <f aca="false">IF(B189="","",+A188+1)</f>
        <v>12</v>
      </c>
      <c r="B189" s="131" t="s">
        <v>540</v>
      </c>
      <c r="C189" s="131" t="s">
        <v>541</v>
      </c>
      <c r="D189" s="132" t="s">
        <v>542</v>
      </c>
      <c r="E189" s="130"/>
      <c r="F189" s="130" t="s">
        <v>542</v>
      </c>
      <c r="G189" s="130" t="s">
        <v>434</v>
      </c>
      <c r="H189" s="130" t="n">
        <v>1</v>
      </c>
      <c r="I189" s="142"/>
      <c r="J189" s="134" t="n">
        <f aca="false">$J$120*H189</f>
        <v>1</v>
      </c>
      <c r="N189" s="107" t="s">
        <v>445</v>
      </c>
      <c r="O189" s="62" t="s">
        <v>446</v>
      </c>
      <c r="P189" s="62" t="s">
        <v>447</v>
      </c>
      <c r="Q189" s="55" t="s">
        <v>230</v>
      </c>
      <c r="R189" s="158"/>
      <c r="S189" s="158" t="s">
        <v>230</v>
      </c>
      <c r="T189" s="158" t="s">
        <v>409</v>
      </c>
      <c r="U189" s="168" t="n">
        <f aca="false">((($I$134*$G$134)+($I$136*$G$136)+($I$139*$G$139))/1000)*$J$120</f>
        <v>6.158</v>
      </c>
      <c r="V189" s="168" t="n">
        <v>300</v>
      </c>
      <c r="W189" s="169" t="n">
        <f aca="false">ROUNDUP((U189)/V189,0)</f>
        <v>1</v>
      </c>
    </row>
    <row r="190" s="96" customFormat="true" ht="18" hidden="false" customHeight="true" outlineLevel="0" collapsed="false">
      <c r="A190" s="170" t="n">
        <f aca="false">IF(B190="","",+A189+1)</f>
        <v>13</v>
      </c>
      <c r="B190" s="131" t="s">
        <v>441</v>
      </c>
      <c r="C190" s="131" t="s">
        <v>442</v>
      </c>
      <c r="D190" s="132" t="s">
        <v>274</v>
      </c>
      <c r="E190" s="130"/>
      <c r="F190" s="130" t="s">
        <v>274</v>
      </c>
      <c r="G190" s="130" t="s">
        <v>405</v>
      </c>
      <c r="H190" s="130" t="n">
        <v>2</v>
      </c>
      <c r="I190" s="142"/>
      <c r="J190" s="134" t="n">
        <f aca="false">$J$120*H190</f>
        <v>2</v>
      </c>
      <c r="N190" s="107" t="s">
        <v>448</v>
      </c>
      <c r="O190" s="62" t="s">
        <v>449</v>
      </c>
      <c r="P190" s="62" t="s">
        <v>450</v>
      </c>
      <c r="Q190" s="55" t="s">
        <v>451</v>
      </c>
      <c r="R190" s="158"/>
      <c r="S190" s="158" t="s">
        <v>451</v>
      </c>
      <c r="T190" s="158" t="s">
        <v>409</v>
      </c>
      <c r="U190" s="168" t="n">
        <f aca="false">((($I$134*$G$134)+($I$136*$G$136)+($I$139*$G$139))/1000)*$J$120</f>
        <v>6.158</v>
      </c>
      <c r="V190" s="168" t="n">
        <v>100</v>
      </c>
      <c r="W190" s="169" t="n">
        <f aca="false">ROUNDUP((U190)/V190,0)</f>
        <v>1</v>
      </c>
    </row>
    <row r="191" s="96" customFormat="true" ht="18" hidden="false" customHeight="true" outlineLevel="0" collapsed="false">
      <c r="A191" s="170" t="n">
        <f aca="false">IF(B191="","",+A190+1)</f>
        <v>14</v>
      </c>
      <c r="B191" s="131" t="s">
        <v>443</v>
      </c>
      <c r="C191" s="131" t="s">
        <v>444</v>
      </c>
      <c r="D191" s="132" t="s">
        <v>272</v>
      </c>
      <c r="E191" s="130"/>
      <c r="F191" s="130" t="s">
        <v>272</v>
      </c>
      <c r="G191" s="130" t="s">
        <v>405</v>
      </c>
      <c r="H191" s="130" t="n">
        <v>1</v>
      </c>
      <c r="I191" s="142"/>
      <c r="J191" s="134" t="n">
        <f aca="false">$J$120*H191</f>
        <v>1</v>
      </c>
      <c r="N191" s="107" t="s">
        <v>445</v>
      </c>
      <c r="O191" s="62" t="s">
        <v>452</v>
      </c>
      <c r="P191" s="62" t="s">
        <v>453</v>
      </c>
      <c r="Q191" s="55" t="s">
        <v>232</v>
      </c>
      <c r="R191" s="158"/>
      <c r="S191" s="158" t="s">
        <v>232</v>
      </c>
      <c r="T191" s="158" t="s">
        <v>409</v>
      </c>
      <c r="U191" s="168" t="n">
        <f aca="false">((($I$143*$G$143*2)+($I$144*$G$144*2)+($I$141*$G$141*2))/1000)*$J$120</f>
        <v>25.128</v>
      </c>
      <c r="V191" s="168" t="n">
        <v>350</v>
      </c>
      <c r="W191" s="169" t="n">
        <f aca="false">ROUNDUP((U191)/V191,0)</f>
        <v>1</v>
      </c>
    </row>
    <row r="192" s="96" customFormat="true" ht="18" hidden="false" customHeight="true" outlineLevel="0" collapsed="false">
      <c r="A192" s="170" t="n">
        <f aca="false">IF(B192="","",+A191+1)</f>
        <v>15</v>
      </c>
      <c r="B192" s="132" t="str">
        <f aca="false">IF($D$129="Standard",$O$189,IF($D$129="Soumdproof",$O$190,))</f>
        <v>ยางเฟรมกันน้ำ (ธรรมดา)</v>
      </c>
      <c r="C192" s="132" t="str">
        <f aca="false">IF($D$129="Standard",$P$189,IF($D$129="Soumdproof",$P$190,))</f>
        <v>FRAME SEAL (Standard)</v>
      </c>
      <c r="D192" s="132" t="str">
        <f aca="false">IF($D$129="Standard",$Q$189,IF($D$129="Soumdproof",$Q$190,))</f>
        <v>02-026</v>
      </c>
      <c r="E192" s="130" t="n">
        <f aca="false">IF($D$129="Standard",R190,IF($D$129="Soumdproof",R191,))</f>
        <v>0</v>
      </c>
      <c r="F192" s="130" t="str">
        <f aca="false">IF($D$129="Standard",$S$189,IF($D$129="Soumdproof",$S$190,))</f>
        <v>02-026</v>
      </c>
      <c r="G192" s="130" t="str">
        <f aca="false">IF($D$129="Standard",$T$189,IF($D$129="Soumdproof",$T$190,))</f>
        <v>M</v>
      </c>
      <c r="H192" s="173" t="n">
        <f aca="false">IF($D$129="Standard",$U$189,IF($D$129="Soumdproof",$U$190,))</f>
        <v>6.158</v>
      </c>
      <c r="I192" s="174" t="n">
        <f aca="false">IF($D$129="Standard",$V$189,IF($D$129="Soumdproof",$V$190,))</f>
        <v>300</v>
      </c>
      <c r="J192" s="177" t="n">
        <f aca="false">ROUNDUP((H192)/100,0)</f>
        <v>1</v>
      </c>
      <c r="N192" s="107" t="s">
        <v>448</v>
      </c>
      <c r="O192" s="62" t="s">
        <v>454</v>
      </c>
      <c r="P192" s="62" t="s">
        <v>455</v>
      </c>
      <c r="Q192" s="55" t="s">
        <v>456</v>
      </c>
      <c r="R192" s="158"/>
      <c r="S192" s="158" t="s">
        <v>456</v>
      </c>
      <c r="T192" s="158" t="s">
        <v>409</v>
      </c>
      <c r="U192" s="168" t="n">
        <f aca="false">((($I$143*$G$143*2)+($I$144*$G$144*2)+($I$141*$G$141*2))/1000)*$J$120</f>
        <v>25.128</v>
      </c>
      <c r="V192" s="168" t="n">
        <v>100</v>
      </c>
      <c r="W192" s="169" t="n">
        <f aca="false">ROUNDUP((U192)/V192,0)</f>
        <v>1</v>
      </c>
    </row>
    <row r="193" s="96" customFormat="true" ht="18" hidden="false" customHeight="true" outlineLevel="0" collapsed="false">
      <c r="A193" s="170" t="n">
        <f aca="false">IF(B193="","",+A192+1)</f>
        <v>16</v>
      </c>
      <c r="B193" s="132" t="str">
        <f aca="false">IF($D$129="Standard",$O$191,IF($D$129="Soumdproof",$O$192,))</f>
        <v>ยางแซชกันน้ำ (ธรรมดา)</v>
      </c>
      <c r="C193" s="132" t="str">
        <f aca="false">IF($D$129="Standard",$P$191,IF($D$129="Soumdproof",$P$192,))</f>
        <v>SASH SEAL FOAM (Standard)</v>
      </c>
      <c r="D193" s="132" t="str">
        <f aca="false">IF($D$129="Standard",$Q$191,IF($D$129="Soumdproof",$Q$192,))</f>
        <v>02-031</v>
      </c>
      <c r="E193" s="130" t="n">
        <f aca="false">IF($D$129="Standard",R192,IF($D$129="Soumdproof",R193,))</f>
        <v>0</v>
      </c>
      <c r="F193" s="130" t="str">
        <f aca="false">IF($D$129="Standard",$S$191,IF($D$129="Soumdproof",$S$192,))</f>
        <v>02-031</v>
      </c>
      <c r="G193" s="130" t="str">
        <f aca="false">IF($D$129="Standard",$T$191,IF($D$129="Soumdproof",$T$192,))</f>
        <v>M</v>
      </c>
      <c r="H193" s="173" t="n">
        <f aca="false">IF($D$129="Standard",$U$191,IF($D$129="Soumdproof",$U$192,))</f>
        <v>25.128</v>
      </c>
      <c r="I193" s="174" t="n">
        <f aca="false">IF($D$129="Standard",$V$191,IF($D$129="Soumdproof",$V$192,))</f>
        <v>350</v>
      </c>
      <c r="J193" s="177" t="n">
        <f aca="false">ROUNDUP((H193)/100,0)</f>
        <v>1</v>
      </c>
    </row>
    <row r="194" s="96" customFormat="true" ht="18" hidden="false" customHeight="true" outlineLevel="0" collapsed="false">
      <c r="A194" s="170" t="n">
        <f aca="false">IF(B194="","",+A193+1)</f>
        <v>17</v>
      </c>
      <c r="B194" s="176" t="str">
        <f aca="false">IF($D$127=5,$O$180,IF($D$127=6,$O$181,IF($D$127=8,$O$182,IF($D$127=10,$O$180,IF($D$127=12,$O$180,IF($D$127=14,$O$182,IF($D$127=18,$O$180,IF($D$127=20,$O$181,IF($D$127=22,"")))))))))</f>
        <v>5,8,10,12,18 mmยางอัดกระจก</v>
      </c>
      <c r="C194" s="176" t="str">
        <f aca="false">IF($D$127=5,$P$180,IF($D$127=6,$P$181,IF($D$127=8,$P$182,IF($D$127=10,$P$180,IF($D$127=12,$P$180,IF($D$127=14,$P$182,IF($D$127=18,$P$180,IF($D$127=20,$P$181,IF($D$127=22,"")))))))))</f>
        <v>5,8,10,12,18 mm ROLL IN WEDGE</v>
      </c>
      <c r="D194" s="176" t="str">
        <f aca="false">IF($D$127=5,$Q$180,IF($D$127=6,$Q$181,IF($D$127=8,$Q$182,IF($D$127=10,$Q$180,IF($D$127=12,$Q$180,IF($D$127=14,$Q$182,IF($D$127=18,$Q$180,IF($D$127=20,$Q$181,IF($D$127=22,"")))))))))</f>
        <v>02-033</v>
      </c>
      <c r="E194" s="176" t="n">
        <f aca="false">IF($D$127=5,R181,IF($D$127=6,R182,IF($D$127=8,R183,IF($D$127=10,R181,IF($D$127=12,R181,IF($D$127=14,R183,IF($D$127=18,R181,IF($D$127=20,R182,IF($D$127=22,"",)))))))))</f>
        <v>0</v>
      </c>
      <c r="F194" s="167" t="str">
        <f aca="false">IF($D$127=5,$S$180,IF($D$127=6,$S$181,IF($D$127=8,$S$182,IF($D$127=10,$S$180,IF($D$127=12,$S$180,IF($D$127=14,$S$182,IF($D$127=18,$S$180,IF($D$127=20,$S$181,IF($D$127=22,"")))))))))</f>
        <v>02-033</v>
      </c>
      <c r="G194" s="167" t="str">
        <f aca="false">IF($D$127=5,$T$180,IF($D$127=6,$T$181,IF($D$127=8,$T$182,IF($D$127=10,$T$180,IF($D$127=12,$T$180,IF($D$127=14,$T$182,IF($D$127=18,$T$180,IF($D$127=20,$T$181,IF($D$127=22,"")))))))))</f>
        <v>M</v>
      </c>
      <c r="H194" s="173" t="n">
        <f aca="false">IF($D$127=5,$U$180,IF($D$127=6,$U$181,IF($D$127=8,$U$182,IF($D$127=10,$U$180*2,IF($D$127=12,$U$180,IF($D$127=14,$U$182*2,IF($D$127=18,$U$180,IF($D$127=20,$U$181,IF($D$127=22,"")))))))))</f>
        <v>16.696</v>
      </c>
      <c r="I194" s="174" t="n">
        <f aca="false">IF($D$127=5,$V$180,IF($D$127=6,$V$181,IF($D$127=8,$V$182,IF($D$127=10,$V$180,IF($D$127=12,$V$180,IF($D$127=14,$V$182,IF($D$127=18,$V$180,IF($D$127=20,$V$181,IF($D$127=22,"")))))))))</f>
        <v>100</v>
      </c>
      <c r="J194" s="177" t="n">
        <f aca="false">ROUNDUP((H194)/100,0)</f>
        <v>1</v>
      </c>
    </row>
    <row r="195" s="96" customFormat="true" ht="18" hidden="false" customHeight="true" outlineLevel="0" collapsed="false">
      <c r="A195" s="170" t="n">
        <f aca="false">IF(B195="","",+A194+1)</f>
        <v>18</v>
      </c>
      <c r="B195" s="176" t="str">
        <f aca="false">IF($D$127=5,$O$178,IF($D$127=6,$O$178,IF($D$127=8,$O$180,IF($D$127=10,"",IF($D$127=12,$O$179,IF($D$127=14,"",IF($D$127=18,$O$178,IF($D$127=20,$O$179,IF($D$127=22,"",)))))))))</f>
        <v>5,6,18 mm ยางรองกระจก</v>
      </c>
      <c r="C195" s="176" t="str">
        <f aca="false">IF($D$127=5,$P$178,IF($D$127=6,$P$178,IF($D$127=8,$P$180,IF($D$127=10,"",IF($D$127=12,$P$179,IF($D$127=14,"",IF($D$127=18,$P$178,IF($D$127=20,$P$179,IF($D$127=22,"",)))))))))</f>
        <v>5,6,18 mm CAPTIVE WEDGE</v>
      </c>
      <c r="D195" s="176" t="str">
        <f aca="false">IF($D$127=5,$Q$178,IF($D$127=6,$Q$178,IF($D$127=8,$Q$180,IF($D$127=10,"",IF($D$127=12,$Q$179,IF($D$127=14,"",IF($D$127=18,$Q$178,IF($D$127=20,$Q$179,IF($D$127=22,"",)))))))))</f>
        <v>02-022</v>
      </c>
      <c r="E195" s="176" t="n">
        <f aca="false">IF($D$127=5,R179,IF($D$127=6,R179,IF($D$127=8,R181,IF($D$127=10,"",IF($D$127=12,R180,IF($D$127=14,"",IF($D$127=18,R179,IF($D$127=20,R180,IF($D$127=22,"",)))))))))</f>
        <v>0</v>
      </c>
      <c r="F195" s="167" t="str">
        <f aca="false">IF($D$127=5,$S$178,IF($D$127=6,$S$178,IF($D$127=8,$S$180,IF($D$127=10,"",IF($D$127=12,$S$179,IF($D$127=14,"",IF($D$127=18,$S$178,IF($D$127=20,$S$179,IF($D$127=22,"",)))))))))</f>
        <v>02-022</v>
      </c>
      <c r="G195" s="167" t="str">
        <f aca="false">IF($D$127=5,$T$178,IF($D$127=6,$T$178,IF($D$127=8,$T$180,IF($D$127=10,"",IF($D$127=12,$T$179,IF($D$127=14,"",IF($D$127=18,$T$178,IF($D$127=20,$T$179,IF($D$127=22,"",)))))))))</f>
        <v>M</v>
      </c>
      <c r="H195" s="173" t="n">
        <f aca="false">IF($D$127=5,$U$178,IF($D$127=6,$U$178,IF($D$127=8,$U$180,IF($D$127=10,"",IF($D$127=12,$U$179,IF($D$127=14,"",IF($D$127=18,$U$178,IF($D$127=20,$U$179,IF($D$127=22,"")))))))))</f>
        <v>16.696</v>
      </c>
      <c r="I195" s="174" t="n">
        <f aca="false">IF($D$127=5,$V$178,IF($D$127=6,$V$178,IF($D$127=8,$V$180,IF($D$127=10,"",IF($D$127=12,$V$179,IF($D$127=14,"",IF($D$127=18,$V$178,IF($D$127=20,$V$179,IF($D$127=22,"",)))))))))</f>
        <v>100</v>
      </c>
      <c r="J195" s="175" t="n">
        <f aca="false">ROUNDUP((H195)/100,0)</f>
        <v>1</v>
      </c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30"/>
      <c r="I196" s="142"/>
      <c r="J196" s="134" t="n">
        <f aca="false">$J$120*H196</f>
        <v>0</v>
      </c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$J$120*H197</f>
        <v>0</v>
      </c>
    </row>
    <row r="198" customFormat="fals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$J$120*H198</f>
        <v>0</v>
      </c>
      <c r="Y198" s="96"/>
      <c r="Z198" s="96"/>
      <c r="AA198" s="96"/>
      <c r="AB198" s="96"/>
      <c r="AC198" s="96"/>
      <c r="AD198" s="96"/>
      <c r="AE198" s="96"/>
      <c r="AF198" s="96"/>
      <c r="AG198" s="96"/>
      <c r="AH198" s="96"/>
      <c r="AI198" s="96"/>
      <c r="AJ198" s="96"/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/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  <c r="P202" s="178"/>
    </row>
    <row r="203" s="96" customFormat="true" ht="18" hidden="false" customHeight="true" outlineLevel="0" collapsed="false">
      <c r="A203" s="170" t="str">
        <f aca="false">IF(B203="","",+""+1)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/>
    </row>
    <row r="205" s="96" customFormat="true" ht="18" hidden="false" customHeight="true" outlineLevel="0" collapsed="false">
      <c r="A205" s="170" t="str">
        <f aca="false">IF(B205="","",+A204+1)</f>
        <v/>
      </c>
      <c r="B205" s="131"/>
      <c r="C205" s="131"/>
      <c r="D205" s="132"/>
      <c r="E205" s="130"/>
      <c r="F205" s="130"/>
      <c r="G205" s="130"/>
      <c r="H205" s="130"/>
      <c r="I205" s="133"/>
      <c r="J205" s="134" t="n">
        <f aca="false">$J$120*H205</f>
        <v>0</v>
      </c>
    </row>
    <row r="206" s="96" customFormat="true" ht="18" hidden="false" customHeight="true" outlineLevel="0" collapsed="false">
      <c r="A206" s="248"/>
      <c r="B206" s="135"/>
      <c r="C206" s="135"/>
      <c r="D206" s="139"/>
      <c r="E206" s="136"/>
      <c r="F206" s="136"/>
      <c r="G206" s="136"/>
      <c r="H206" s="136"/>
      <c r="I206" s="140"/>
      <c r="J206" s="137"/>
    </row>
    <row r="207" customFormat="false" ht="18" hidden="false" customHeight="true" outlineLevel="0" collapsed="false">
      <c r="A207" s="97"/>
      <c r="B207" s="96"/>
      <c r="C207" s="96"/>
      <c r="D207" s="98"/>
      <c r="E207" s="97"/>
      <c r="F207" s="97"/>
      <c r="G207" s="97"/>
      <c r="H207" s="97"/>
      <c r="J207" s="92" t="str">
        <f aca="false">LEFT($J$111,13)&amp;"-02"</f>
        <v>FG-240-3P1L2R-02</v>
      </c>
    </row>
    <row r="208" customFormat="false" ht="12.75" hidden="false" customHeight="true" outlineLevel="0" collapsed="false">
      <c r="K208" s="78"/>
      <c r="L208" s="78"/>
      <c r="M208" s="79"/>
      <c r="N208" s="79"/>
    </row>
    <row r="209" customFormat="false" ht="30" hidden="false" customHeight="true" outlineLevel="0" collapsed="false">
      <c r="C209" s="75"/>
      <c r="D209" s="76"/>
      <c r="E209" s="76"/>
      <c r="F209" s="76"/>
      <c r="G209" s="76"/>
      <c r="H209" s="76"/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82"/>
      <c r="D210" s="82"/>
      <c r="E210" s="82"/>
      <c r="F210" s="82"/>
      <c r="G210" s="82"/>
      <c r="H210" s="82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B211" s="81"/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4"/>
      <c r="C212" s="84"/>
      <c r="D212" s="85"/>
      <c r="E212" s="84"/>
      <c r="F212" s="84"/>
      <c r="G212" s="84"/>
      <c r="H212" s="84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B215" s="182"/>
      <c r="D215" s="98"/>
      <c r="E215" s="83"/>
      <c r="F215" s="183"/>
      <c r="G215" s="183"/>
      <c r="H215" s="183"/>
      <c r="I215" s="183"/>
      <c r="J215" s="99"/>
    </row>
    <row r="216" s="96" customFormat="true" ht="15" hidden="false" customHeight="true" outlineLevel="0" collapsed="false">
      <c r="A216" s="97"/>
      <c r="C216" s="184"/>
      <c r="D216" s="98"/>
      <c r="E216" s="83"/>
      <c r="F216" s="98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customFormat="false" ht="15" hidden="false" customHeight="true" outlineLevel="0" collapsed="false">
      <c r="A218" s="97"/>
      <c r="B218" s="96"/>
      <c r="C218" s="181"/>
      <c r="D218" s="98"/>
      <c r="E218" s="97"/>
      <c r="F218" s="98"/>
      <c r="G218" s="96"/>
      <c r="H218" s="181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4" t="s">
        <v>543</v>
      </c>
      <c r="I219" s="98"/>
      <c r="J219" s="97"/>
    </row>
    <row r="220" s="96" customFormat="true" ht="15" hidden="false" customHeight="true" outlineLevel="0" collapsed="false">
      <c r="A220" s="97"/>
      <c r="C220" s="184" t="s">
        <v>458</v>
      </c>
      <c r="D220" s="98"/>
      <c r="E220" s="83"/>
      <c r="F220" s="98"/>
      <c r="H220" s="181" t="s">
        <v>544</v>
      </c>
      <c r="I220" s="181"/>
      <c r="J220" s="181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249" t="s">
        <v>545</v>
      </c>
      <c r="I221" s="249"/>
      <c r="J221" s="249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H222" s="250" t="n">
        <f aca="false">$I$148</f>
        <v>2108</v>
      </c>
      <c r="I222" s="187" t="n">
        <f aca="false">$J$148+$J$149</f>
        <v>2</v>
      </c>
    </row>
    <row r="223" s="96" customFormat="true" ht="15" hidden="false" customHeight="true" outlineLevel="0" collapsed="false">
      <c r="A223" s="97"/>
      <c r="C223" s="185" t="n">
        <f aca="false">$I$133</f>
        <v>2040</v>
      </c>
      <c r="D223" s="98"/>
      <c r="E223" s="83"/>
      <c r="F223" s="98"/>
      <c r="G223" s="186"/>
      <c r="I223" s="181"/>
      <c r="J223" s="181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J225" s="97"/>
    </row>
    <row r="226" s="96" customFormat="true" ht="15" hidden="false" customHeight="true" outlineLevel="0" collapsed="false">
      <c r="A226" s="99"/>
      <c r="B226" s="99"/>
      <c r="C226" s="83"/>
      <c r="D226" s="98"/>
      <c r="E226" s="97"/>
      <c r="F226" s="98"/>
      <c r="G226" s="186"/>
      <c r="J226" s="97"/>
    </row>
    <row r="227" s="96" customFormat="true" ht="15" hidden="false" customHeight="true" outlineLevel="0" collapsed="false">
      <c r="A227" s="99"/>
      <c r="B227" s="99"/>
      <c r="C227" s="83"/>
      <c r="D227" s="98"/>
      <c r="E227" s="97"/>
      <c r="F227" s="98"/>
      <c r="H227" s="97"/>
      <c r="J227" s="97"/>
    </row>
    <row r="228" s="96" customFormat="true" ht="1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97"/>
      <c r="J228" s="97"/>
    </row>
    <row r="229" s="96" customFormat="true" ht="1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97"/>
      <c r="J229" s="97"/>
    </row>
    <row r="230" s="96" customFormat="true" ht="15" hidden="false" customHeight="true" outlineLevel="0" collapsed="false">
      <c r="A230" s="99"/>
      <c r="B230" s="99"/>
      <c r="C230" s="181"/>
      <c r="D230" s="98"/>
      <c r="E230" s="97"/>
      <c r="F230" s="98"/>
      <c r="H230" s="97"/>
      <c r="I230" s="97"/>
      <c r="J230" s="97"/>
    </row>
    <row r="231" s="96" customFormat="true" ht="15.75" hidden="false" customHeight="true" outlineLevel="0" collapsed="false">
      <c r="A231" s="188"/>
      <c r="B231" s="188"/>
      <c r="D231" s="98"/>
      <c r="E231" s="97"/>
      <c r="F231" s="98"/>
      <c r="I231" s="97"/>
      <c r="J231" s="97"/>
    </row>
    <row r="232" s="96" customFormat="true" ht="15.75" hidden="false" customHeight="true" outlineLevel="0" collapsed="false">
      <c r="A232" s="97"/>
      <c r="B232" s="97"/>
      <c r="D232" s="98"/>
      <c r="E232" s="97"/>
      <c r="F232" s="98"/>
      <c r="I232" s="97"/>
      <c r="J232" s="97"/>
    </row>
    <row r="233" s="96" customFormat="true" ht="15.75" hidden="false" customHeight="true" outlineLevel="0" collapsed="false">
      <c r="A233" s="81"/>
      <c r="D233" s="98"/>
      <c r="E233" s="97"/>
      <c r="F233" s="97"/>
      <c r="I233" s="189"/>
      <c r="J233" s="190"/>
    </row>
    <row r="234" s="96" customFormat="true" ht="15.75" hidden="false" customHeight="true" outlineLevel="0" collapsed="false">
      <c r="A234" s="191"/>
      <c r="B234" s="191"/>
      <c r="C234" s="184" t="s">
        <v>461</v>
      </c>
      <c r="D234" s="192"/>
      <c r="E234" s="191"/>
      <c r="F234" s="191"/>
      <c r="G234" s="97"/>
      <c r="H234" s="97"/>
      <c r="I234" s="181"/>
      <c r="J234" s="193"/>
    </row>
    <row r="235" s="96" customFormat="true" ht="15.75" hidden="false" customHeight="true" outlineLevel="0" collapsed="false">
      <c r="A235" s="190"/>
      <c r="B235" s="190"/>
      <c r="C235" s="181" t="s">
        <v>462</v>
      </c>
      <c r="D235" s="194"/>
      <c r="E235" s="190"/>
      <c r="F235" s="189"/>
      <c r="G235" s="97"/>
      <c r="H235" s="97"/>
      <c r="I235" s="181"/>
      <c r="J235" s="193"/>
    </row>
    <row r="236" s="96" customFormat="true" ht="15.75" hidden="false" customHeight="true" outlineLevel="0" collapsed="false">
      <c r="A236" s="97"/>
      <c r="C236" s="181" t="s">
        <v>518</v>
      </c>
      <c r="D236" s="98"/>
      <c r="E236" s="97"/>
      <c r="F236" s="98"/>
      <c r="G236" s="97"/>
      <c r="H236" s="97"/>
      <c r="I236" s="181"/>
      <c r="J236" s="193"/>
    </row>
    <row r="237" s="96" customFormat="true" ht="15.75" hidden="false" customHeight="true" outlineLevel="0" collapsed="false">
      <c r="A237" s="97"/>
      <c r="C237" s="185" t="n">
        <f aca="false">$I$134</f>
        <v>2014</v>
      </c>
      <c r="D237" s="98"/>
      <c r="E237" s="97"/>
      <c r="F237" s="98"/>
      <c r="G237" s="97"/>
      <c r="H237" s="97"/>
      <c r="I237" s="181"/>
      <c r="J237" s="193"/>
    </row>
    <row r="238" s="96" customFormat="true" ht="15.75" hidden="false" customHeight="true" outlineLevel="0" collapsed="false">
      <c r="A238" s="97"/>
      <c r="C238" s="187" t="n">
        <f aca="false">$J$134</f>
        <v>1</v>
      </c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C239" s="191"/>
      <c r="D239" s="98"/>
      <c r="E239" s="97"/>
      <c r="F239" s="98"/>
      <c r="G239" s="97"/>
      <c r="H239" s="195"/>
      <c r="J239" s="97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97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196"/>
      <c r="J242" s="196"/>
    </row>
    <row r="243" s="96" customFormat="true" ht="15.75" hidden="false" customHeight="true" outlineLevel="0" collapsed="false">
      <c r="A243" s="97"/>
      <c r="D243" s="98"/>
      <c r="E243" s="97"/>
      <c r="F243" s="98"/>
      <c r="G243" s="97"/>
      <c r="H243" s="197"/>
      <c r="I243" s="184"/>
      <c r="J243" s="198"/>
    </row>
    <row r="244" s="96" customFormat="true" ht="15.75" hidden="false" customHeight="true" outlineLevel="0" collapsed="false">
      <c r="A244" s="97"/>
      <c r="D244" s="98"/>
      <c r="E244" s="97"/>
      <c r="F244" s="98"/>
      <c r="G244" s="97"/>
      <c r="H244" s="97"/>
      <c r="I244" s="181"/>
      <c r="J244" s="193"/>
    </row>
    <row r="245" s="96" customFormat="true" ht="15.75" hidden="false" customHeight="true" outlineLevel="0" collapsed="false">
      <c r="A245" s="97"/>
      <c r="C245" s="184" t="s">
        <v>464</v>
      </c>
      <c r="D245" s="98"/>
      <c r="E245" s="97"/>
      <c r="F245" s="98"/>
      <c r="G245" s="97"/>
      <c r="H245" s="97"/>
      <c r="I245" s="181"/>
      <c r="J245" s="193"/>
    </row>
    <row r="246" s="96" customFormat="true" ht="15.75" hidden="false" customHeight="true" outlineLevel="0" collapsed="false">
      <c r="A246" s="97"/>
      <c r="C246" s="181" t="s">
        <v>459</v>
      </c>
      <c r="D246" s="98"/>
      <c r="E246" s="97"/>
      <c r="F246" s="98"/>
      <c r="G246" s="97"/>
      <c r="H246" s="97"/>
      <c r="I246" s="196"/>
      <c r="J246" s="196"/>
    </row>
    <row r="247" s="96" customFormat="true" ht="15.75" hidden="false" customHeight="true" outlineLevel="0" collapsed="false">
      <c r="A247" s="97"/>
      <c r="C247" s="181" t="s">
        <v>460</v>
      </c>
      <c r="D247" s="98"/>
      <c r="E247" s="97"/>
      <c r="F247" s="98"/>
      <c r="G247" s="97"/>
      <c r="H247" s="97"/>
      <c r="I247" s="196"/>
      <c r="J247" s="196"/>
    </row>
    <row r="248" s="96" customFormat="true" ht="15.75" hidden="false" customHeight="true" outlineLevel="0" collapsed="false">
      <c r="A248" s="97"/>
      <c r="C248" s="185" t="n">
        <f aca="false">$I$135</f>
        <v>2040</v>
      </c>
      <c r="D248" s="98"/>
      <c r="E248" s="97"/>
      <c r="F248" s="98"/>
      <c r="G248" s="97"/>
      <c r="H248" s="97"/>
      <c r="I248" s="97"/>
      <c r="J248" s="196"/>
    </row>
    <row r="249" s="96" customFormat="true" ht="15.75" hidden="false" customHeight="true" outlineLevel="0" collapsed="false">
      <c r="A249" s="97"/>
      <c r="C249" s="187" t="n">
        <f aca="false">$J$135</f>
        <v>1</v>
      </c>
      <c r="D249" s="98"/>
      <c r="E249" s="97"/>
      <c r="F249" s="98"/>
      <c r="G249" s="97"/>
      <c r="H249" s="97"/>
      <c r="I249" s="196"/>
      <c r="J249" s="196"/>
    </row>
    <row r="250" s="96" customFormat="true" ht="15.75" hidden="false" customHeight="true" outlineLevel="0" collapsed="false">
      <c r="A250" s="97"/>
      <c r="C250" s="98"/>
      <c r="D250" s="98"/>
      <c r="E250" s="97"/>
      <c r="F250" s="98"/>
      <c r="G250" s="97"/>
      <c r="H250" s="97"/>
      <c r="I250" s="196"/>
      <c r="J250" s="196"/>
    </row>
    <row r="251" s="96" customFormat="true" ht="15" hidden="false" customHeight="true" outlineLevel="0" collapsed="false">
      <c r="A251" s="97"/>
      <c r="D251" s="98"/>
      <c r="E251" s="97"/>
      <c r="F251" s="97"/>
      <c r="G251" s="191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191"/>
      <c r="H252" s="97"/>
      <c r="I252" s="191"/>
      <c r="J252" s="199"/>
    </row>
    <row r="253" s="96" customFormat="true" ht="15.75" hidden="false" customHeight="true" outlineLevel="0" collapsed="false">
      <c r="A253" s="97"/>
      <c r="D253" s="98"/>
      <c r="E253" s="97"/>
      <c r="F253" s="97"/>
      <c r="G253" s="191"/>
      <c r="H253" s="97"/>
      <c r="I253" s="191"/>
      <c r="J253" s="199"/>
    </row>
    <row r="254" s="96" customFormat="true" ht="15.75" hidden="false" customHeight="true" outlineLevel="0" collapsed="false">
      <c r="A254" s="97"/>
      <c r="D254" s="98"/>
      <c r="E254" s="97"/>
      <c r="F254" s="97"/>
      <c r="G254" s="190"/>
      <c r="H254" s="97"/>
      <c r="I254" s="189"/>
      <c r="J254" s="190"/>
    </row>
    <row r="255" s="96" customFormat="true" ht="15.75" hidden="false" customHeight="true" outlineLevel="0" collapsed="false">
      <c r="A255" s="97"/>
      <c r="D255" s="98"/>
      <c r="E255" s="97"/>
      <c r="F255" s="97"/>
      <c r="G255" s="97"/>
      <c r="H255" s="97"/>
      <c r="J255" s="97"/>
    </row>
    <row r="256" s="96" customFormat="true" ht="15.75" hidden="false" customHeight="true" outlineLevel="0" collapsed="false">
      <c r="A256" s="191"/>
      <c r="B256" s="191"/>
      <c r="D256" s="192"/>
      <c r="E256" s="191"/>
      <c r="F256" s="191"/>
      <c r="G256" s="97"/>
      <c r="H256" s="97"/>
      <c r="J256" s="97"/>
    </row>
    <row r="257" s="96" customFormat="true" ht="15.75" hidden="false" customHeight="true" outlineLevel="0" collapsed="false">
      <c r="A257" s="190"/>
      <c r="B257" s="190"/>
      <c r="C257" s="184" t="s">
        <v>465</v>
      </c>
      <c r="D257" s="194"/>
      <c r="E257" s="190"/>
      <c r="F257" s="189"/>
      <c r="G257" s="97"/>
      <c r="J257" s="97"/>
    </row>
    <row r="258" s="96" customFormat="true" ht="15.75" hidden="false" customHeight="true" outlineLevel="0" collapsed="false">
      <c r="A258" s="200"/>
      <c r="C258" s="181" t="s">
        <v>459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C259" s="181" t="s">
        <v>460</v>
      </c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C260" s="185" t="n">
        <f aca="false">$I$136</f>
        <v>2040</v>
      </c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C261" s="187" t="n">
        <f aca="false">$J$136</f>
        <v>1</v>
      </c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D264" s="98"/>
      <c r="E264" s="97"/>
      <c r="F264" s="97"/>
      <c r="G264" s="97"/>
      <c r="I264" s="196"/>
      <c r="J264" s="196"/>
    </row>
    <row r="265" s="96" customFormat="true" ht="15.75" hidden="false" customHeight="true" outlineLevel="0" collapsed="false">
      <c r="A265" s="200"/>
      <c r="D265" s="98"/>
      <c r="E265" s="97"/>
      <c r="F265" s="97"/>
      <c r="G265" s="97"/>
      <c r="I265" s="196"/>
      <c r="J265" s="196"/>
    </row>
    <row r="266" s="96" customFormat="true" ht="15.75" hidden="false" customHeight="true" outlineLevel="0" collapsed="false">
      <c r="A266" s="200"/>
      <c r="C266" s="98"/>
      <c r="D266" s="98"/>
      <c r="E266" s="97"/>
      <c r="F266" s="97"/>
      <c r="G266" s="97"/>
      <c r="I266" s="196"/>
      <c r="J266" s="196"/>
    </row>
    <row r="267" s="96" customFormat="true" ht="15.75" hidden="false" customHeight="true" outlineLevel="0" collapsed="false">
      <c r="A267" s="200"/>
      <c r="D267" s="98"/>
      <c r="E267" s="97"/>
      <c r="F267" s="97"/>
      <c r="G267" s="97"/>
      <c r="I267" s="196"/>
      <c r="J267" s="196"/>
    </row>
    <row r="268" s="96" customFormat="true" ht="15.75" hidden="false" customHeight="true" outlineLevel="0" collapsed="false">
      <c r="A268" s="200"/>
      <c r="C268" s="184" t="s">
        <v>466</v>
      </c>
      <c r="D268" s="98"/>
      <c r="E268" s="97"/>
      <c r="F268" s="97"/>
      <c r="G268" s="97"/>
      <c r="H268" s="97"/>
      <c r="I268" s="196"/>
      <c r="J268" s="196"/>
    </row>
    <row r="269" s="96" customFormat="true" ht="15.75" hidden="false" customHeight="true" outlineLevel="0" collapsed="false">
      <c r="A269" s="200"/>
      <c r="C269" s="181" t="s">
        <v>467</v>
      </c>
      <c r="D269" s="181"/>
      <c r="E269" s="181"/>
      <c r="F269" s="97"/>
      <c r="G269" s="97"/>
      <c r="H269" s="97"/>
      <c r="I269" s="196"/>
      <c r="J269" s="196"/>
      <c r="AF269" s="96" t="n">
        <v>6</v>
      </c>
    </row>
    <row r="270" s="96" customFormat="true" ht="15.75" hidden="false" customHeight="true" outlineLevel="0" collapsed="false">
      <c r="A270" s="200"/>
      <c r="C270" s="181" t="s">
        <v>468</v>
      </c>
      <c r="D270" s="181"/>
      <c r="E270" s="181"/>
      <c r="F270" s="97"/>
      <c r="G270" s="97"/>
      <c r="H270" s="97"/>
      <c r="I270" s="196"/>
      <c r="J270" s="196"/>
    </row>
    <row r="271" s="96" customFormat="true" ht="15.75" hidden="false" customHeight="true" outlineLevel="0" collapsed="false">
      <c r="A271" s="200"/>
      <c r="C271" s="185" t="n">
        <f aca="false">$I$137</f>
        <v>2200</v>
      </c>
      <c r="D271" s="98"/>
      <c r="E271" s="97"/>
      <c r="F271" s="97"/>
      <c r="I271" s="196"/>
      <c r="J271" s="196"/>
    </row>
    <row r="272" s="96" customFormat="true" ht="15.75" hidden="false" customHeight="true" outlineLevel="0" collapsed="false">
      <c r="A272" s="200"/>
      <c r="C272" s="187" t="n">
        <f aca="false">$J$137+$J$138</f>
        <v>2</v>
      </c>
      <c r="D272" s="98"/>
      <c r="E272" s="97"/>
      <c r="F272" s="97"/>
      <c r="G272" s="97"/>
      <c r="H272" s="97"/>
      <c r="I272" s="196"/>
      <c r="J272" s="196"/>
    </row>
    <row r="273" s="96" customFormat="true" ht="15.75" hidden="false" customHeight="true" outlineLevel="0" collapsed="false">
      <c r="A273" s="200"/>
      <c r="D273" s="184"/>
      <c r="E273" s="184"/>
      <c r="F273" s="97"/>
      <c r="G273" s="97"/>
      <c r="H273" s="97"/>
      <c r="I273" s="196"/>
      <c r="J273" s="196"/>
    </row>
    <row r="274" s="96" customFormat="true" ht="15.75" hidden="false" customHeight="true" outlineLevel="0" collapsed="false">
      <c r="A274" s="200"/>
      <c r="D274" s="184"/>
      <c r="E274" s="184"/>
      <c r="F274" s="97"/>
      <c r="G274" s="97"/>
      <c r="H274" s="97"/>
      <c r="J274" s="97"/>
    </row>
    <row r="275" s="96" customFormat="true" ht="15.75" hidden="false" customHeight="true" outlineLevel="0" collapsed="false">
      <c r="A275" s="200"/>
      <c r="D275" s="184"/>
      <c r="E275" s="184"/>
      <c r="F275" s="97"/>
      <c r="G275" s="97"/>
      <c r="H275" s="97"/>
      <c r="J275" s="97"/>
    </row>
    <row r="276" s="96" customFormat="true" ht="15.75" hidden="false" customHeight="true" outlineLevel="0" collapsed="false">
      <c r="A276" s="200"/>
      <c r="D276" s="184"/>
      <c r="E276" s="184"/>
      <c r="F276" s="97"/>
      <c r="G276" s="97"/>
      <c r="H276" s="97"/>
      <c r="J276" s="97"/>
    </row>
    <row r="277" s="96" customFormat="true" ht="15.75" hidden="false" customHeight="true" outlineLevel="0" collapsed="false">
      <c r="A277" s="200"/>
      <c r="D277" s="181"/>
      <c r="E277" s="181"/>
      <c r="F277" s="97"/>
      <c r="G277" s="97"/>
      <c r="H277" s="97"/>
      <c r="J277" s="97"/>
    </row>
    <row r="278" s="96" customFormat="true" ht="15.75" hidden="false" customHeight="true" outlineLevel="0" collapsed="false">
      <c r="A278" s="200"/>
      <c r="D278" s="181"/>
      <c r="E278" s="181"/>
      <c r="F278" s="97"/>
      <c r="G278" s="97"/>
      <c r="J278" s="97"/>
    </row>
    <row r="279" s="96" customFormat="true" ht="15.75" hidden="false" customHeight="true" outlineLevel="0" collapsed="false">
      <c r="A279" s="200"/>
      <c r="D279" s="98"/>
      <c r="E279" s="97"/>
      <c r="F279" s="97"/>
      <c r="G279" s="97"/>
      <c r="J279" s="97"/>
    </row>
    <row r="280" s="96" customFormat="true" ht="15.75" hidden="false" customHeight="true" outlineLevel="0" collapsed="false">
      <c r="A280" s="200"/>
      <c r="C280" s="184" t="s">
        <v>469</v>
      </c>
      <c r="D280" s="201"/>
      <c r="E280" s="196"/>
      <c r="F280" s="97"/>
      <c r="G280" s="97"/>
      <c r="J280" s="97"/>
    </row>
    <row r="281" s="96" customFormat="true" ht="15.75" hidden="false" customHeight="true" outlineLevel="0" collapsed="false">
      <c r="A281" s="200"/>
      <c r="C281" s="181" t="s">
        <v>470</v>
      </c>
      <c r="D281" s="181"/>
      <c r="E281" s="181"/>
      <c r="F281" s="97"/>
      <c r="G281" s="97"/>
      <c r="J281" s="97"/>
    </row>
    <row r="282" s="96" customFormat="true" ht="15.75" hidden="false" customHeight="true" outlineLevel="0" collapsed="false">
      <c r="A282" s="200"/>
      <c r="C282" s="181" t="s">
        <v>471</v>
      </c>
      <c r="D282" s="181"/>
      <c r="E282" s="181"/>
      <c r="F282" s="97"/>
      <c r="G282" s="97"/>
      <c r="I282" s="196"/>
      <c r="J282" s="196"/>
    </row>
    <row r="283" s="96" customFormat="true" ht="15.75" hidden="false" customHeight="true" outlineLevel="0" collapsed="false">
      <c r="A283" s="200"/>
      <c r="C283" s="185" t="n">
        <f aca="false">$I$139</f>
        <v>2104</v>
      </c>
      <c r="F283" s="97"/>
      <c r="G283" s="97"/>
      <c r="I283" s="196"/>
      <c r="J283" s="196"/>
    </row>
    <row r="284" s="96" customFormat="true" ht="15.75" hidden="false" customHeight="true" outlineLevel="0" collapsed="false">
      <c r="A284" s="200"/>
      <c r="C284" s="187" t="n">
        <f aca="false">$J$139+$J$140</f>
        <v>2</v>
      </c>
      <c r="F284" s="97"/>
      <c r="G284" s="97"/>
      <c r="I284" s="196"/>
      <c r="J284" s="196"/>
    </row>
    <row r="285" s="96" customFormat="true" ht="15.75" hidden="false" customHeight="true" outlineLevel="0" collapsed="false">
      <c r="A285" s="200"/>
      <c r="F285" s="97"/>
      <c r="G285" s="97"/>
      <c r="H285" s="97"/>
      <c r="I285" s="97"/>
      <c r="J285" s="196"/>
    </row>
    <row r="286" s="96" customFormat="true" ht="15.75" hidden="false" customHeight="true" outlineLevel="0" collapsed="false">
      <c r="A286" s="200"/>
      <c r="F286" s="97"/>
      <c r="G286" s="97"/>
      <c r="H286" s="97"/>
      <c r="I286" s="97"/>
      <c r="J286" s="196"/>
    </row>
    <row r="287" s="96" customFormat="true" ht="15.75" hidden="false" customHeight="true" outlineLevel="0" collapsed="false">
      <c r="A287" s="200"/>
      <c r="D287" s="98"/>
      <c r="E287" s="97"/>
      <c r="F287" s="97"/>
      <c r="G287" s="97"/>
      <c r="H287" s="97"/>
      <c r="I287" s="97"/>
      <c r="J287" s="196"/>
    </row>
    <row r="288" s="96" customFormat="true" ht="15.75" hidden="false" customHeight="true" outlineLevel="0" collapsed="false">
      <c r="A288" s="200"/>
      <c r="F288" s="97"/>
      <c r="G288" s="97"/>
      <c r="H288" s="97"/>
      <c r="I288" s="97"/>
      <c r="J288" s="196"/>
    </row>
    <row r="289" s="96" customFormat="true" ht="15.75" hidden="false" customHeight="true" outlineLevel="0" collapsed="false">
      <c r="A289" s="200"/>
      <c r="F289" s="97"/>
      <c r="G289" s="97"/>
      <c r="H289" s="97"/>
      <c r="I289" s="97"/>
      <c r="J289" s="196"/>
    </row>
    <row r="290" s="96" customFormat="true" ht="15.75" hidden="false" customHeight="true" outlineLevel="0" collapsed="false">
      <c r="A290" s="200"/>
      <c r="C290" s="184" t="s">
        <v>472</v>
      </c>
      <c r="F290" s="97"/>
      <c r="G290" s="97"/>
      <c r="H290" s="97"/>
      <c r="J290" s="97"/>
    </row>
    <row r="291" s="96" customFormat="true" ht="15.75" hidden="false" customHeight="true" outlineLevel="0" collapsed="false">
      <c r="A291" s="200"/>
      <c r="C291" s="83" t="s">
        <v>546</v>
      </c>
      <c r="D291" s="98"/>
      <c r="E291" s="97"/>
      <c r="F291" s="97"/>
      <c r="G291" s="97"/>
      <c r="H291" s="97"/>
      <c r="J291" s="97"/>
    </row>
    <row r="292" s="96" customFormat="true" ht="15.75" hidden="false" customHeight="true" outlineLevel="0" collapsed="false">
      <c r="A292" s="200"/>
      <c r="C292" s="181" t="s">
        <v>547</v>
      </c>
      <c r="D292" s="98"/>
      <c r="E292" s="97"/>
      <c r="F292" s="97"/>
      <c r="G292" s="97"/>
      <c r="H292" s="97"/>
      <c r="J292" s="97"/>
    </row>
    <row r="293" s="96" customFormat="true" ht="15.75" hidden="false" customHeight="true" outlineLevel="0" collapsed="false">
      <c r="A293" s="200"/>
      <c r="C293" s="181" t="s">
        <v>475</v>
      </c>
      <c r="D293" s="181"/>
      <c r="E293" s="181"/>
      <c r="F293" s="97"/>
      <c r="G293" s="97"/>
      <c r="I293" s="201"/>
      <c r="J293" s="196"/>
    </row>
    <row r="294" s="96" customFormat="true" ht="15.75" hidden="false" customHeight="true" outlineLevel="0" collapsed="false">
      <c r="A294" s="200"/>
      <c r="C294" s="181" t="s">
        <v>476</v>
      </c>
      <c r="D294" s="181"/>
      <c r="E294" s="181"/>
      <c r="F294" s="97"/>
      <c r="G294" s="97"/>
      <c r="I294" s="97"/>
      <c r="J294" s="196"/>
    </row>
    <row r="295" s="96" customFormat="true" ht="15.75" hidden="false" customHeight="true" outlineLevel="0" collapsed="false">
      <c r="A295" s="200"/>
      <c r="C295" s="185" t="n">
        <f aca="false">$I$141</f>
        <v>674.666666666667</v>
      </c>
      <c r="F295" s="97"/>
      <c r="G295" s="97"/>
      <c r="I295" s="196"/>
      <c r="J295" s="196"/>
    </row>
    <row r="296" s="96" customFormat="true" ht="15.75" hidden="false" customHeight="true" outlineLevel="0" collapsed="false">
      <c r="A296" s="200"/>
      <c r="C296" s="187" t="n">
        <f aca="false">$J$141+$J$142</f>
        <v>6</v>
      </c>
      <c r="D296" s="98"/>
      <c r="E296" s="97"/>
      <c r="F296" s="97"/>
      <c r="G296" s="97"/>
      <c r="H296" s="98"/>
      <c r="I296" s="196"/>
      <c r="J296" s="196"/>
    </row>
    <row r="297" s="96" customFormat="true" ht="15.75" hidden="false" customHeight="true" outlineLevel="0" collapsed="false">
      <c r="A297" s="200"/>
      <c r="C297" s="185" t="n">
        <f aca="false">$I$143</f>
        <v>2108</v>
      </c>
      <c r="D297" s="98"/>
      <c r="E297" s="97"/>
      <c r="F297" s="97"/>
      <c r="G297" s="97"/>
      <c r="H297" s="97"/>
      <c r="I297" s="196"/>
      <c r="J297" s="196"/>
    </row>
    <row r="298" s="202" customFormat="true" ht="15.75" hidden="false" customHeight="true" outlineLevel="0" collapsed="false">
      <c r="A298" s="200"/>
      <c r="B298" s="96"/>
      <c r="C298" s="187" t="n">
        <f aca="false">$J$143+$J$144+$J$145</f>
        <v>6</v>
      </c>
      <c r="D298" s="98"/>
      <c r="E298" s="97"/>
      <c r="F298" s="97"/>
      <c r="G298" s="97"/>
      <c r="H298" s="97"/>
      <c r="I298" s="97"/>
      <c r="J298" s="97"/>
    </row>
    <row r="299" s="202" customFormat="true" ht="15.75" hidden="false" customHeight="true" outlineLevel="0" collapsed="false">
      <c r="A299" s="200"/>
      <c r="B299" s="96"/>
      <c r="C299" s="96"/>
      <c r="D299" s="98"/>
      <c r="E299" s="97"/>
      <c r="F299" s="97"/>
      <c r="G299" s="97"/>
      <c r="H299" s="97"/>
      <c r="I299" s="97"/>
      <c r="J299" s="97"/>
    </row>
    <row r="300" s="202" customFormat="true" ht="15.75" hidden="false" customHeight="true" outlineLevel="0" collapsed="false">
      <c r="A300" s="200"/>
      <c r="B300" s="96"/>
      <c r="C300" s="96"/>
      <c r="D300" s="98"/>
      <c r="E300" s="97"/>
      <c r="F300" s="97"/>
      <c r="G300" s="97"/>
      <c r="H300" s="97"/>
      <c r="I300" s="97"/>
      <c r="J300" s="97"/>
    </row>
    <row r="301" s="96" customFormat="true" ht="15.75" hidden="false" customHeight="true" outlineLevel="0" collapsed="false">
      <c r="A301" s="200"/>
      <c r="D301" s="98"/>
      <c r="E301" s="97"/>
      <c r="F301" s="97"/>
      <c r="G301" s="97"/>
      <c r="H301" s="97"/>
      <c r="I301" s="191"/>
      <c r="J301" s="199"/>
    </row>
    <row r="302" s="96" customFormat="true" ht="15.75" hidden="false" customHeight="true" outlineLevel="0" collapsed="false">
      <c r="A302" s="200"/>
      <c r="C302" s="202"/>
      <c r="D302" s="98"/>
      <c r="E302" s="97"/>
      <c r="F302" s="97"/>
      <c r="G302" s="97"/>
      <c r="H302" s="97"/>
      <c r="I302" s="189"/>
      <c r="J302" s="190"/>
    </row>
    <row r="303" s="96" customFormat="true" ht="15.75" hidden="false" customHeight="true" outlineLevel="0" collapsed="false">
      <c r="A303" s="200"/>
      <c r="C303" s="184" t="s">
        <v>477</v>
      </c>
      <c r="D303" s="98"/>
      <c r="E303" s="97"/>
      <c r="F303" s="97"/>
      <c r="G303" s="97"/>
      <c r="H303" s="97"/>
      <c r="I303" s="196"/>
      <c r="J303" s="196"/>
    </row>
    <row r="304" s="96" customFormat="true" ht="15.75" hidden="false" customHeight="true" outlineLevel="0" collapsed="false">
      <c r="A304" s="200"/>
      <c r="C304" s="83" t="s">
        <v>546</v>
      </c>
      <c r="D304" s="98"/>
      <c r="E304" s="97"/>
      <c r="F304" s="97"/>
      <c r="G304" s="191"/>
      <c r="H304" s="191"/>
      <c r="I304" s="196"/>
      <c r="J304" s="196"/>
    </row>
    <row r="305" s="96" customFormat="true" ht="15.75" hidden="false" customHeight="true" outlineLevel="0" collapsed="false">
      <c r="A305" s="200"/>
      <c r="C305" s="181" t="s">
        <v>547</v>
      </c>
      <c r="D305" s="181"/>
      <c r="E305" s="181"/>
      <c r="F305" s="97"/>
      <c r="G305" s="190"/>
      <c r="H305" s="189"/>
      <c r="I305" s="97"/>
      <c r="J305" s="196"/>
    </row>
    <row r="306" s="96" customFormat="true" ht="15.75" hidden="false" customHeight="true" outlineLevel="0" collapsed="false">
      <c r="A306" s="107"/>
      <c r="C306" s="181" t="s">
        <v>478</v>
      </c>
      <c r="D306" s="181"/>
      <c r="E306" s="181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191"/>
      <c r="B307" s="191"/>
      <c r="C307" s="181" t="s">
        <v>479</v>
      </c>
      <c r="D307" s="203"/>
      <c r="E307" s="204"/>
      <c r="F307" s="191"/>
      <c r="G307" s="97"/>
      <c r="H307" s="97"/>
      <c r="I307" s="97"/>
      <c r="J307" s="196"/>
    </row>
    <row r="308" s="96" customFormat="true" ht="15.75" hidden="false" customHeight="true" outlineLevel="0" collapsed="false">
      <c r="A308" s="190"/>
      <c r="B308" s="190"/>
      <c r="C308" s="185" t="n">
        <f aca="false">$I$146</f>
        <v>563.833333333333</v>
      </c>
      <c r="D308" s="205"/>
      <c r="E308" s="206"/>
      <c r="F308" s="189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7" t="n">
        <f aca="false">$J$146</f>
        <v>6</v>
      </c>
      <c r="D309" s="98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5" t="n">
        <f aca="false">$I$147</f>
        <v>1958</v>
      </c>
      <c r="D310" s="98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C311" s="187" t="n">
        <f aca="false">$J$147</f>
        <v>6</v>
      </c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C312" s="184"/>
      <c r="D312" s="98"/>
      <c r="E312" s="97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C313" s="181"/>
      <c r="D313" s="181"/>
      <c r="E313" s="181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B314" s="49"/>
      <c r="C314" s="49"/>
      <c r="D314" s="207"/>
      <c r="E314" s="200"/>
      <c r="F314" s="200"/>
      <c r="G314" s="200"/>
      <c r="H314" s="200"/>
      <c r="I314" s="200"/>
      <c r="J314" s="92" t="str">
        <f aca="false">LEFT($J$111,13)&amp;"-03"</f>
        <v>FG-240-3P1L2R-03</v>
      </c>
    </row>
    <row r="315" customFormat="false" ht="12.75" hidden="false" customHeight="true" outlineLevel="0" collapsed="false">
      <c r="A315" s="97"/>
      <c r="B315" s="96"/>
      <c r="C315" s="96"/>
      <c r="D315" s="98"/>
      <c r="E315" s="97"/>
      <c r="F315" s="97"/>
      <c r="G315" s="97"/>
      <c r="H315" s="97"/>
      <c r="I315" s="208"/>
      <c r="J315" s="208"/>
    </row>
    <row r="316" customFormat="false" ht="30" hidden="false" customHeight="true" outlineLevel="0" collapsed="false">
      <c r="C316" s="75"/>
      <c r="D316" s="76"/>
      <c r="E316" s="76"/>
      <c r="F316" s="76"/>
      <c r="G316" s="76"/>
      <c r="H316" s="76"/>
      <c r="I316" s="76"/>
      <c r="J316" s="77" t="str">
        <f aca="false">$J$2</f>
        <v>HOMELIFE</v>
      </c>
      <c r="K316" s="83"/>
      <c r="L316" s="83"/>
      <c r="M316" s="79"/>
      <c r="N316" s="79"/>
    </row>
    <row r="317" customFormat="false" ht="24.75" hidden="false" customHeight="true" outlineLevel="0" collapsed="false">
      <c r="C317" s="82"/>
      <c r="D317" s="82"/>
      <c r="E317" s="82"/>
      <c r="F317" s="82"/>
      <c r="G317" s="82"/>
      <c r="H317" s="82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B318" s="81"/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customFormat="false" ht="15" hidden="false" customHeight="true" outlineLevel="0" collapsed="false"/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</row>
    <row r="321" s="96" customFormat="true" ht="15" hidden="false" customHeight="true" outlineLevel="0" collapsed="false">
      <c r="A321" s="188"/>
      <c r="B321" s="81"/>
      <c r="D321" s="98"/>
      <c r="E321" s="83"/>
      <c r="F321" s="183"/>
      <c r="G321" s="183"/>
      <c r="H321" s="183"/>
      <c r="I321" s="183"/>
      <c r="J321" s="99"/>
    </row>
    <row r="322" s="96" customFormat="true" ht="15" hidden="false" customHeight="true" outlineLevel="0" collapsed="false">
      <c r="A322" s="188"/>
      <c r="B322" s="81"/>
      <c r="D322" s="98"/>
      <c r="E322" s="83"/>
      <c r="F322" s="183"/>
      <c r="G322" s="183"/>
      <c r="H322" s="183"/>
      <c r="I322" s="183"/>
      <c r="J322" s="99"/>
    </row>
    <row r="323" s="96" customFormat="true" ht="15" hidden="false" customHeight="true" outlineLevel="0" collapsed="false">
      <c r="A323" s="97"/>
      <c r="D323" s="98"/>
      <c r="E323" s="83"/>
      <c r="F323" s="98"/>
      <c r="G323" s="83"/>
      <c r="H323" s="83"/>
      <c r="I323" s="83"/>
      <c r="J323" s="97"/>
    </row>
    <row r="324" s="96" customFormat="true" ht="15" hidden="false" customHeight="true" outlineLevel="0" collapsed="false">
      <c r="A324" s="97"/>
      <c r="C324" s="98"/>
      <c r="D324" s="98"/>
      <c r="E324" s="83"/>
      <c r="F324" s="98"/>
      <c r="G324" s="97"/>
      <c r="H324" s="83"/>
      <c r="I324" s="97"/>
      <c r="J324" s="97"/>
    </row>
    <row r="325" s="96" customFormat="true" ht="15" hidden="false" customHeight="true" outlineLevel="0" collapsed="false">
      <c r="A325" s="97"/>
      <c r="C325" s="98"/>
      <c r="D325" s="98"/>
      <c r="E325" s="83"/>
      <c r="F325" s="98"/>
      <c r="G325" s="97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97"/>
      <c r="J329" s="97"/>
    </row>
    <row r="330" s="96" customFormat="true" ht="15" hidden="false" customHeight="true" outlineLevel="0" collapsed="false">
      <c r="A330" s="97"/>
      <c r="C330" s="182"/>
      <c r="D330" s="98"/>
      <c r="E330" s="97"/>
      <c r="F330" s="209"/>
      <c r="G330" s="209"/>
      <c r="H330" s="110"/>
      <c r="I330" s="182"/>
      <c r="J330" s="97"/>
    </row>
    <row r="331" s="96" customFormat="true" ht="15" hidden="false" customHeight="true" outlineLevel="0" collapsed="false">
      <c r="A331" s="99"/>
      <c r="B331" s="99"/>
      <c r="C331" s="98"/>
      <c r="D331" s="98"/>
      <c r="E331" s="97"/>
      <c r="F331" s="110"/>
      <c r="G331" s="1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240-3 Panel (1L2R)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188"/>
      <c r="C333" s="182"/>
      <c r="D333" s="98"/>
      <c r="E333" s="97"/>
      <c r="F333" s="210"/>
      <c r="G333" s="210"/>
      <c r="H333" s="110"/>
      <c r="I333" s="97"/>
      <c r="J333" s="97"/>
    </row>
    <row r="334" s="96" customFormat="true" ht="15.75" hidden="false" customHeight="true" outlineLevel="0" collapsed="false">
      <c r="A334" s="97"/>
      <c r="B334" s="97"/>
      <c r="C334" s="98"/>
      <c r="D334" s="98"/>
      <c r="E334" s="97"/>
      <c r="F334" s="78"/>
      <c r="H334" s="97"/>
      <c r="I334" s="97"/>
      <c r="J334" s="97"/>
    </row>
    <row r="335" s="96" customFormat="true" ht="15.75" hidden="false" customHeight="true" outlineLevel="0" collapsed="false">
      <c r="A335" s="81"/>
      <c r="C335" s="212"/>
      <c r="D335" s="98"/>
      <c r="E335" s="97"/>
      <c r="F335" s="97"/>
      <c r="G335" s="97"/>
      <c r="H335" s="97"/>
      <c r="I335" s="97"/>
      <c r="J335" s="97"/>
    </row>
    <row r="336" s="96" customFormat="true" ht="15.75" hidden="false" customHeight="true" outlineLevel="0" collapsed="false">
      <c r="A336" s="191"/>
      <c r="C336" s="191"/>
      <c r="D336" s="192"/>
      <c r="E336" s="191"/>
      <c r="F336" s="191"/>
      <c r="G336" s="191"/>
      <c r="H336" s="191"/>
      <c r="I336" s="191"/>
      <c r="J336" s="199"/>
    </row>
    <row r="337" s="96" customFormat="true" ht="15.75" hidden="false" customHeight="true" outlineLevel="0" collapsed="false">
      <c r="A337" s="190"/>
      <c r="C337" s="98"/>
      <c r="D337" s="194"/>
      <c r="E337" s="190"/>
      <c r="F337" s="189"/>
      <c r="G337" s="190"/>
      <c r="H337" s="189"/>
      <c r="I337" s="189"/>
      <c r="J337" s="190"/>
    </row>
    <row r="338" s="96" customFormat="true" ht="15.75" hidden="false" customHeight="true" outlineLevel="0" collapsed="false">
      <c r="A338" s="97"/>
      <c r="C338" s="98"/>
      <c r="D338" s="98"/>
      <c r="E338" s="97"/>
      <c r="F338" s="98"/>
      <c r="G338" s="97"/>
      <c r="H338" s="97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191"/>
      <c r="D340" s="98"/>
      <c r="E340" s="97"/>
      <c r="F340" s="98"/>
      <c r="G340" s="97"/>
      <c r="H340" s="201"/>
      <c r="I340" s="201"/>
      <c r="J340" s="201"/>
    </row>
    <row r="341" s="96" customFormat="true" ht="15.75" hidden="false" customHeight="true" outlineLevel="0" collapsed="false">
      <c r="A341" s="97"/>
      <c r="C341" s="182"/>
      <c r="D341" s="98"/>
      <c r="E341" s="97"/>
      <c r="F341" s="98"/>
      <c r="G341" s="97"/>
      <c r="H341" s="98"/>
      <c r="I341" s="98"/>
      <c r="J341" s="98"/>
    </row>
    <row r="342" s="96" customFormat="true" ht="15.75" hidden="false" customHeight="true" outlineLevel="0" collapsed="false">
      <c r="A342" s="97"/>
      <c r="C342" s="98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7"/>
      <c r="I343" s="97"/>
      <c r="J343" s="196"/>
    </row>
    <row r="344" s="96" customFormat="true" ht="15.75" hidden="false" customHeight="true" outlineLevel="0" collapsed="false">
      <c r="A344" s="97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C347" s="191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98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D351" s="98"/>
      <c r="E351" s="97"/>
      <c r="F351" s="97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195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97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B355" s="191"/>
      <c r="C355" s="191"/>
      <c r="D355" s="192"/>
      <c r="E355" s="191"/>
      <c r="F355" s="191"/>
      <c r="G355" s="191"/>
      <c r="H355" s="191"/>
      <c r="I355" s="191"/>
      <c r="J355" s="199"/>
    </row>
    <row r="356" s="96" customFormat="true" ht="15.75" hidden="false" customHeight="true" outlineLevel="0" collapsed="false">
      <c r="A356" s="190"/>
      <c r="B356" s="190"/>
      <c r="C356" s="191"/>
      <c r="D356" s="194"/>
      <c r="E356" s="190"/>
      <c r="F356" s="189"/>
      <c r="G356" s="190"/>
      <c r="H356" s="189"/>
      <c r="I356" s="189"/>
      <c r="J356" s="190"/>
    </row>
    <row r="357" s="96" customFormat="true" ht="15.75" hidden="false" customHeight="true" outlineLevel="0" collapsed="false">
      <c r="A357" s="200"/>
      <c r="C357" s="182"/>
      <c r="D357" s="98"/>
      <c r="E357" s="97"/>
      <c r="F357" s="97"/>
      <c r="G357" s="97"/>
      <c r="H357" s="182"/>
      <c r="I357" s="196"/>
      <c r="J357" s="196"/>
    </row>
    <row r="358" s="96" customFormat="true" ht="15.75" hidden="false" customHeight="true" outlineLevel="0" collapsed="false">
      <c r="A358" s="200"/>
      <c r="C358" s="98"/>
      <c r="D358" s="98"/>
      <c r="E358" s="97"/>
      <c r="F358" s="97"/>
      <c r="G358" s="97"/>
      <c r="H358" s="98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D360" s="98"/>
      <c r="E360" s="97"/>
      <c r="F360" s="97"/>
      <c r="G360" s="97"/>
      <c r="H360" s="97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C363" s="98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G372" s="97"/>
      <c r="H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182"/>
      <c r="I375" s="196"/>
      <c r="J375" s="196"/>
    </row>
    <row r="376" s="96" customFormat="true" ht="15.75" hidden="false" customHeight="true" outlineLevel="0" collapsed="false">
      <c r="A376" s="200"/>
      <c r="C376" s="188"/>
      <c r="D376" s="98"/>
      <c r="E376" s="97"/>
      <c r="F376" s="97"/>
      <c r="G376" s="97"/>
      <c r="H376" s="98"/>
      <c r="I376" s="98"/>
      <c r="J376" s="98"/>
    </row>
    <row r="377" s="96" customFormat="true" ht="15.75" hidden="false" customHeight="true" outlineLevel="0" collapsed="false">
      <c r="A377" s="200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C378" s="98"/>
      <c r="D378" s="98"/>
      <c r="E378" s="97"/>
      <c r="F378" s="97"/>
      <c r="G378" s="97"/>
      <c r="H378" s="182"/>
      <c r="I378" s="196"/>
      <c r="J378" s="196"/>
    </row>
    <row r="379" s="96" customFormat="true" ht="15.75" hidden="false" customHeight="true" outlineLevel="0" collapsed="false">
      <c r="A379" s="200"/>
      <c r="D379" s="98"/>
      <c r="E379" s="97"/>
      <c r="F379" s="97"/>
      <c r="G379" s="97"/>
      <c r="H379" s="98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7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213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97"/>
      <c r="I389" s="97"/>
      <c r="J389" s="97"/>
    </row>
    <row r="390" s="96" customFormat="true" ht="15.75" hidden="false" customHeight="true" outlineLevel="0" collapsed="false">
      <c r="A390" s="200"/>
      <c r="C390" s="188"/>
      <c r="D390" s="98"/>
      <c r="E390" s="97"/>
      <c r="F390" s="97"/>
      <c r="G390" s="97"/>
      <c r="H390" s="98"/>
      <c r="I390" s="98"/>
      <c r="J390" s="98"/>
    </row>
    <row r="391" s="96" customFormat="true" ht="15.75" hidden="false" customHeight="true" outlineLevel="0" collapsed="false">
      <c r="A391" s="200"/>
      <c r="D391" s="98"/>
      <c r="E391" s="97"/>
      <c r="F391" s="97"/>
      <c r="G391" s="97"/>
      <c r="H391" s="97"/>
      <c r="I391" s="196"/>
      <c r="J391" s="196"/>
    </row>
    <row r="392" s="96" customFormat="true" ht="15.75" hidden="false" customHeight="true" outlineLevel="0" collapsed="false">
      <c r="A392" s="200"/>
      <c r="C392" s="98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202" customFormat="true" ht="15.75" hidden="false" customHeight="true" outlineLevel="0" collapsed="false">
      <c r="A405" s="107"/>
      <c r="B405" s="96"/>
      <c r="C405" s="96"/>
      <c r="D405" s="98"/>
      <c r="E405" s="97"/>
      <c r="F405" s="97"/>
      <c r="G405" s="97"/>
      <c r="H405" s="97"/>
      <c r="I405" s="97"/>
      <c r="J405" s="97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D419" s="98"/>
      <c r="E419" s="97"/>
      <c r="F419" s="97"/>
      <c r="G419" s="97"/>
      <c r="H419" s="97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LEFT($J$111,13)&amp;"-04"</f>
        <v>FG-240-3P1L2R-04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C423" s="75"/>
      <c r="D423" s="76"/>
      <c r="E423" s="76"/>
      <c r="F423" s="76"/>
      <c r="G423" s="76"/>
      <c r="H423" s="76"/>
      <c r="I423" s="76"/>
      <c r="J423" s="77" t="str">
        <f aca="false">J2</f>
        <v>HOMELIFE</v>
      </c>
      <c r="K423" s="83"/>
      <c r="L423" s="83"/>
      <c r="M423" s="79"/>
      <c r="N423" s="79"/>
    </row>
    <row r="424" customFormat="false" ht="24.75" hidden="false" customHeight="true" outlineLevel="0" collapsed="false">
      <c r="C424" s="82"/>
      <c r="D424" s="82"/>
      <c r="E424" s="82"/>
      <c r="F424" s="82"/>
      <c r="G424" s="82"/>
      <c r="H424" s="82"/>
      <c r="I424" s="82"/>
      <c r="J424" s="80" t="str">
        <f aca="false">J3</f>
        <v>Fabricators Guide</v>
      </c>
      <c r="K424" s="83"/>
      <c r="L424" s="83"/>
      <c r="M424" s="79"/>
      <c r="N424" s="79"/>
    </row>
    <row r="425" customFormat="false" ht="24.75" hidden="false" customHeight="true" outlineLevel="0" collapsed="false">
      <c r="B425" s="81"/>
      <c r="C425" s="82"/>
      <c r="D425" s="82"/>
      <c r="E425" s="82"/>
      <c r="F425" s="82"/>
      <c r="G425" s="82"/>
      <c r="H425" s="82"/>
      <c r="I425" s="82"/>
      <c r="J425" s="80" t="str">
        <f aca="false">J4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4"/>
      <c r="C426" s="84"/>
      <c r="D426" s="85"/>
      <c r="E426" s="84"/>
      <c r="F426" s="84"/>
      <c r="G426" s="84"/>
      <c r="H426" s="84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</row>
    <row r="428" s="96" customFormat="true" ht="15" hidden="false" customHeight="true" outlineLevel="0" collapsed="false">
      <c r="A428" s="188"/>
      <c r="B428" s="81"/>
      <c r="D428" s="98"/>
      <c r="E428" s="83"/>
      <c r="F428" s="81"/>
      <c r="H428" s="191"/>
      <c r="I428" s="191"/>
      <c r="J428" s="199"/>
    </row>
    <row r="429" s="96" customFormat="true" ht="15" hidden="false" customHeight="true" outlineLevel="0" collapsed="false">
      <c r="A429" s="97"/>
      <c r="D429" s="98"/>
      <c r="E429" s="83"/>
      <c r="F429" s="98"/>
      <c r="H429" s="191"/>
      <c r="I429" s="191"/>
      <c r="J429" s="199"/>
    </row>
    <row r="430" s="96" customFormat="true" ht="15" hidden="false" customHeight="true" outlineLevel="0" collapsed="false">
      <c r="A430" s="97"/>
      <c r="D430" s="98"/>
      <c r="E430" s="83"/>
      <c r="F430" s="98"/>
      <c r="H430" s="191"/>
      <c r="I430" s="191"/>
      <c r="J430" s="199"/>
    </row>
    <row r="431" s="96" customFormat="true" ht="15" hidden="false" customHeight="true" outlineLevel="0" collapsed="false">
      <c r="A431" s="97"/>
      <c r="C431" s="98"/>
      <c r="D431" s="98"/>
      <c r="E431" s="97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C432" s="98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83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182"/>
      <c r="D434" s="98"/>
      <c r="E434" s="97"/>
      <c r="F434" s="216"/>
      <c r="H434" s="191"/>
      <c r="I434" s="191"/>
      <c r="J434" s="199"/>
    </row>
    <row r="435" s="96" customFormat="true" ht="15" hidden="false" customHeight="true" outlineLevel="0" collapsed="false">
      <c r="A435" s="81"/>
      <c r="B435" s="81"/>
      <c r="C435" s="98"/>
      <c r="D435" s="98"/>
      <c r="E435" s="97"/>
      <c r="F435" s="186"/>
      <c r="H435" s="191"/>
      <c r="I435" s="191"/>
      <c r="J435" s="199"/>
    </row>
    <row r="436" s="96" customFormat="true" ht="15" hidden="false" customHeight="true" outlineLevel="0" collapsed="false">
      <c r="A436" s="99"/>
      <c r="B436" s="99"/>
      <c r="C436" s="98"/>
      <c r="D436" s="98"/>
      <c r="E436" s="97"/>
      <c r="F436" s="110"/>
      <c r="H436" s="191"/>
      <c r="I436" s="191"/>
      <c r="J436" s="199"/>
    </row>
    <row r="437" s="96" customFormat="true" ht="15" hidden="false" customHeight="true" outlineLevel="0" collapsed="false">
      <c r="B437" s="99"/>
      <c r="C437" s="98"/>
      <c r="D437" s="98"/>
      <c r="E437" s="97"/>
      <c r="F437" s="110"/>
      <c r="H437" s="191"/>
      <c r="I437" s="191"/>
      <c r="J437" s="199"/>
    </row>
    <row r="438" s="96" customFormat="true" ht="15" hidden="false" customHeight="true" outlineLevel="0" collapsed="false">
      <c r="A438" s="211" t="str">
        <f aca="false">A18</f>
        <v>240-3 Panel (1L2R)</v>
      </c>
      <c r="C438" s="182"/>
      <c r="D438" s="98"/>
      <c r="E438" s="97"/>
      <c r="F438" s="186"/>
      <c r="H438" s="191"/>
      <c r="I438" s="191"/>
      <c r="J438" s="199"/>
    </row>
    <row r="439" s="96" customFormat="true" ht="15.75" hidden="false" customHeight="true" outlineLevel="0" collapsed="false">
      <c r="A439" s="90" t="str">
        <f aca="false">A19</f>
        <v>Outside Bi Fold Door </v>
      </c>
      <c r="C439" s="98"/>
      <c r="D439" s="98"/>
      <c r="E439" s="97"/>
      <c r="F439" s="78"/>
      <c r="H439" s="191"/>
      <c r="I439" s="191"/>
      <c r="J439" s="199"/>
    </row>
    <row r="440" s="96" customFormat="true" ht="15.75" hidden="false" customHeight="true" outlineLevel="0" collapsed="false">
      <c r="A440" s="81"/>
      <c r="C440" s="212"/>
      <c r="D440" s="98"/>
      <c r="E440" s="97"/>
      <c r="F440" s="97"/>
      <c r="H440" s="191"/>
      <c r="I440" s="191"/>
      <c r="J440" s="199"/>
    </row>
    <row r="441" s="96" customFormat="true" ht="15.75" hidden="false" customHeight="true" outlineLevel="0" collapsed="false">
      <c r="A441" s="191"/>
      <c r="C441" s="191"/>
      <c r="D441" s="192"/>
      <c r="E441" s="191"/>
      <c r="F441" s="191"/>
      <c r="H441" s="191"/>
      <c r="I441" s="191"/>
      <c r="J441" s="199"/>
    </row>
    <row r="442" s="96" customFormat="true" ht="15.75" hidden="false" customHeight="true" outlineLevel="0" collapsed="false">
      <c r="A442" s="190"/>
      <c r="C442" s="98"/>
      <c r="D442" s="194"/>
      <c r="E442" s="190"/>
      <c r="F442" s="189"/>
      <c r="H442" s="191"/>
      <c r="I442" s="191"/>
      <c r="J442" s="199"/>
    </row>
    <row r="448" s="96" customFormat="true" ht="15.75" hidden="false" customHeight="true" outlineLevel="0" collapsed="false">
      <c r="A448" s="97"/>
      <c r="D448" s="98"/>
      <c r="E448" s="97"/>
      <c r="F448" s="98"/>
      <c r="G448" s="97"/>
      <c r="H448" s="97"/>
      <c r="I448" s="196"/>
      <c r="J448" s="196"/>
    </row>
    <row r="449" s="96" customFormat="true" ht="15.75" hidden="false" customHeight="true" outlineLevel="0" collapsed="false">
      <c r="A449" s="97"/>
      <c r="D449" s="98"/>
      <c r="E449" s="97"/>
      <c r="F449" s="98"/>
      <c r="G449" s="97"/>
      <c r="H449" s="97"/>
      <c r="I449" s="196"/>
      <c r="J449" s="196"/>
    </row>
    <row r="450" s="96" customFormat="true" ht="15.75" hidden="false" customHeight="true" outlineLevel="0" collapsed="false">
      <c r="A450" s="97"/>
      <c r="D450" s="98"/>
      <c r="E450" s="97"/>
      <c r="F450" s="98"/>
      <c r="G450" s="97"/>
      <c r="H450" s="97"/>
      <c r="I450" s="196"/>
      <c r="J450" s="196"/>
    </row>
    <row r="451" s="96" customFormat="true" ht="15.75" hidden="false" customHeight="true" outlineLevel="0" collapsed="false">
      <c r="A451" s="97"/>
      <c r="C451" s="191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C452" s="98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C453" s="98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98"/>
      <c r="D454" s="98"/>
      <c r="E454" s="97"/>
      <c r="F454" s="98"/>
      <c r="G454" s="97"/>
      <c r="H454" s="97"/>
      <c r="I454" s="97"/>
      <c r="J454" s="196"/>
    </row>
    <row r="455" s="96" customFormat="true" ht="15.75" hidden="false" customHeight="true" outlineLevel="0" collapsed="false">
      <c r="A455" s="97"/>
      <c r="D455" s="98"/>
      <c r="E455" s="97"/>
      <c r="F455" s="97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D456" s="98"/>
      <c r="E456" s="97"/>
      <c r="F456" s="97"/>
      <c r="G456" s="97"/>
      <c r="H456" s="195"/>
      <c r="I456" s="196"/>
      <c r="J456" s="196"/>
    </row>
    <row r="457" s="96" customFormat="true" ht="15" hidden="false" customHeight="true" outlineLevel="0" collapsed="false">
      <c r="A457" s="97"/>
      <c r="D457" s="98"/>
      <c r="E457" s="97"/>
      <c r="F457" s="97"/>
      <c r="G457" s="97"/>
      <c r="H457" s="97"/>
      <c r="I457" s="196"/>
      <c r="J457" s="196"/>
    </row>
    <row r="458" s="96" customFormat="true" ht="1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97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202" customFormat="true" ht="15.75" hidden="false" customHeight="true" outlineLevel="0" collapsed="false">
      <c r="A475" s="97"/>
      <c r="B475" s="96"/>
      <c r="C475" s="96"/>
      <c r="D475" s="98"/>
      <c r="E475" s="97"/>
      <c r="F475" s="97"/>
      <c r="G475" s="97"/>
      <c r="H475" s="97"/>
      <c r="I475" s="97"/>
      <c r="J475" s="97"/>
    </row>
    <row r="476" s="96" customFormat="true" ht="15.75" hidden="false" customHeight="true" outlineLevel="0" collapsed="false">
      <c r="A476" s="191"/>
      <c r="B476" s="191"/>
      <c r="C476" s="191"/>
      <c r="D476" s="192"/>
      <c r="E476" s="191"/>
      <c r="F476" s="191"/>
      <c r="G476" s="191"/>
      <c r="H476" s="191"/>
      <c r="I476" s="191"/>
      <c r="J476" s="199"/>
    </row>
    <row r="477" s="96" customFormat="true" ht="15.75" hidden="false" customHeight="true" outlineLevel="0" collapsed="false">
      <c r="A477" s="190"/>
      <c r="B477" s="190"/>
      <c r="C477" s="191"/>
      <c r="D477" s="194"/>
      <c r="E477" s="190"/>
      <c r="F477" s="189"/>
      <c r="G477" s="190"/>
      <c r="H477" s="189"/>
      <c r="I477" s="189"/>
      <c r="J477" s="190"/>
    </row>
    <row r="478" s="96" customFormat="true" ht="15.75" hidden="false" customHeight="true" outlineLevel="0" collapsed="false">
      <c r="A478" s="200"/>
      <c r="C478" s="182"/>
      <c r="D478" s="98"/>
      <c r="E478" s="97"/>
      <c r="F478" s="97"/>
      <c r="G478" s="97"/>
      <c r="H478" s="182"/>
      <c r="I478" s="196"/>
      <c r="J478" s="196"/>
    </row>
    <row r="479" s="96" customFormat="true" ht="15.75" hidden="false" customHeight="true" outlineLevel="0" collapsed="false">
      <c r="A479" s="200"/>
      <c r="C479" s="98"/>
      <c r="D479" s="98"/>
      <c r="E479" s="97"/>
      <c r="F479" s="97"/>
      <c r="G479" s="97"/>
      <c r="J479" s="97"/>
    </row>
    <row r="480" s="96" customFormat="true" ht="15.75" hidden="false" customHeight="true" outlineLevel="0" collapsed="false">
      <c r="A480" s="200"/>
      <c r="C480" s="98"/>
      <c r="D480" s="98"/>
      <c r="E480" s="97"/>
      <c r="F480" s="97"/>
      <c r="G480" s="97"/>
      <c r="J480" s="97"/>
    </row>
    <row r="481" s="96" customFormat="true" ht="15.75" hidden="false" customHeight="true" outlineLevel="0" collapsed="false">
      <c r="A481" s="200"/>
      <c r="D481" s="98"/>
      <c r="E481" s="97"/>
      <c r="F481" s="97"/>
      <c r="G481" s="97"/>
      <c r="H481" s="97"/>
      <c r="I481" s="196"/>
      <c r="J481" s="196"/>
    </row>
    <row r="482" s="96" customFormat="true" ht="15.75" hidden="false" customHeight="true" outlineLevel="0" collapsed="false">
      <c r="A482" s="200"/>
      <c r="D482" s="98"/>
      <c r="E482" s="97"/>
      <c r="F482" s="97"/>
      <c r="G482" s="97"/>
      <c r="H482" s="97"/>
      <c r="I482" s="196"/>
      <c r="J482" s="196"/>
    </row>
    <row r="483" s="96" customFormat="true" ht="15.75" hidden="false" customHeight="true" outlineLevel="0" collapsed="false">
      <c r="A483" s="200"/>
      <c r="D483" s="98"/>
      <c r="E483" s="97"/>
      <c r="F483" s="97"/>
      <c r="G483" s="97"/>
      <c r="H483" s="97"/>
      <c r="I483" s="196"/>
      <c r="J483" s="196"/>
    </row>
    <row r="484" s="96" customFormat="true" ht="15.75" hidden="false" customHeight="true" outlineLevel="0" collapsed="false">
      <c r="A484" s="200"/>
      <c r="C484" s="98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G495" s="97"/>
      <c r="H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182"/>
      <c r="I496" s="196"/>
      <c r="J496" s="196"/>
    </row>
    <row r="497" s="96" customFormat="true" ht="15.75" hidden="false" customHeight="true" outlineLevel="0" collapsed="false">
      <c r="A497" s="200"/>
      <c r="C497" s="188"/>
      <c r="D497" s="98"/>
      <c r="E497" s="97"/>
      <c r="F497" s="97"/>
      <c r="G497" s="97"/>
      <c r="J497" s="97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J498" s="97"/>
    </row>
    <row r="499" s="96" customFormat="true" ht="15.75" hidden="false" customHeight="true" outlineLevel="0" collapsed="false">
      <c r="A499" s="200"/>
      <c r="C499" s="98"/>
      <c r="D499" s="98"/>
      <c r="E499" s="97"/>
      <c r="F499" s="97"/>
      <c r="G499" s="97"/>
      <c r="H499" s="182"/>
      <c r="I499" s="196"/>
      <c r="J499" s="196"/>
    </row>
    <row r="500" s="96" customFormat="true" ht="15.75" hidden="false" customHeight="true" outlineLevel="0" collapsed="false">
      <c r="A500" s="200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J501" s="97"/>
    </row>
    <row r="502" s="96" customFormat="true" ht="15.75" hidden="false" customHeight="true" outlineLevel="0" collapsed="false">
      <c r="A502" s="200"/>
      <c r="D502" s="98"/>
      <c r="E502" s="97"/>
      <c r="F502" s="97"/>
      <c r="G502" s="97"/>
      <c r="H502" s="97"/>
      <c r="I502" s="196"/>
      <c r="J502" s="196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H503" s="97"/>
      <c r="I503" s="196"/>
      <c r="J503" s="196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H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97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97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97"/>
      <c r="J513" s="196"/>
    </row>
    <row r="514" s="96" customFormat="true" ht="15.75" hidden="false" customHeight="true" outlineLevel="0" collapsed="false">
      <c r="A514" s="200"/>
      <c r="D514" s="98"/>
      <c r="E514" s="97"/>
      <c r="F514" s="97"/>
      <c r="G514" s="97"/>
      <c r="H514" s="97"/>
      <c r="I514" s="97"/>
      <c r="J514" s="196"/>
    </row>
    <row r="515" s="96" customFormat="true" ht="15.75" hidden="false" customHeight="true" outlineLevel="0" collapsed="false">
      <c r="A515" s="200"/>
      <c r="D515" s="98"/>
      <c r="E515" s="97"/>
      <c r="F515" s="97"/>
      <c r="G515" s="97"/>
      <c r="H515" s="238"/>
      <c r="I515" s="212"/>
      <c r="J515" s="195"/>
    </row>
    <row r="516" s="96" customFormat="true" ht="15.75" hidden="false" customHeight="true" outlineLevel="0" collapsed="false">
      <c r="A516" s="191"/>
      <c r="B516" s="191"/>
      <c r="C516" s="191"/>
      <c r="D516" s="192"/>
      <c r="E516" s="191"/>
      <c r="F516" s="191"/>
      <c r="G516" s="191"/>
      <c r="H516" s="191"/>
      <c r="I516" s="191"/>
      <c r="J516" s="199"/>
    </row>
    <row r="517" s="96" customFormat="true" ht="15.75" hidden="false" customHeight="true" outlineLevel="0" collapsed="false">
      <c r="A517" s="191"/>
      <c r="B517" s="191"/>
      <c r="C517" s="191"/>
      <c r="D517" s="192"/>
      <c r="E517" s="191"/>
      <c r="F517" s="191"/>
      <c r="G517" s="191"/>
      <c r="H517" s="191"/>
      <c r="I517" s="191"/>
      <c r="J517" s="199"/>
    </row>
    <row r="518" s="96" customFormat="true" ht="15.75" hidden="false" customHeight="true" outlineLevel="0" collapsed="false"/>
    <row r="519" s="96" customFormat="true" ht="15.75" hidden="false" customHeight="true" outlineLevel="0" collapsed="false"/>
    <row r="520" s="96" customFormat="true" ht="24.75" hidden="false" customHeight="true" outlineLevel="0" collapsed="false">
      <c r="A520" s="88" t="s">
        <v>482</v>
      </c>
      <c r="B520" s="88"/>
      <c r="C520" s="88"/>
      <c r="D520" s="88"/>
      <c r="E520" s="88"/>
      <c r="F520" s="88"/>
      <c r="G520" s="88"/>
      <c r="H520" s="88"/>
      <c r="I520" s="88"/>
      <c r="J520" s="88"/>
    </row>
    <row r="521" s="96" customFormat="true" ht="34.5" hidden="false" customHeight="true" outlineLevel="0" collapsed="false">
      <c r="A521" s="114" t="s">
        <v>319</v>
      </c>
      <c r="B521" s="115" t="s">
        <v>168</v>
      </c>
      <c r="C521" s="115" t="s">
        <v>168</v>
      </c>
      <c r="D521" s="116" t="s">
        <v>483</v>
      </c>
      <c r="E521" s="115" t="s">
        <v>321</v>
      </c>
      <c r="F521" s="239" t="s">
        <v>484</v>
      </c>
      <c r="G521" s="240"/>
      <c r="H521" s="116" t="s">
        <v>484</v>
      </c>
      <c r="I521" s="116" t="s">
        <v>485</v>
      </c>
      <c r="J521" s="117" t="s">
        <v>323</v>
      </c>
      <c r="N521" s="118" t="s">
        <v>168</v>
      </c>
      <c r="O521" s="118" t="s">
        <v>168</v>
      </c>
      <c r="Q521" s="251"/>
      <c r="R521" s="252"/>
      <c r="S521" s="251"/>
      <c r="T521" s="252"/>
      <c r="U521" s="252"/>
    </row>
    <row r="522" s="96" customFormat="true" ht="15.75" hidden="false" customHeight="true" outlineLevel="0" collapsed="false">
      <c r="A522" s="120" t="n">
        <f aca="false">IF(C522="","",1)</f>
        <v>1</v>
      </c>
      <c r="B522" s="121" t="str">
        <f aca="false">IF($D$127=5,N522,IF($D$127=6,N523,IF($D$127=8,N524,IF($D$127=10,N525,IF($D$127=12,N526,IF($D$127=14,N527,IF($D$127=18,N528,IF($D$127=20,N529,IF($D$127=22,N530,)))))))))</f>
        <v>กระจก 5 mm (สูง) (กว้าง)</v>
      </c>
      <c r="C522" s="121" t="str">
        <f aca="false">IF($D$127=5,O522,IF($D$127=6,O523,IF($D$127=8,O524,IF($D$127=10,O525,IF($D$127=12,O526,IF($D$127=14,O527,IF($D$127=18,O528,IF($D$127=20,O529,IF($D$127=22,O530,)))))))))</f>
        <v>GLASS thk.5 mm (H) (W)</v>
      </c>
      <c r="D522" s="123" t="n">
        <f aca="false">$J$123-215</f>
        <v>1985</v>
      </c>
      <c r="E522" s="120" t="s">
        <v>486</v>
      </c>
      <c r="F522" s="224" t="s">
        <v>487</v>
      </c>
      <c r="G522" s="224"/>
      <c r="H522" s="120" t="s">
        <v>548</v>
      </c>
      <c r="I522" s="225" t="n">
        <f aca="false">(($J$126-182-(113.25*2))/3)-13</f>
        <v>550.833333333333</v>
      </c>
      <c r="J522" s="226" t="n">
        <f aca="false">$J$120*3</f>
        <v>3</v>
      </c>
      <c r="M522" s="96" t="n">
        <f aca="false">ROW()</f>
        <v>522</v>
      </c>
      <c r="N522" s="62" t="s">
        <v>489</v>
      </c>
      <c r="O522" s="62" t="s">
        <v>490</v>
      </c>
      <c r="Q522" s="97"/>
      <c r="R522" s="97"/>
      <c r="S522" s="172"/>
      <c r="T522" s="97"/>
      <c r="U522" s="253"/>
    </row>
    <row r="523" s="96" customFormat="true" ht="15.75" hidden="false" customHeight="true" outlineLevel="0" collapsed="false">
      <c r="A523" s="167"/>
      <c r="B523" s="228"/>
      <c r="C523" s="228"/>
      <c r="D523" s="241"/>
      <c r="E523" s="167"/>
      <c r="F523" s="229"/>
      <c r="G523" s="242"/>
      <c r="H523" s="167"/>
      <c r="I523" s="231"/>
      <c r="J523" s="232"/>
      <c r="M523" s="96" t="n">
        <f aca="false">ROW()</f>
        <v>523</v>
      </c>
      <c r="N523" s="62" t="s">
        <v>491</v>
      </c>
      <c r="O523" s="62" t="s">
        <v>492</v>
      </c>
      <c r="Q523" s="97"/>
      <c r="R523" s="97"/>
      <c r="S523" s="172"/>
      <c r="T523" s="97"/>
      <c r="U523" s="253"/>
    </row>
    <row r="524" s="96" customFormat="true" ht="15.75" hidden="false" customHeight="true" outlineLevel="0" collapsed="false">
      <c r="A524" s="227"/>
      <c r="B524" s="131"/>
      <c r="C524" s="228"/>
      <c r="D524" s="176" t="s">
        <v>208</v>
      </c>
      <c r="E524" s="167"/>
      <c r="F524" s="229"/>
      <c r="G524" s="230"/>
      <c r="H524" s="228"/>
      <c r="I524" s="231"/>
      <c r="J524" s="235"/>
      <c r="M524" s="96" t="n">
        <f aca="false">ROW()</f>
        <v>524</v>
      </c>
      <c r="N524" s="62" t="s">
        <v>493</v>
      </c>
      <c r="O524" s="62" t="s">
        <v>494</v>
      </c>
      <c r="Q524" s="97"/>
      <c r="R524" s="97"/>
      <c r="S524" s="172"/>
      <c r="T524" s="97"/>
      <c r="U524" s="253"/>
    </row>
    <row r="525" s="96" customFormat="true" ht="15.75" hidden="false" customHeight="true" outlineLevel="0" collapsed="false">
      <c r="A525" s="227"/>
      <c r="B525" s="131"/>
      <c r="C525" s="131"/>
      <c r="D525" s="132"/>
      <c r="E525" s="130"/>
      <c r="F525" s="233"/>
      <c r="G525" s="234"/>
      <c r="H525" s="130"/>
      <c r="I525" s="133"/>
      <c r="J525" s="235"/>
      <c r="M525" s="96" t="n">
        <f aca="false">ROW()</f>
        <v>525</v>
      </c>
      <c r="N525" s="62" t="s">
        <v>495</v>
      </c>
      <c r="O525" s="62" t="s">
        <v>496</v>
      </c>
    </row>
    <row r="526" s="96" customFormat="true" ht="15.75" hidden="false" customHeight="true" outlineLevel="0" collapsed="false">
      <c r="A526" s="136" t="str">
        <f aca="false">IF(B526="","",+A524+1)</f>
        <v/>
      </c>
      <c r="B526" s="135"/>
      <c r="C526" s="135"/>
      <c r="D526" s="139"/>
      <c r="E526" s="136"/>
      <c r="F526" s="236"/>
      <c r="G526" s="237"/>
      <c r="H526" s="136"/>
      <c r="I526" s="180"/>
      <c r="J526" s="140"/>
      <c r="M526" s="96" t="n">
        <f aca="false">ROW()</f>
        <v>526</v>
      </c>
      <c r="N526" s="62" t="s">
        <v>497</v>
      </c>
      <c r="O526" s="62" t="s">
        <v>498</v>
      </c>
    </row>
    <row r="527" customFormat="false" ht="14.25" hidden="false" customHeight="false" outlineLevel="0" collapsed="false">
      <c r="J527" s="92" t="str">
        <f aca="false">LEFT($J$111,13)&amp;"-05"</f>
        <v>FG-240-3P1L2R-05</v>
      </c>
      <c r="M527" s="96" t="n">
        <f aca="false">ROW()</f>
        <v>527</v>
      </c>
      <c r="N527" s="62" t="s">
        <v>499</v>
      </c>
      <c r="O527" s="62" t="s">
        <v>500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501</v>
      </c>
      <c r="O528" s="62" t="s">
        <v>502</v>
      </c>
    </row>
    <row r="529" customFormat="false" ht="14.25" hidden="false" customHeight="false" outlineLevel="0" collapsed="false">
      <c r="M529" s="96" t="n">
        <f aca="false">ROW()</f>
        <v>529</v>
      </c>
      <c r="N529" s="62" t="s">
        <v>503</v>
      </c>
      <c r="O529" s="62" t="s">
        <v>504</v>
      </c>
    </row>
    <row r="530" customFormat="false" ht="14.25" hidden="false" customHeight="false" outlineLevel="0" collapsed="false">
      <c r="M530" s="96" t="n">
        <f aca="false">ROW()</f>
        <v>530</v>
      </c>
      <c r="N530" s="62" t="s">
        <v>505</v>
      </c>
      <c r="O530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8:J158"/>
    <mergeCell ref="I159:J159"/>
    <mergeCell ref="I160:J160"/>
    <mergeCell ref="I161:J161"/>
    <mergeCell ref="I162:J162"/>
    <mergeCell ref="D163:D164"/>
    <mergeCell ref="H163:H164"/>
    <mergeCell ref="I163:J164"/>
    <mergeCell ref="D165:D166"/>
    <mergeCell ref="H165:H166"/>
    <mergeCell ref="I165:J165"/>
    <mergeCell ref="I166:J169"/>
    <mergeCell ref="D167:D171"/>
    <mergeCell ref="H167:H171"/>
    <mergeCell ref="I170:J171"/>
    <mergeCell ref="D172:D173"/>
    <mergeCell ref="H172:H173"/>
    <mergeCell ref="I172:J172"/>
    <mergeCell ref="D174:D175"/>
    <mergeCell ref="H174:H175"/>
    <mergeCell ref="I175:J175"/>
    <mergeCell ref="A176:J176"/>
    <mergeCell ref="A213:J213"/>
    <mergeCell ref="H221:J221"/>
    <mergeCell ref="A320:J320"/>
    <mergeCell ref="F330:G330"/>
    <mergeCell ref="F333:G333"/>
    <mergeCell ref="A427:J427"/>
    <mergeCell ref="A520:J520"/>
    <mergeCell ref="F522:G522"/>
  </mergeCells>
  <dataValidations count="3">
    <dataValidation allowBlank="true" errorStyle="stop" operator="between" showDropDown="false" showErrorMessage="true" showInputMessage="true" sqref="D127:G127" type="list">
      <formula1>$N$120:$N$128</formula1>
      <formula2>0</formula2>
    </dataValidation>
    <dataValidation allowBlank="true" errorStyle="stop" operator="between" showDropDown="false" showErrorMessage="true" showInputMessage="true" sqref="D129:G129" type="list">
      <formula1>$O$120</formula1>
      <formula2>0</formula2>
    </dataValidation>
    <dataValidation allowBlank="true" errorStyle="stop" operator="between" showDropDown="false" showErrorMessage="true" showInputMessage="true" sqref="D123:G123" type="list">
      <formula1>$P$119:$P$128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AJ529"/>
  <sheetViews>
    <sheetView showFormulas="false" showGridLines="false" showRowColHeaders="true" showZeros="true" rightToLeft="false" tabSelected="true" showOutlineSymbols="true" defaultGridColor="true" view="pageBreakPreview" topLeftCell="A124" colorId="64" zoomScale="75" zoomScaleNormal="75" zoomScalePageLayoutView="75" workbookViewId="0">
      <selection pane="topLeft" activeCell="C125" activeCellId="0" sqref="C125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59.67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8.67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1.33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551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>
      <c r="G45" s="91"/>
    </row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552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246" t="s">
        <v>285</v>
      </c>
      <c r="B117" s="246"/>
      <c r="C117" s="246"/>
      <c r="D117" s="246"/>
      <c r="E117" s="246"/>
      <c r="F117" s="246"/>
      <c r="G117" s="246"/>
      <c r="H117" s="246"/>
      <c r="I117" s="246"/>
      <c r="J117" s="246"/>
      <c r="K117" s="83"/>
      <c r="L117" s="87"/>
      <c r="M117" s="87"/>
      <c r="N117" s="87"/>
    </row>
    <row r="118" s="96" customFormat="true" ht="15" hidden="false" customHeight="true" outlineLevel="0" collapsed="false">
      <c r="A118" s="97"/>
      <c r="C118" s="81"/>
      <c r="D118" s="98"/>
      <c r="E118" s="83"/>
      <c r="J118" s="99"/>
      <c r="K118" s="83"/>
    </row>
    <row r="119" s="96" customFormat="true" ht="15" hidden="false" customHeight="true" outlineLevel="0" collapsed="false">
      <c r="A119" s="97"/>
      <c r="C119" s="100" t="s">
        <v>286</v>
      </c>
      <c r="D119" s="101" t="s">
        <v>553</v>
      </c>
      <c r="E119" s="101"/>
      <c r="F119" s="101"/>
      <c r="G119" s="101"/>
      <c r="I119" s="83"/>
      <c r="J119" s="97"/>
      <c r="N119" s="102" t="s">
        <v>288</v>
      </c>
      <c r="O119" s="97" t="s">
        <v>289</v>
      </c>
      <c r="P119" s="102" t="s">
        <v>290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102" t="n">
        <v>5</v>
      </c>
      <c r="O120" s="97" t="s">
        <v>509</v>
      </c>
      <c r="P120" s="106" t="s">
        <v>294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102" t="n">
        <v>6</v>
      </c>
      <c r="O121" s="97" t="s">
        <v>296</v>
      </c>
      <c r="P121" s="106" t="s">
        <v>297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102" t="n">
        <v>8</v>
      </c>
      <c r="P122" s="106" t="s">
        <v>299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308</v>
      </c>
      <c r="E123" s="101"/>
      <c r="F123" s="101"/>
      <c r="G123" s="101"/>
      <c r="H123" s="104" t="s">
        <v>302</v>
      </c>
      <c r="I123" s="104"/>
      <c r="J123" s="105" t="n">
        <v>600</v>
      </c>
      <c r="N123" s="102" t="n">
        <v>10</v>
      </c>
      <c r="P123" s="106" t="s">
        <v>303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102" t="n">
        <v>12</v>
      </c>
      <c r="P124" s="106" t="s">
        <v>305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102" t="n">
        <v>14</v>
      </c>
      <c r="P125" s="106" t="s">
        <v>308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800</v>
      </c>
      <c r="K126" s="110"/>
      <c r="L126" s="110"/>
      <c r="N126" s="102" t="n">
        <v>18</v>
      </c>
      <c r="P126" s="106" t="s">
        <v>311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102" t="n">
        <v>20</v>
      </c>
      <c r="P127" s="106" t="s">
        <v>313</v>
      </c>
    </row>
    <row r="128" s="96" customFormat="true" ht="18.75" hidden="false" customHeight="true" outlineLevel="0" collapsed="false">
      <c r="C128" s="108" t="s">
        <v>314</v>
      </c>
      <c r="I128" s="97"/>
      <c r="J128" s="97"/>
      <c r="N128" s="102" t="n">
        <v>22</v>
      </c>
      <c r="P128" s="106" t="s">
        <v>315</v>
      </c>
    </row>
    <row r="129" s="96" customFormat="true" ht="15" hidden="false" customHeight="true" outlineLevel="0" collapsed="false">
      <c r="A129" s="89" t="str">
        <f aca="false">A18</f>
        <v>240-3 Panel (L)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330</v>
      </c>
      <c r="G133" s="120" t="n">
        <v>1</v>
      </c>
      <c r="H133" s="120" t="s">
        <v>331</v>
      </c>
      <c r="I133" s="123" t="n">
        <f aca="false">$J$126-60</f>
        <v>740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6</v>
      </c>
      <c r="U133" s="127" t="s">
        <v>528</v>
      </c>
      <c r="V133" s="247" t="n">
        <f aca="false">($J$126-182-(113.25*2))/3</f>
        <v>130.5</v>
      </c>
      <c r="W133" s="129" t="n">
        <f aca="false">$J$119*T133</f>
        <v>0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714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6</v>
      </c>
      <c r="U134" s="130" t="s">
        <v>528</v>
      </c>
      <c r="V134" s="247" t="n">
        <f aca="false">($J$126-182-(113.25*2))/3</f>
        <v>130.5</v>
      </c>
      <c r="W134" s="134" t="n">
        <f aca="false">$J$119*T134</f>
        <v>0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740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6</v>
      </c>
      <c r="U135" s="136" t="s">
        <v>528</v>
      </c>
      <c r="V135" s="247" t="n">
        <f aca="false">($J$126-182-(113.25*2))/3</f>
        <v>130.5</v>
      </c>
      <c r="W135" s="137" t="n">
        <f aca="false">$J$119*T135</f>
        <v>0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740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6</v>
      </c>
      <c r="U136" s="127" t="s">
        <v>360</v>
      </c>
      <c r="V136" s="138" t="n">
        <f aca="false">$J$123-242</f>
        <v>358</v>
      </c>
      <c r="W136" s="129" t="n">
        <f aca="false">$J$119*T136</f>
        <v>0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600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6</v>
      </c>
      <c r="U137" s="130" t="s">
        <v>360</v>
      </c>
      <c r="V137" s="133" t="n">
        <f aca="false">$J$123-242</f>
        <v>358</v>
      </c>
      <c r="W137" s="134" t="n">
        <f aca="false">$J$119*T137</f>
        <v>0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529</v>
      </c>
      <c r="G138" s="130" t="n">
        <v>1</v>
      </c>
      <c r="H138" s="130" t="s">
        <v>332</v>
      </c>
      <c r="I138" s="133" t="n">
        <f aca="false">$J$123</f>
        <v>600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6</v>
      </c>
      <c r="U138" s="136" t="s">
        <v>360</v>
      </c>
      <c r="V138" s="140" t="n">
        <f aca="false">$J$123-242</f>
        <v>358</v>
      </c>
      <c r="W138" s="137" t="n">
        <f aca="false">$J$119*T138</f>
        <v>0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504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504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3</v>
      </c>
      <c r="H141" s="130" t="s">
        <v>530</v>
      </c>
      <c r="I141" s="141" t="n">
        <f aca="false">($J$126-60-(3+1)*4)/3</f>
        <v>241.333333333333</v>
      </c>
      <c r="J141" s="134" t="n">
        <f aca="false">$J$120*G141</f>
        <v>3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3</v>
      </c>
      <c r="H142" s="130" t="s">
        <v>530</v>
      </c>
      <c r="I142" s="141" t="n">
        <f aca="false">($J$126-60-(3+1)*4)/3</f>
        <v>241.333333333333</v>
      </c>
      <c r="J142" s="134" t="n">
        <f aca="false">$J$120*G142</f>
        <v>3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4</v>
      </c>
      <c r="H143" s="130" t="s">
        <v>389</v>
      </c>
      <c r="I143" s="133" t="n">
        <f aca="false">$J$123-92</f>
        <v>508</v>
      </c>
      <c r="J143" s="134" t="n">
        <f aca="false">$J$120*G143</f>
        <v>4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1</v>
      </c>
      <c r="H144" s="130" t="s">
        <v>389</v>
      </c>
      <c r="I144" s="133" t="n">
        <f aca="false">$J$123-92</f>
        <v>508</v>
      </c>
      <c r="J144" s="134" t="n">
        <f aca="false">$J$120*G144</f>
        <v>1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531</v>
      </c>
      <c r="C145" s="131" t="s">
        <v>532</v>
      </c>
      <c r="D145" s="132" t="s">
        <v>74</v>
      </c>
      <c r="E145" s="130" t="n">
        <v>1.106</v>
      </c>
      <c r="F145" s="132" t="s">
        <v>533</v>
      </c>
      <c r="G145" s="130" t="n">
        <v>1</v>
      </c>
      <c r="H145" s="130" t="s">
        <v>389</v>
      </c>
      <c r="I145" s="133" t="n">
        <f aca="false">$J$123-92</f>
        <v>508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6" s="131" t="str">
        <f aca="false">IF($D$127=5,Q133,IF($D$127=6,Q133,IF($D$127=8,Q134,IF($D$127=10,Q134,IF($D$127=12,Q134,IF($D$127=14,Q135,IF($D$127=18,Q135,IF($D$127=20,Q135,IF($D$127=22,Q135,)))))))))</f>
        <v>B24008</v>
      </c>
      <c r="E146" s="131" t="n">
        <f aca="false">IF($D$127=5,R133,IF($D$127=6,R133,IF($D$127=8,R134,IF($D$127=10,R134,IF($D$127=12,R134,IF($D$127=14,R135,IF($D$127=18,R135,IF($D$127=20,R135,IF($D$127=22,R135,)))))))))</f>
        <v>0.231</v>
      </c>
      <c r="F146" s="131" t="str">
        <f aca="false">IF($D$127=5,S133,IF($D$127=6,S133,IF($D$127=8,S134,IF($D$127=10,S134,IF($D$127=12,S134,IF($D$127=14,S135,IF($D$127=18,S135,IF($D$127=20,S135,IF($D$127=22,S135,)))))))))</f>
        <v>B24008-001</v>
      </c>
      <c r="G146" s="130" t="n">
        <f aca="false">IF($D$127=5,T133,IF($D$127=6,T133,IF($D$127=8,T134,IF($D$127=10,T134,IF($D$127=12,T134,IF($D$127=14,T135,IF($D$127=18,T135,IF($D$127=20,T135,IF($D$127=22,T135,)))))))))</f>
        <v>6</v>
      </c>
      <c r="H146" s="130" t="str">
        <f aca="false">IF($D$127=5,U133,IF($D$127=6,U133,IF($D$127=8,U134,IF($D$127=10,U134,IF($D$127=12,U134,IF($D$127=14,U135,IF($D$127=18,U135,IF($D$127=20,U135,IF($D$127=22,U135,)))))))))</f>
        <v>(W-182-(113.25 × 2))/3</v>
      </c>
      <c r="I146" s="141" t="n">
        <f aca="false">IF($D$127=5,V133,IF($D$127=6,V133,IF($D$127=8,V134,IF($D$127=10,V134,IF($D$127=12,V134,IF($D$127=14,V135,IF($D$127=18,V135,IF($D$127=20,V135,IF($D$127=22,V135,)))))))))</f>
        <v>130.5</v>
      </c>
      <c r="J146" s="134" t="n">
        <f aca="false">$J$120*G146</f>
        <v>6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7" s="131" t="str">
        <f aca="false">IF($D$127=5,Q136,IF($D$127=6,Q136,IF($D$127=8,Q137,IF($D$127=10,Q137,IF($D$127=12,Q137,IF($D$127=14,Q138,IF($D$127=18,Q138,IF($D$127=20,Q138,IF($D$127=22,Q138,)))))))))</f>
        <v>B24008</v>
      </c>
      <c r="E147" s="131" t="n">
        <f aca="false">IF($D$127=5,R136,IF($D$127=6,R136,IF($D$127=8,R137,IF($D$127=10,R137,IF($D$127=12,R137,IF($D$127=14,R138,IF($D$127=18,R138,IF($D$127=20,R138,IF($D$127=22,R138,)))))))))</f>
        <v>0.231</v>
      </c>
      <c r="F147" s="131" t="str">
        <f aca="false">IF($D$127=5,S136,IF($D$127=6,S136,IF($D$127=8,S137,IF($D$127=10,S137,IF($D$127=12,S137,IF($D$127=14,S138,IF($D$127=18,S138,IF($D$127=20,S138,IF($D$127=22,S138,)))))))))</f>
        <v>B24008-002</v>
      </c>
      <c r="G147" s="130" t="n">
        <f aca="false">IF($D$127=5,T136,IF($D$127=6,T136,IF($D$127=8,T137,IF($D$127=10,T137,IF($D$127=12,T137,IF($D$127=14,T138,IF($D$127=18,T138,IF($D$127=20,T138,IF($D$127=22,T138,)))))))))</f>
        <v>6</v>
      </c>
      <c r="H147" s="130" t="str">
        <f aca="false">IF($D$127=5,U136,IF($D$127=6,U136,IF($D$127=8,U137,IF($D$127=10,U137,IF($D$127=12,U137,IF($D$127=14,U138,IF($D$127=18,U138,IF($D$127=20,U138,IF($D$127=22,U138,)))))))))</f>
        <v>H-242</v>
      </c>
      <c r="I147" s="133" t="n">
        <f aca="false">IF($D$127=5,V136,IF($D$127=6,V136,IF($D$127=8,V137,IF($D$127=10,V137,IF($D$127=12,V137,IF($D$127=14,V138,IF($D$127=18,V138,IF($D$127=20,V138,IF($D$127=22,V138,)))))))))</f>
        <v>358</v>
      </c>
      <c r="J147" s="134" t="n">
        <f aca="false">$J$120*G147</f>
        <v>6</v>
      </c>
    </row>
    <row r="148" s="96" customFormat="true" ht="18" hidden="false" customHeight="true" outlineLevel="0" collapsed="false">
      <c r="A148" s="130" t="str">
        <f aca="false">IF(B148="","",+A147+1)</f>
        <v/>
      </c>
      <c r="B148" s="131"/>
      <c r="C148" s="131"/>
      <c r="D148" s="132"/>
      <c r="E148" s="130"/>
      <c r="F148" s="132"/>
      <c r="G148" s="130"/>
      <c r="H148" s="130"/>
      <c r="I148" s="142"/>
      <c r="J148" s="134" t="n">
        <f aca="false">$J$120*G148</f>
        <v>0</v>
      </c>
    </row>
    <row r="149" s="96" customFormat="true" ht="18" hidden="false" customHeight="true" outlineLevel="0" collapsed="false">
      <c r="A149" s="130" t="str">
        <f aca="false">IF(B149="","",+A148+1)</f>
        <v/>
      </c>
      <c r="B149" s="131"/>
      <c r="C149" s="131"/>
      <c r="D149" s="132"/>
      <c r="E149" s="130"/>
      <c r="F149" s="132"/>
      <c r="G149" s="130"/>
      <c r="H149" s="130"/>
      <c r="I149" s="142"/>
      <c r="J149" s="134" t="n">
        <f aca="false">$J$120*G149</f>
        <v>0</v>
      </c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42"/>
      <c r="J150" s="134" t="n">
        <f aca="false">$J$120*G150</f>
        <v>0</v>
      </c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42"/>
      <c r="J151" s="134"/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31"/>
      <c r="C153" s="131"/>
      <c r="D153" s="132"/>
      <c r="E153" s="130"/>
      <c r="F153" s="132"/>
      <c r="G153" s="130"/>
      <c r="H153" s="130"/>
      <c r="I153" s="142"/>
      <c r="J153" s="134" t="n">
        <f aca="false">$J$120*G153</f>
        <v>0</v>
      </c>
    </row>
    <row r="154" s="96" customFormat="true" ht="18" hidden="false" customHeight="true" outlineLevel="0" collapsed="false">
      <c r="A154" s="130" t="str">
        <f aca="false">IF(B154="","",+A153+1)</f>
        <v/>
      </c>
      <c r="B154" s="131"/>
      <c r="C154" s="131"/>
      <c r="D154" s="132"/>
      <c r="E154" s="130"/>
      <c r="F154" s="132"/>
      <c r="G154" s="130"/>
      <c r="H154" s="130"/>
      <c r="I154" s="142"/>
      <c r="J154" s="134" t="n">
        <f aca="false">$J$120*G154</f>
        <v>0</v>
      </c>
    </row>
    <row r="155" s="96" customFormat="true" ht="18" hidden="false" customHeight="true" outlineLevel="0" collapsed="false">
      <c r="A155" s="130" t="str">
        <f aca="false">IF(B155="","",+A154+1)</f>
        <v/>
      </c>
      <c r="B155" s="131"/>
      <c r="C155" s="131"/>
      <c r="D155" s="132"/>
      <c r="E155" s="130"/>
      <c r="F155" s="132"/>
      <c r="G155" s="130"/>
      <c r="H155" s="130"/>
      <c r="I155" s="142"/>
      <c r="J155" s="134" t="n">
        <f aca="false">$J$120*G155</f>
        <v>0</v>
      </c>
    </row>
    <row r="156" s="96" customFormat="true" ht="18" hidden="false" customHeight="true" outlineLevel="0" collapsed="false">
      <c r="A156" s="130" t="str">
        <f aca="false">IF(B156="","",+A155+1)</f>
        <v/>
      </c>
      <c r="B156" s="131"/>
      <c r="C156" s="131"/>
      <c r="D156" s="132"/>
      <c r="E156" s="130"/>
      <c r="F156" s="132"/>
      <c r="G156" s="130"/>
      <c r="H156" s="130"/>
      <c r="I156" s="142"/>
      <c r="J156" s="134" t="n">
        <f aca="false">$J$120*G156</f>
        <v>0</v>
      </c>
    </row>
    <row r="157" s="96" customFormat="true" ht="18" hidden="false" customHeight="true" outlineLevel="0" collapsed="false">
      <c r="A157" s="130" t="str">
        <f aca="false">IF(B157="","",+A156+1)</f>
        <v/>
      </c>
      <c r="B157" s="143"/>
      <c r="C157" s="143"/>
      <c r="D157" s="144"/>
      <c r="E157" s="145"/>
      <c r="F157" s="144"/>
      <c r="G157" s="145"/>
      <c r="H157" s="145"/>
      <c r="I157" s="146"/>
      <c r="J157" s="147" t="n">
        <f aca="false">$J$120*G157</f>
        <v>0</v>
      </c>
    </row>
    <row r="158" s="96" customFormat="true" ht="27" hidden="false" customHeight="true" outlineLevel="1" collapsed="false">
      <c r="A158" s="148" t="s">
        <v>319</v>
      </c>
      <c r="B158" s="148" t="s">
        <v>320</v>
      </c>
      <c r="C158" s="148" t="s">
        <v>168</v>
      </c>
      <c r="D158" s="148" t="s">
        <v>166</v>
      </c>
      <c r="E158" s="148" t="s">
        <v>321</v>
      </c>
      <c r="F158" s="149" t="s">
        <v>393</v>
      </c>
      <c r="G158" s="148" t="s">
        <v>394</v>
      </c>
      <c r="H158" s="150" t="s">
        <v>395</v>
      </c>
      <c r="I158" s="151"/>
      <c r="J158" s="151"/>
    </row>
    <row r="159" s="96" customFormat="true" ht="15" hidden="false" customHeight="true" outlineLevel="1" collapsed="false">
      <c r="A159" s="152" t="n">
        <f aca="false">IF(B159="","",1)</f>
        <v>1</v>
      </c>
      <c r="B159" s="153" t="str">
        <f aca="false">B133</f>
        <v>เฟรมบน</v>
      </c>
      <c r="C159" s="153" t="str">
        <f aca="false">C133</f>
        <v>HEAD</v>
      </c>
      <c r="D159" s="154" t="str">
        <f aca="false">VLOOKUP(C159,$C$133:$H$157,2,0)</f>
        <v>B24001</v>
      </c>
      <c r="E159" s="155" t="n">
        <f aca="false">VLOOKUP(C159,$C$133:$H$157,3,0)</f>
        <v>1.603</v>
      </c>
      <c r="F159" s="155" t="n">
        <f aca="false">VLOOKUP(C159,$C$133:$J$157,7,0)</f>
        <v>740</v>
      </c>
      <c r="G159" s="155" t="n">
        <f aca="false">VLOOKUP(C159,$C$133:$J$157,8,0)</f>
        <v>1</v>
      </c>
      <c r="H159" s="156" t="n">
        <f aca="false">ROUNDUP((F159*G159)/6400,0)</f>
        <v>1</v>
      </c>
      <c r="I159" s="157"/>
      <c r="J159" s="157"/>
    </row>
    <row r="160" s="96" customFormat="true" ht="15" hidden="false" customHeight="true" outlineLevel="1" collapsed="false">
      <c r="A160" s="158" t="n">
        <f aca="false">IF(B160="","",+A159+1)</f>
        <v>2</v>
      </c>
      <c r="B160" s="153" t="str">
        <f aca="false">B134</f>
        <v>บังใบบน</v>
      </c>
      <c r="C160" s="153" t="str">
        <f aca="false">C134</f>
        <v>DOOR STOP HEAD</v>
      </c>
      <c r="D160" s="154" t="str">
        <f aca="false">VLOOKUP(C160,$C$133:$H$157,2,0)</f>
        <v>B24002</v>
      </c>
      <c r="E160" s="155" t="n">
        <f aca="false">VLOOKUP(C160,$C$133:$H$157,3,0)</f>
        <v>0.278</v>
      </c>
      <c r="F160" s="155" t="n">
        <f aca="false">VLOOKUP(C160,$C$133:$I$157,7,0)</f>
        <v>714</v>
      </c>
      <c r="G160" s="155" t="n">
        <f aca="false">VLOOKUP(C160,$C$133:$J$157,8,0)</f>
        <v>1</v>
      </c>
      <c r="H160" s="156" t="n">
        <f aca="false">ROUNDUP((F160*G160)/6400,0)</f>
        <v>1</v>
      </c>
      <c r="I160" s="157"/>
      <c r="J160" s="157"/>
    </row>
    <row r="161" s="96" customFormat="true" ht="15" hidden="false" customHeight="true" outlineLevel="1" collapsed="false">
      <c r="A161" s="158" t="n">
        <f aca="false">IF(B161="","",+A160+1)</f>
        <v>3</v>
      </c>
      <c r="B161" s="153" t="str">
        <f aca="false">B135</f>
        <v>เฟรมล่าง </v>
      </c>
      <c r="C161" s="153" t="str">
        <f aca="false">C135</f>
        <v>SILL</v>
      </c>
      <c r="D161" s="154" t="str">
        <f aca="false">VLOOKUP(C161,$C$133:$H$157,2,0)</f>
        <v>B24003</v>
      </c>
      <c r="E161" s="155" t="n">
        <f aca="false">VLOOKUP(C161,$C$133:$H$157,3,0)</f>
        <v>1.603</v>
      </c>
      <c r="F161" s="155" t="n">
        <f aca="false">VLOOKUP(C161,$C$133:$I$157,7,0)</f>
        <v>740</v>
      </c>
      <c r="G161" s="155" t="n">
        <f aca="false">VLOOKUP(C161,$C$133:$J$157,8,0)</f>
        <v>1</v>
      </c>
      <c r="H161" s="156" t="n">
        <f aca="false">ROUNDUP((F161*G161)/6400,0)</f>
        <v>1</v>
      </c>
      <c r="I161" s="157"/>
      <c r="J161" s="157"/>
    </row>
    <row r="162" s="96" customFormat="true" ht="15" hidden="false" customHeight="true" outlineLevel="1" collapsed="false">
      <c r="A162" s="158" t="n">
        <f aca="false">IF(B162="","",+A161+1)</f>
        <v>4</v>
      </c>
      <c r="B162" s="153" t="str">
        <f aca="false">B136</f>
        <v>ตัวตับธรณี</v>
      </c>
      <c r="C162" s="153" t="str">
        <f aca="false">C136</f>
        <v>DOOR STOP SILL</v>
      </c>
      <c r="D162" s="154" t="str">
        <f aca="false">VLOOKUP(C162,$C$133:$H$157,2,0)</f>
        <v>B24004</v>
      </c>
      <c r="E162" s="155" t="n">
        <f aca="false">VLOOKUP(C162,$C$133:$H$157,3,0)</f>
        <v>0.516</v>
      </c>
      <c r="F162" s="155" t="n">
        <f aca="false">VLOOKUP(C162,$C$133:$I$157,7,0)</f>
        <v>740</v>
      </c>
      <c r="G162" s="155" t="n">
        <f aca="false">VLOOKUP(C162,$C$133:$J$157,8,0)</f>
        <v>1</v>
      </c>
      <c r="H162" s="156" t="n">
        <f aca="false">ROUNDUP((F162*G162)/6400,0)</f>
        <v>1</v>
      </c>
      <c r="I162" s="157"/>
      <c r="J162" s="157"/>
    </row>
    <row r="163" s="96" customFormat="true" ht="15" hidden="false" customHeight="true" outlineLevel="1" collapsed="false">
      <c r="A163" s="158" t="n">
        <f aca="false">IF(B163="","",+A162+1)</f>
        <v>5</v>
      </c>
      <c r="B163" s="153" t="str">
        <f aca="false">B137</f>
        <v>เฟรมข้าง (ซ้าย)</v>
      </c>
      <c r="C163" s="153" t="str">
        <f aca="false">C137</f>
        <v>JAMB (L)</v>
      </c>
      <c r="D163" s="159" t="str">
        <f aca="false">VLOOKUP(C163,$C$133:$H$157,2,0)</f>
        <v>B24005</v>
      </c>
      <c r="E163" s="155" t="n">
        <f aca="false">VLOOKUP(C163,$C$133:$H$157,3,0)</f>
        <v>0.893</v>
      </c>
      <c r="F163" s="155" t="n">
        <f aca="false">VLOOKUP(C163,$C$133:$I$157,7,0)</f>
        <v>600</v>
      </c>
      <c r="G163" s="155" t="n">
        <f aca="false">VLOOKUP(C163,$C$133:$J$157,8,0)</f>
        <v>1</v>
      </c>
      <c r="H163" s="160" t="n">
        <f aca="false">ROUNDUP(((F163*G163)+(F164*G164))/6400,0)</f>
        <v>1</v>
      </c>
      <c r="I163" s="161"/>
      <c r="J163" s="161"/>
    </row>
    <row r="164" s="96" customFormat="true" ht="15" hidden="false" customHeight="true" outlineLevel="1" collapsed="false">
      <c r="A164" s="158" t="n">
        <f aca="false">IF(B164="","",+A163+1)</f>
        <v>6</v>
      </c>
      <c r="B164" s="153" t="str">
        <f aca="false">B138</f>
        <v>เฟรมข้าง (ขวา)</v>
      </c>
      <c r="C164" s="153" t="str">
        <f aca="false">C138</f>
        <v>JAMB (R)</v>
      </c>
      <c r="D164" s="159"/>
      <c r="E164" s="155" t="n">
        <f aca="false">VLOOKUP(C164,$C$133:$H$157,3,0)</f>
        <v>0.893</v>
      </c>
      <c r="F164" s="155" t="n">
        <f aca="false">VLOOKUP(C164,$C$133:$I$157,7,0)</f>
        <v>600</v>
      </c>
      <c r="G164" s="155" t="n">
        <f aca="false">VLOOKUP(C164,$C$133:$J$157,8,0)</f>
        <v>1</v>
      </c>
      <c r="H164" s="160"/>
      <c r="I164" s="161"/>
      <c r="J164" s="161"/>
    </row>
    <row r="165" s="96" customFormat="true" ht="15" hidden="false" customHeight="true" outlineLevel="1" collapsed="false">
      <c r="A165" s="158" t="n">
        <f aca="false">IF(B165="","",+A164+1)</f>
        <v>7</v>
      </c>
      <c r="B165" s="153" t="str">
        <f aca="false">B139</f>
        <v>บังใบข้าง (ซ้าย)</v>
      </c>
      <c r="C165" s="153" t="str">
        <f aca="false">C139</f>
        <v>DOOR STOP JAMB (L)</v>
      </c>
      <c r="D165" s="159" t="str">
        <f aca="false">VLOOKUP(C165,$C$133:$H$157,2,0)</f>
        <v>B24006</v>
      </c>
      <c r="E165" s="155" t="n">
        <f aca="false">VLOOKUP(C165,$C$133:$H$157,3,0)</f>
        <v>0.235</v>
      </c>
      <c r="F165" s="155" t="n">
        <f aca="false">VLOOKUP(C165,$C$133:$I$157,7,0)</f>
        <v>504</v>
      </c>
      <c r="G165" s="155" t="n">
        <f aca="false">VLOOKUP(C165,$C$133:$J$157,8,0)</f>
        <v>1</v>
      </c>
      <c r="H165" s="160" t="n">
        <f aca="false">ROUNDUP(((F165*G165)+(F166*G166))/6400,0)</f>
        <v>1</v>
      </c>
      <c r="I165" s="157"/>
      <c r="J165" s="157"/>
    </row>
    <row r="166" s="96" customFormat="true" ht="15" hidden="false" customHeight="true" outlineLevel="1" collapsed="false">
      <c r="A166" s="158" t="n">
        <f aca="false">IF(B166="","",+A165+1)</f>
        <v>8</v>
      </c>
      <c r="B166" s="153" t="str">
        <f aca="false">B140</f>
        <v>บังใบข้าง (ขวา)</v>
      </c>
      <c r="C166" s="153" t="str">
        <f aca="false">C140</f>
        <v>DOOR STOP JAMB (R)</v>
      </c>
      <c r="D166" s="159"/>
      <c r="E166" s="155" t="n">
        <f aca="false">VLOOKUP(C166,$C$133:$H$157,3,0)</f>
        <v>0.235</v>
      </c>
      <c r="F166" s="155" t="n">
        <f aca="false">VLOOKUP(C166,$C$133:$I$157,7,0)</f>
        <v>504</v>
      </c>
      <c r="G166" s="155" t="n">
        <f aca="false">VLOOKUP(C166,$C$133:$J$157,8,0)</f>
        <v>1</v>
      </c>
      <c r="H166" s="160"/>
      <c r="I166" s="162"/>
      <c r="J166" s="162"/>
    </row>
    <row r="167" s="96" customFormat="true" ht="13.5" hidden="false" customHeight="true" outlineLevel="1" collapsed="false">
      <c r="A167" s="158" t="n">
        <f aca="false">IF(B167="","",+A166+1)</f>
        <v>9</v>
      </c>
      <c r="B167" s="153" t="str">
        <f aca="false">B141</f>
        <v>ขวางบน</v>
      </c>
      <c r="C167" s="153" t="str">
        <f aca="false">C141</f>
        <v>SASH (Hor) (T)</v>
      </c>
      <c r="D167" s="159" t="str">
        <f aca="false">VLOOKUP(C167,$C$133:$H$157,2,0)</f>
        <v>B24007</v>
      </c>
      <c r="E167" s="155" t="n">
        <f aca="false">VLOOKUP(C167,$C$133:$H$157,3,0)</f>
        <v>1.106</v>
      </c>
      <c r="F167" s="155" t="n">
        <f aca="false">VLOOKUP(C167,$C$133:$I$157,7,0)</f>
        <v>241.333333333333</v>
      </c>
      <c r="G167" s="155" t="n">
        <f aca="false">VLOOKUP(C167,$C$133:$J$157,8,0)</f>
        <v>3</v>
      </c>
      <c r="H167" s="160" t="n">
        <f aca="false">ROUNDUP(((F167*G167)+(F168*G168)+(F169*G169)+(F170*G170)+(F171*G171))/6400,0)</f>
        <v>1</v>
      </c>
      <c r="I167" s="162"/>
      <c r="J167" s="162"/>
    </row>
    <row r="168" s="96" customFormat="true" ht="13.5" hidden="false" customHeight="true" outlineLevel="1" collapsed="false">
      <c r="A168" s="158" t="n">
        <f aca="false">IF(B168="","",+A167+1)</f>
        <v>10</v>
      </c>
      <c r="B168" s="153" t="str">
        <f aca="false">B142</f>
        <v>ขวางล่าง</v>
      </c>
      <c r="C168" s="153" t="str">
        <f aca="false">C142</f>
        <v>SASH (Hor) (B)</v>
      </c>
      <c r="D168" s="159"/>
      <c r="E168" s="155" t="n">
        <f aca="false">VLOOKUP(C168,$C$133:$H$157,3,0)</f>
        <v>1.106</v>
      </c>
      <c r="F168" s="155" t="n">
        <f aca="false">VLOOKUP(C168,$C$133:$I$157,7,0)</f>
        <v>241.333333333333</v>
      </c>
      <c r="G168" s="155" t="n">
        <f aca="false">VLOOKUP(C168,$C$133:$J$157,8,0)</f>
        <v>3</v>
      </c>
      <c r="H168" s="160"/>
      <c r="I168" s="162"/>
      <c r="J168" s="162"/>
    </row>
    <row r="169" s="96" customFormat="true" ht="13.5" hidden="false" customHeight="true" outlineLevel="1" collapsed="false">
      <c r="A169" s="158" t="n">
        <f aca="false">IF(B169="","",+A168+1)</f>
        <v>11</v>
      </c>
      <c r="B169" s="153" t="str">
        <f aca="false">B143</f>
        <v>เสา</v>
      </c>
      <c r="C169" s="153" t="str">
        <f aca="false">C143</f>
        <v>SASH (Ver) </v>
      </c>
      <c r="D169" s="159"/>
      <c r="E169" s="155" t="n">
        <f aca="false">VLOOKUP(C169,$C$133:$H$157,3,0)</f>
        <v>1.106</v>
      </c>
      <c r="F169" s="155" t="n">
        <f aca="false">VLOOKUP(C169,$C$133:$I$157,7,0)</f>
        <v>508</v>
      </c>
      <c r="G169" s="155" t="n">
        <f aca="false">VLOOKUP(C169,$C$133:$J$157,8,0)</f>
        <v>4</v>
      </c>
      <c r="H169" s="160"/>
      <c r="I169" s="162"/>
      <c r="J169" s="162"/>
    </row>
    <row r="170" s="96" customFormat="true" ht="13.5" hidden="false" customHeight="true" outlineLevel="1" collapsed="false">
      <c r="A170" s="158" t="n">
        <f aca="false">IF(B170="","",+A169+1)</f>
        <v>12</v>
      </c>
      <c r="B170" s="153" t="str">
        <f aca="false">B144</f>
        <v>เสากุญแจ</v>
      </c>
      <c r="C170" s="153" t="str">
        <f aca="false">C144</f>
        <v>SASH (Ver) LOCK </v>
      </c>
      <c r="D170" s="159"/>
      <c r="E170" s="155" t="n">
        <f aca="false">VLOOKUP(C170,$C$133:$H$157,3,0)</f>
        <v>1.106</v>
      </c>
      <c r="F170" s="155" t="n">
        <f aca="false">VLOOKUP(C170,$C$133:$I$157,7,0)</f>
        <v>508</v>
      </c>
      <c r="G170" s="155" t="n">
        <f aca="false">VLOOKUP(C170,$C$133:$J$157,8,0)</f>
        <v>1</v>
      </c>
      <c r="H170" s="160"/>
      <c r="I170" s="162"/>
      <c r="J170" s="162"/>
    </row>
    <row r="171" s="96" customFormat="true" ht="13.5" hidden="false" customHeight="true" outlineLevel="1" collapsed="false">
      <c r="A171" s="158" t="n">
        <f aca="false">IF(B171="","",+A170+1)</f>
        <v>13</v>
      </c>
      <c r="B171" s="153" t="str">
        <f aca="false">B145</f>
        <v>เสากุญแจมือจับ</v>
      </c>
      <c r="C171" s="153" t="str">
        <f aca="false">C145</f>
        <v>SASH (Ver) LOCK HANDLE</v>
      </c>
      <c r="D171" s="159"/>
      <c r="E171" s="155" t="n">
        <f aca="false">VLOOKUP(C171,$C$133:$H$157,3,0)</f>
        <v>1.106</v>
      </c>
      <c r="F171" s="155" t="n">
        <f aca="false">VLOOKUP(C171,$C$133:$I$157,7,0)</f>
        <v>508</v>
      </c>
      <c r="G171" s="155" t="n">
        <f aca="false">VLOOKUP(C171,$C$133:$J$157,8,0)</f>
        <v>1</v>
      </c>
      <c r="H171" s="160"/>
      <c r="I171" s="162"/>
      <c r="J171" s="162"/>
    </row>
    <row r="172" s="96" customFormat="true" ht="13.5" hidden="false" customHeight="true" outlineLevel="1" collapsed="false">
      <c r="A172" s="158" t="n">
        <f aca="false">IF(B172="","",+A171+1)</f>
        <v>14</v>
      </c>
      <c r="B172" s="153" t="str">
        <f aca="false">B146</f>
        <v>5-6mm คิ้วตบกระจกแนวนอน</v>
      </c>
      <c r="C172" s="153" t="str">
        <f aca="false">C146</f>
        <v>5-6mm GLAZING BEAD HORIZONTAL</v>
      </c>
      <c r="D172" s="163" t="str">
        <f aca="false">VLOOKUP(C172,$C$133:$H$157,2,0)</f>
        <v>B24008</v>
      </c>
      <c r="E172" s="155" t="n">
        <f aca="false">VLOOKUP(C172,$C$133:$H$157,3,0)</f>
        <v>0.231</v>
      </c>
      <c r="F172" s="155" t="n">
        <f aca="false">VLOOKUP(C172,$C$133:$I$157,7,0)</f>
        <v>130.5</v>
      </c>
      <c r="G172" s="155" t="n">
        <f aca="false">VLOOKUP(C172,$C$133:$J$157,8,0)</f>
        <v>6</v>
      </c>
      <c r="H172" s="164" t="n">
        <f aca="false">ROUNDUP(((F172*G172)+(F173*G173))/6400,0)</f>
        <v>1</v>
      </c>
      <c r="I172" s="157"/>
      <c r="J172" s="157"/>
    </row>
    <row r="173" s="202" customFormat="true" ht="15" hidden="false" customHeight="true" outlineLevel="1" collapsed="false">
      <c r="A173" s="158" t="n">
        <f aca="false">IF(B173="","",+A172+1)</f>
        <v>15</v>
      </c>
      <c r="B173" s="153" t="str">
        <f aca="false">B147</f>
        <v>5-6mm คิ้วตบกระจกแนวตั้ง</v>
      </c>
      <c r="C173" s="153" t="str">
        <f aca="false">C147</f>
        <v>5-6mm GLAZING BEAD VERTICAL</v>
      </c>
      <c r="D173" s="163"/>
      <c r="E173" s="155" t="n">
        <f aca="false">VLOOKUP(C173,$C$133:$H$157,3,0)</f>
        <v>0.231</v>
      </c>
      <c r="F173" s="155" t="n">
        <f aca="false">VLOOKUP(C173,$C$133:$I$157,7,0)</f>
        <v>358</v>
      </c>
      <c r="G173" s="155" t="n">
        <f aca="false">VLOOKUP(C173,$C$133:$J$157,8,0)</f>
        <v>6</v>
      </c>
      <c r="H173" s="164"/>
      <c r="I173" s="157"/>
      <c r="J173" s="157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Y173" s="96"/>
      <c r="Z173" s="96"/>
      <c r="AA173" s="96"/>
      <c r="AB173" s="96"/>
      <c r="AC173" s="96"/>
      <c r="AD173" s="96"/>
      <c r="AE173" s="96"/>
      <c r="AF173" s="96"/>
      <c r="AG173" s="96"/>
      <c r="AH173" s="96"/>
      <c r="AI173" s="96"/>
      <c r="AJ173" s="96"/>
    </row>
    <row r="174" s="96" customFormat="true" ht="24.75" hidden="false" customHeight="true" outlineLevel="0" collapsed="false">
      <c r="A174" s="113" t="s">
        <v>396</v>
      </c>
      <c r="B174" s="113"/>
      <c r="C174" s="113"/>
      <c r="D174" s="113"/>
      <c r="E174" s="113"/>
      <c r="F174" s="113"/>
      <c r="G174" s="113"/>
      <c r="H174" s="113"/>
      <c r="I174" s="113"/>
      <c r="J174" s="113"/>
    </row>
    <row r="175" s="96" customFormat="true" ht="34.5" hidden="false" customHeight="true" outlineLevel="0" collapsed="false">
      <c r="A175" s="114" t="s">
        <v>319</v>
      </c>
      <c r="B175" s="115" t="s">
        <v>320</v>
      </c>
      <c r="C175" s="115" t="s">
        <v>168</v>
      </c>
      <c r="D175" s="115" t="s">
        <v>397</v>
      </c>
      <c r="E175" s="115" t="s">
        <v>321</v>
      </c>
      <c r="F175" s="116" t="s">
        <v>398</v>
      </c>
      <c r="G175" s="115" t="s">
        <v>399</v>
      </c>
      <c r="H175" s="116" t="s">
        <v>400</v>
      </c>
      <c r="I175" s="116" t="s">
        <v>401</v>
      </c>
      <c r="J175" s="117" t="s">
        <v>402</v>
      </c>
      <c r="N175" s="107" t="s">
        <v>288</v>
      </c>
      <c r="O175" s="165" t="s">
        <v>320</v>
      </c>
      <c r="P175" s="165" t="s">
        <v>168</v>
      </c>
      <c r="Q175" s="165" t="s">
        <v>397</v>
      </c>
      <c r="R175" s="165" t="s">
        <v>321</v>
      </c>
      <c r="S175" s="165" t="s">
        <v>398</v>
      </c>
      <c r="T175" s="165" t="s">
        <v>399</v>
      </c>
      <c r="U175" s="165" t="s">
        <v>400</v>
      </c>
      <c r="V175" s="165" t="s">
        <v>401</v>
      </c>
      <c r="W175" s="165" t="s">
        <v>402</v>
      </c>
    </row>
    <row r="176" s="96" customFormat="true" ht="18" hidden="false" customHeight="true" outlineLevel="0" collapsed="false">
      <c r="A176" s="166" t="n">
        <f aca="false">IF(B176="","",1)</f>
        <v>1</v>
      </c>
      <c r="B176" s="131" t="s">
        <v>403</v>
      </c>
      <c r="C176" s="131" t="s">
        <v>404</v>
      </c>
      <c r="D176" s="132" t="s">
        <v>276</v>
      </c>
      <c r="E176" s="130"/>
      <c r="F176" s="130" t="s">
        <v>276</v>
      </c>
      <c r="G176" s="130" t="s">
        <v>405</v>
      </c>
      <c r="H176" s="130" t="n">
        <v>1</v>
      </c>
      <c r="I176" s="133"/>
      <c r="J176" s="134" t="n">
        <f aca="false">$J$120*H176</f>
        <v>1</v>
      </c>
      <c r="N176" s="107" t="s">
        <v>406</v>
      </c>
      <c r="O176" s="55" t="s">
        <v>407</v>
      </c>
      <c r="P176" s="62" t="s">
        <v>408</v>
      </c>
      <c r="Q176" s="55" t="s">
        <v>227</v>
      </c>
      <c r="R176" s="158"/>
      <c r="S176" s="158" t="s">
        <v>227</v>
      </c>
      <c r="T176" s="158" t="s">
        <v>409</v>
      </c>
      <c r="U176" s="168" t="n">
        <f aca="false">((($I$141*$G$141)+($I$142*$G$142)+($I$143*$G$143)+($I$144*$G$144)+($I$145*$G$145))/1000)*$J$120</f>
        <v>4.496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2</v>
      </c>
      <c r="B177" s="131" t="s">
        <v>410</v>
      </c>
      <c r="C177" s="131" t="s">
        <v>411</v>
      </c>
      <c r="D177" s="132" t="s">
        <v>267</v>
      </c>
      <c r="E177" s="130"/>
      <c r="F177" s="130" t="s">
        <v>267</v>
      </c>
      <c r="G177" s="130" t="s">
        <v>405</v>
      </c>
      <c r="H177" s="130" t="n">
        <v>6</v>
      </c>
      <c r="I177" s="133"/>
      <c r="J177" s="134" t="n">
        <f aca="false">$J$120*H177</f>
        <v>6</v>
      </c>
      <c r="N177" s="107" t="s">
        <v>412</v>
      </c>
      <c r="O177" s="55" t="s">
        <v>413</v>
      </c>
      <c r="P177" s="62" t="s">
        <v>414</v>
      </c>
      <c r="Q177" s="55" t="s">
        <v>234</v>
      </c>
      <c r="R177" s="158"/>
      <c r="S177" s="158" t="s">
        <v>234</v>
      </c>
      <c r="T177" s="158" t="s">
        <v>409</v>
      </c>
      <c r="U177" s="168" t="n">
        <f aca="false">((($I$141*$G$141)+($I$142*$G$142)+($I$143*$G$143)+($I$144*$G$144)+($I$145*$G$145))/1000)*$J$120</f>
        <v>4.496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3</v>
      </c>
      <c r="B178" s="131" t="s">
        <v>415</v>
      </c>
      <c r="C178" s="131" t="s">
        <v>416</v>
      </c>
      <c r="D178" s="132" t="s">
        <v>222</v>
      </c>
      <c r="E178" s="130"/>
      <c r="F178" s="130" t="s">
        <v>222</v>
      </c>
      <c r="G178" s="130" t="s">
        <v>405</v>
      </c>
      <c r="H178" s="130" t="n">
        <v>2</v>
      </c>
      <c r="I178" s="133"/>
      <c r="J178" s="134" t="n">
        <f aca="false">$J$120*H178</f>
        <v>2</v>
      </c>
      <c r="N178" s="107" t="s">
        <v>417</v>
      </c>
      <c r="O178" s="62" t="s">
        <v>418</v>
      </c>
      <c r="P178" s="62" t="s">
        <v>419</v>
      </c>
      <c r="Q178" s="55" t="s">
        <v>236</v>
      </c>
      <c r="R178" s="158"/>
      <c r="S178" s="158" t="s">
        <v>236</v>
      </c>
      <c r="T178" s="158" t="s">
        <v>409</v>
      </c>
      <c r="U178" s="168" t="n">
        <f aca="false">((($I$141*$G$141)+($I$142*$G$142)+($I$143*$G$143)+($I$144*$G$144)+($I$145*$G$145))/1000)*$J$120</f>
        <v>4.496</v>
      </c>
      <c r="V178" s="168" t="n">
        <v>100</v>
      </c>
      <c r="W178" s="169" t="n">
        <f aca="false">ROUNDUP((U178)/100,0)</f>
        <v>1</v>
      </c>
    </row>
    <row r="179" s="96" customFormat="true" ht="18" hidden="false" customHeight="true" outlineLevel="0" collapsed="false">
      <c r="A179" s="170" t="n">
        <f aca="false">IF(B179="","",+A178+1)</f>
        <v>4</v>
      </c>
      <c r="B179" s="131" t="s">
        <v>420</v>
      </c>
      <c r="C179" s="131" t="s">
        <v>421</v>
      </c>
      <c r="D179" s="132" t="s">
        <v>225</v>
      </c>
      <c r="E179" s="130"/>
      <c r="F179" s="130" t="s">
        <v>225</v>
      </c>
      <c r="G179" s="130" t="s">
        <v>405</v>
      </c>
      <c r="H179" s="130" t="n">
        <v>2</v>
      </c>
      <c r="I179" s="133"/>
      <c r="J179" s="134" t="n">
        <f aca="false">$J$120*H179</f>
        <v>2</v>
      </c>
      <c r="N179" s="107" t="s">
        <v>422</v>
      </c>
      <c r="O179" s="62" t="s">
        <v>423</v>
      </c>
      <c r="P179" s="62" t="s">
        <v>424</v>
      </c>
      <c r="Q179" s="55" t="s">
        <v>238</v>
      </c>
      <c r="R179" s="158"/>
      <c r="S179" s="158" t="s">
        <v>238</v>
      </c>
      <c r="T179" s="158" t="s">
        <v>409</v>
      </c>
      <c r="U179" s="168" t="n">
        <f aca="false">((($I$141*$G$141)+($I$142*$G$142)+($I$143*$G$143)+($I$144*$G$144)+($I$145*$G$145))/1000)*$J$120</f>
        <v>4.496</v>
      </c>
      <c r="V179" s="168" t="n">
        <v>100</v>
      </c>
      <c r="W179" s="169" t="n">
        <f aca="false">ROUNDUP((U179)/100,0)</f>
        <v>1</v>
      </c>
    </row>
    <row r="180" s="96" customFormat="true" ht="18" hidden="false" customHeight="true" outlineLevel="0" collapsed="false">
      <c r="A180" s="170" t="n">
        <f aca="false">IF(B180="","",+A179+1)</f>
        <v>5</v>
      </c>
      <c r="B180" s="131" t="s">
        <v>425</v>
      </c>
      <c r="C180" s="131" t="s">
        <v>426</v>
      </c>
      <c r="D180" s="132" t="n">
        <v>9</v>
      </c>
      <c r="E180" s="130"/>
      <c r="F180" s="130" t="n">
        <v>9</v>
      </c>
      <c r="G180" s="130" t="s">
        <v>405</v>
      </c>
      <c r="H180" s="130" t="n">
        <v>24</v>
      </c>
      <c r="I180" s="133"/>
      <c r="J180" s="134" t="n">
        <f aca="false">$J$120*H180</f>
        <v>24</v>
      </c>
      <c r="N180" s="107" t="s">
        <v>427</v>
      </c>
      <c r="O180" s="62" t="s">
        <v>428</v>
      </c>
      <c r="P180" s="62" t="s">
        <v>429</v>
      </c>
      <c r="Q180" s="55" t="s">
        <v>240</v>
      </c>
      <c r="R180" s="158"/>
      <c r="S180" s="158" t="s">
        <v>240</v>
      </c>
      <c r="T180" s="158" t="s">
        <v>409</v>
      </c>
      <c r="U180" s="168" t="n">
        <f aca="false">((($I$141*$G$141)+($I$142*$G$142)+($I$143*$G$143)+($I$144*$G$144)+($I$145*$G$145))/1000)*$J$120</f>
        <v>4.496</v>
      </c>
      <c r="V180" s="168" t="n">
        <v>100</v>
      </c>
      <c r="W180" s="169" t="n">
        <f aca="false">ROUNDUP((U180)/100,0)</f>
        <v>1</v>
      </c>
    </row>
    <row r="181" s="96" customFormat="true" ht="18" hidden="false" customHeight="true" outlineLevel="0" collapsed="false">
      <c r="A181" s="170" t="n">
        <f aca="false">IF(B181="","",+A180+1)</f>
        <v>6</v>
      </c>
      <c r="B181" s="131" t="s">
        <v>430</v>
      </c>
      <c r="C181" s="131" t="s">
        <v>431</v>
      </c>
      <c r="D181" s="132" t="n">
        <v>9</v>
      </c>
      <c r="E181" s="130"/>
      <c r="F181" s="130" t="n">
        <v>9</v>
      </c>
      <c r="G181" s="130" t="s">
        <v>405</v>
      </c>
      <c r="H181" s="130" t="n">
        <v>48</v>
      </c>
      <c r="I181" s="133"/>
      <c r="J181" s="134" t="n">
        <f aca="false">$J$120*H181</f>
        <v>48</v>
      </c>
    </row>
    <row r="182" s="96" customFormat="true" ht="18" hidden="false" customHeight="true" outlineLevel="0" collapsed="false">
      <c r="A182" s="170" t="n">
        <f aca="false">IF(B182="","",+A181+1)</f>
        <v>7</v>
      </c>
      <c r="B182" s="131" t="s">
        <v>432</v>
      </c>
      <c r="C182" s="131" t="s">
        <v>433</v>
      </c>
      <c r="D182" s="132" t="s">
        <v>6</v>
      </c>
      <c r="E182" s="130"/>
      <c r="F182" s="130" t="s">
        <v>6</v>
      </c>
      <c r="G182" s="130" t="s">
        <v>434</v>
      </c>
      <c r="H182" s="130" t="n">
        <v>1</v>
      </c>
      <c r="I182" s="133"/>
      <c r="J182" s="134" t="n">
        <f aca="false">$J$120*H182</f>
        <v>1</v>
      </c>
    </row>
    <row r="183" s="96" customFormat="true" ht="18" hidden="false" customHeight="true" outlineLevel="0" collapsed="false">
      <c r="A183" s="170" t="n">
        <f aca="false">IF(B183="","",+A182+1)</f>
        <v>8</v>
      </c>
      <c r="B183" s="131" t="s">
        <v>554</v>
      </c>
      <c r="C183" s="131" t="s">
        <v>555</v>
      </c>
      <c r="D183" s="132" t="s">
        <v>11</v>
      </c>
      <c r="E183" s="130"/>
      <c r="F183" s="130" t="s">
        <v>11</v>
      </c>
      <c r="G183" s="130" t="s">
        <v>434</v>
      </c>
      <c r="H183" s="130" t="n">
        <v>1</v>
      </c>
      <c r="I183" s="133"/>
      <c r="J183" s="134" t="n">
        <f aca="false">$J$120*H183</f>
        <v>1</v>
      </c>
    </row>
    <row r="184" s="96" customFormat="true" ht="18" hidden="false" customHeight="true" outlineLevel="0" collapsed="false">
      <c r="A184" s="170" t="n">
        <f aca="false">IF(B184="","",+A183+1)</f>
        <v>9</v>
      </c>
      <c r="B184" s="131" t="s">
        <v>556</v>
      </c>
      <c r="C184" s="131" t="s">
        <v>557</v>
      </c>
      <c r="D184" s="132" t="s">
        <v>5</v>
      </c>
      <c r="E184" s="130"/>
      <c r="F184" s="130" t="s">
        <v>5</v>
      </c>
      <c r="G184" s="130" t="s">
        <v>434</v>
      </c>
      <c r="H184" s="130" t="n">
        <v>1</v>
      </c>
      <c r="I184" s="133"/>
      <c r="J184" s="134" t="n">
        <f aca="false">$J$120*H184</f>
        <v>1</v>
      </c>
    </row>
    <row r="185" s="96" customFormat="true" ht="18" hidden="false" customHeight="true" outlineLevel="0" collapsed="false">
      <c r="A185" s="170" t="n">
        <f aca="false">IF(B185="","",+A184+1)</f>
        <v>10</v>
      </c>
      <c r="B185" s="131" t="s">
        <v>439</v>
      </c>
      <c r="C185" s="131" t="s">
        <v>440</v>
      </c>
      <c r="D185" s="132" t="s">
        <v>12</v>
      </c>
      <c r="E185" s="130"/>
      <c r="F185" s="130" t="s">
        <v>12</v>
      </c>
      <c r="G185" s="130" t="s">
        <v>434</v>
      </c>
      <c r="H185" s="130" t="n">
        <v>1</v>
      </c>
      <c r="I185" s="133"/>
      <c r="J185" s="134" t="n">
        <f aca="false">$J$120*H185</f>
        <v>1</v>
      </c>
      <c r="Q185" s="172"/>
      <c r="R185" s="172"/>
      <c r="S185" s="172"/>
      <c r="T185" s="97"/>
      <c r="U185" s="97"/>
      <c r="V185" s="97"/>
    </row>
    <row r="186" s="96" customFormat="true" ht="18" hidden="false" customHeight="true" outlineLevel="0" collapsed="false">
      <c r="A186" s="170" t="n">
        <f aca="false">IF(B186="","",+A185+1)</f>
        <v>11</v>
      </c>
      <c r="B186" s="131" t="s">
        <v>540</v>
      </c>
      <c r="C186" s="131" t="s">
        <v>541</v>
      </c>
      <c r="D186" s="132" t="s">
        <v>542</v>
      </c>
      <c r="E186" s="130"/>
      <c r="F186" s="130" t="s">
        <v>542</v>
      </c>
      <c r="G186" s="130" t="s">
        <v>434</v>
      </c>
      <c r="H186" s="130" t="n">
        <v>1</v>
      </c>
      <c r="I186" s="142"/>
      <c r="J186" s="134" t="n">
        <f aca="false">$J$120*H186</f>
        <v>1</v>
      </c>
      <c r="N186" s="107" t="s">
        <v>289</v>
      </c>
      <c r="O186" s="165" t="s">
        <v>320</v>
      </c>
      <c r="P186" s="165" t="s">
        <v>168</v>
      </c>
      <c r="Q186" s="165" t="s">
        <v>397</v>
      </c>
      <c r="R186" s="165" t="s">
        <v>321</v>
      </c>
      <c r="S186" s="165" t="s">
        <v>398</v>
      </c>
      <c r="T186" s="165" t="s">
        <v>399</v>
      </c>
      <c r="U186" s="165" t="s">
        <v>400</v>
      </c>
      <c r="V186" s="165" t="s">
        <v>401</v>
      </c>
      <c r="W186" s="165" t="s">
        <v>402</v>
      </c>
    </row>
    <row r="187" s="96" customFormat="true" ht="18" hidden="false" customHeight="true" outlineLevel="0" collapsed="false">
      <c r="A187" s="170" t="n">
        <f aca="false">IF(B187="","",+A186+1)</f>
        <v>12</v>
      </c>
      <c r="B187" s="131" t="s">
        <v>441</v>
      </c>
      <c r="C187" s="131" t="s">
        <v>442</v>
      </c>
      <c r="D187" s="132" t="s">
        <v>274</v>
      </c>
      <c r="E187" s="130"/>
      <c r="F187" s="130" t="s">
        <v>274</v>
      </c>
      <c r="G187" s="130" t="s">
        <v>405</v>
      </c>
      <c r="H187" s="130" t="n">
        <v>2</v>
      </c>
      <c r="I187" s="142"/>
      <c r="J187" s="134" t="n">
        <f aca="false">$J$120*H187</f>
        <v>2</v>
      </c>
      <c r="N187" s="107" t="s">
        <v>445</v>
      </c>
      <c r="O187" s="62" t="s">
        <v>446</v>
      </c>
      <c r="P187" s="62" t="s">
        <v>447</v>
      </c>
      <c r="Q187" s="55" t="s">
        <v>230</v>
      </c>
      <c r="R187" s="158"/>
      <c r="S187" s="158" t="s">
        <v>230</v>
      </c>
      <c r="T187" s="158" t="s">
        <v>409</v>
      </c>
      <c r="U187" s="168" t="n">
        <f aca="false">((($I$134*$G$134)+($I$136*$G$136)+($I$139*$G$139))/1000)*$J$120</f>
        <v>1.958</v>
      </c>
      <c r="V187" s="168" t="n">
        <v>300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13</v>
      </c>
      <c r="B188" s="131" t="s">
        <v>443</v>
      </c>
      <c r="C188" s="131" t="s">
        <v>444</v>
      </c>
      <c r="D188" s="132" t="s">
        <v>272</v>
      </c>
      <c r="E188" s="130"/>
      <c r="F188" s="130" t="s">
        <v>272</v>
      </c>
      <c r="G188" s="130" t="s">
        <v>405</v>
      </c>
      <c r="H188" s="130" t="n">
        <v>1</v>
      </c>
      <c r="I188" s="142"/>
      <c r="J188" s="134" t="n">
        <f aca="false">$J$120*H188</f>
        <v>1</v>
      </c>
      <c r="N188" s="107" t="s">
        <v>448</v>
      </c>
      <c r="O188" s="62" t="s">
        <v>449</v>
      </c>
      <c r="P188" s="62" t="s">
        <v>450</v>
      </c>
      <c r="Q188" s="55" t="s">
        <v>451</v>
      </c>
      <c r="R188" s="158"/>
      <c r="S188" s="158" t="s">
        <v>451</v>
      </c>
      <c r="T188" s="158" t="s">
        <v>409</v>
      </c>
      <c r="U188" s="168" t="n">
        <f aca="false">((($I$134*$G$134)+($I$136*$G$136)+($I$139*$G$139))/1000)*$J$120</f>
        <v>1.958</v>
      </c>
      <c r="V188" s="168" t="n">
        <v>100</v>
      </c>
      <c r="W188" s="169" t="n">
        <f aca="false">ROUNDUP((U188)/V188,0)</f>
        <v>1</v>
      </c>
    </row>
    <row r="189" s="96" customFormat="true" ht="18" hidden="false" customHeight="true" outlineLevel="0" collapsed="false">
      <c r="A189" s="170" t="n">
        <f aca="false">IF(B189="","",+A188+1)</f>
        <v>14</v>
      </c>
      <c r="B189" s="132" t="str">
        <f aca="false">IF($D$129="Standard",$O$187,IF($D$129="Soumdproof",$O$188,))</f>
        <v>ยางเฟรมกันน้ำ (ธรรมดา)</v>
      </c>
      <c r="C189" s="132" t="str">
        <f aca="false">IF($D$129="Standard",$P$187,IF($D$129="Soumdproof",$P$188,))</f>
        <v>FRAME SEAL (Standard)</v>
      </c>
      <c r="D189" s="132" t="str">
        <f aca="false">IF($D$129="Standard",$Q$187,IF($D$129="Soumdproof",$Q$188,))</f>
        <v>02-026</v>
      </c>
      <c r="E189" s="130" t="n">
        <f aca="false">IF($D$129="Standard",R188,IF($D$129="Soumdproof",R189,))</f>
        <v>0</v>
      </c>
      <c r="F189" s="130" t="str">
        <f aca="false">IF($D$129="Standard",$S$187,IF($D$129="Soumdproof",$S$188,))</f>
        <v>02-026</v>
      </c>
      <c r="G189" s="130" t="str">
        <f aca="false">IF($D$129="Standard",$T$187,IF($D$129="Soumdproof",$T$188,))</f>
        <v>M</v>
      </c>
      <c r="H189" s="173" t="n">
        <f aca="false">IF($D$129="Standard",$U$187,IF($D$129="Soumdproof",$U$188,))</f>
        <v>1.958</v>
      </c>
      <c r="I189" s="174" t="n">
        <f aca="false">IF($D$129="Standard",$V$187,IF($D$129="Soumdproof",$V$188,))</f>
        <v>300</v>
      </c>
      <c r="J189" s="177" t="n">
        <f aca="false">ROUNDUP((H189)/100,0)</f>
        <v>1</v>
      </c>
      <c r="N189" s="107" t="s">
        <v>445</v>
      </c>
      <c r="O189" s="62" t="s">
        <v>452</v>
      </c>
      <c r="P189" s="62" t="s">
        <v>453</v>
      </c>
      <c r="Q189" s="55" t="s">
        <v>232</v>
      </c>
      <c r="R189" s="158"/>
      <c r="S189" s="158" t="s">
        <v>232</v>
      </c>
      <c r="T189" s="158" t="s">
        <v>409</v>
      </c>
      <c r="U189" s="168" t="n">
        <f aca="false">((($I$143*$G$143*2)+($I$144*$G$144*2)+($I$141*$G$141*2))/1000)*$J$120</f>
        <v>6.528</v>
      </c>
      <c r="V189" s="168" t="n">
        <v>350</v>
      </c>
      <c r="W189" s="169" t="n">
        <f aca="false">ROUNDUP((U189)/V189,0)</f>
        <v>1</v>
      </c>
    </row>
    <row r="190" s="96" customFormat="true" ht="18" hidden="false" customHeight="true" outlineLevel="0" collapsed="false">
      <c r="A190" s="170" t="n">
        <f aca="false">IF(B190="","",+A189+1)</f>
        <v>15</v>
      </c>
      <c r="B190" s="132" t="str">
        <f aca="false">IF($D$129="Standard",$O$189,IF($D$129="Soumdproof",$O$190,))</f>
        <v>ยางแซชกันน้ำ (ธรรมดา)</v>
      </c>
      <c r="C190" s="132" t="str">
        <f aca="false">IF($D$129="Standard",$P$189,IF($D$129="Soumdproof",$P$190,))</f>
        <v>SASH SEAL FOAM (Standard)</v>
      </c>
      <c r="D190" s="132" t="str">
        <f aca="false">IF($D$129="Standard",$Q$189,IF($D$129="Soumdproof",$Q$190,))</f>
        <v>02-031</v>
      </c>
      <c r="E190" s="130" t="n">
        <f aca="false">IF($D$129="Standard",R190,IF($D$129="Soumdproof",R191,))</f>
        <v>0</v>
      </c>
      <c r="F190" s="130" t="str">
        <f aca="false">IF($D$129="Standard",$S$189,IF($D$129="Soumdproof",$S$190,))</f>
        <v>02-031</v>
      </c>
      <c r="G190" s="130" t="str">
        <f aca="false">IF($D$129="Standard",$T$189,IF($D$129="Soumdproof",$T$190,))</f>
        <v>M</v>
      </c>
      <c r="H190" s="173" t="n">
        <f aca="false">IF($D$129="Standard",$U$189,IF($D$129="Soumdproof",$U$190,))</f>
        <v>6.528</v>
      </c>
      <c r="I190" s="174" t="n">
        <f aca="false">IF($D$129="Standard",$V$189,IF($D$129="Soumdproof",$V$190,))</f>
        <v>350</v>
      </c>
      <c r="J190" s="177" t="n">
        <f aca="false">ROUNDUP((H190)/100,0)</f>
        <v>1</v>
      </c>
      <c r="N190" s="107" t="s">
        <v>448</v>
      </c>
      <c r="O190" s="62" t="s">
        <v>454</v>
      </c>
      <c r="P190" s="62" t="s">
        <v>455</v>
      </c>
      <c r="Q190" s="55" t="s">
        <v>456</v>
      </c>
      <c r="R190" s="158"/>
      <c r="S190" s="158" t="s">
        <v>456</v>
      </c>
      <c r="T190" s="158" t="s">
        <v>409</v>
      </c>
      <c r="U190" s="168" t="n">
        <f aca="false">((($I$143*$G$143*2)+($I$144*$G$144*2)+($I$141*$G$141*2))/1000)*$J$120</f>
        <v>6.528</v>
      </c>
      <c r="V190" s="168" t="n">
        <v>100</v>
      </c>
      <c r="W190" s="169" t="n">
        <f aca="false">ROUNDUP((U190)/V190,0)</f>
        <v>1</v>
      </c>
    </row>
    <row r="191" s="96" customFormat="true" ht="18" hidden="false" customHeight="true" outlineLevel="0" collapsed="false">
      <c r="A191" s="170" t="n">
        <f aca="false">IF(B191="","",+A190+1)</f>
        <v>16</v>
      </c>
      <c r="B191" s="176" t="str">
        <f aca="false">IF($D$127=5,$O$178,IF($D$127=6,$O$179,IF($D$127=8,$O$180,IF($D$127=10,$O$178,IF($D$127=12,$O$178,IF($D$127=14,$O$180,IF($D$127=18,$O$178,IF($D$127=20,$O$179,IF($D$127=22,"")))))))))</f>
        <v>6,20 mm ยางอัดกระจก</v>
      </c>
      <c r="C191" s="176" t="str">
        <f aca="false">IF($D$127=5,$P$178,IF($D$127=6,$P$179,IF($D$127=8,$P$180,IF($D$127=10,$P$178,IF($D$127=12,$P$178,IF($D$127=14,$P$180,IF($D$127=18,$P$178,IF($D$127=20,$P$179,IF($D$127=22,"")))))))))</f>
        <v>6,20 mm ROLL IN WEDGE</v>
      </c>
      <c r="D191" s="176" t="str">
        <f aca="false">IF($D$127=5,$Q$178,IF($D$127=6,$Q$179,IF($D$127=8,$Q$180,IF($D$127=10,$Q$178,IF($D$127=12,$Q$178,IF($D$127=14,$Q$180,IF($D$127=18,$Q$178,IF($D$127=20,$Q$179,IF($D$127=22,"")))))))))</f>
        <v>02-034</v>
      </c>
      <c r="E191" s="176" t="n">
        <f aca="false">IF($D$127=5,R179,IF($D$127=6,R180,IF($D$127=8,R181,IF($D$127=10,R179,IF($D$127=12,R179,IF($D$127=14,R181,IF($D$127=18,R179,IF($D$127=20,R180,IF($D$127=22,"",)))))))))</f>
        <v>0</v>
      </c>
      <c r="F191" s="167" t="str">
        <f aca="false">IF($D$127=5,$S$178,IF($D$127=6,$S$179,IF($D$127=8,$S$180,IF($D$127=10,$S$178,IF($D$127=12,$S$178,IF($D$127=14,$S$180,IF($D$127=18,$S$178,IF($D$127=20,$S$179,IF($D$127=22,"")))))))))</f>
        <v>02-034</v>
      </c>
      <c r="G191" s="167" t="str">
        <f aca="false">IF($D$127=5,$T$178,IF($D$127=6,$T$179,IF($D$127=8,$T$180,IF($D$127=10,$T$178,IF($D$127=12,$T$178,IF($D$127=14,$T$180,IF($D$127=18,$T$178,IF($D$127=20,$T$179,IF($D$127=22,"")))))))))</f>
        <v>M</v>
      </c>
      <c r="H191" s="173" t="n">
        <f aca="false">IF($D$127=5,$U$178,IF($D$127=6,$U$179,IF($D$127=8,$U$180,IF($D$127=10,$U$178*2,IF($D$127=12,$U$178,IF($D$127=14,$U$180*2,IF($D$127=18,$U$178,IF($D$127=20,$U$179,IF($D$127=22,"")))))))))</f>
        <v>4.496</v>
      </c>
      <c r="I191" s="174" t="n">
        <f aca="false">IF($D$127=5,$V$178,IF($D$127=6,$V$179,IF($D$127=8,$V$180,IF($D$127=10,$V$178,IF($D$127=12,$V$178,IF($D$127=14,$V$180,IF($D$127=18,$V$178,IF($D$127=20,$V$179,IF($D$127=22,"")))))))))</f>
        <v>100</v>
      </c>
      <c r="J191" s="177" t="n">
        <f aca="false">ROUNDUP((H191)/100,0)</f>
        <v>1</v>
      </c>
    </row>
    <row r="192" s="96" customFormat="true" ht="18" hidden="false" customHeight="true" outlineLevel="0" collapsed="false">
      <c r="A192" s="170" t="n">
        <f aca="false">IF(B192="","",+A191+1)</f>
        <v>17</v>
      </c>
      <c r="B192" s="176" t="str">
        <f aca="false">IF($D$127=5,$O$176,IF($D$127=6,$O$176,IF($D$127=8,$O$178,IF($D$127=10,"",IF($D$127=12,$O$177,IF($D$127=14,"",IF($D$127=18,$O$176,IF($D$127=20,$O$177,IF($D$127=22,"",)))))))))</f>
        <v>5,6,18 mm ยางรองกระจก</v>
      </c>
      <c r="C192" s="176" t="str">
        <f aca="false">IF($D$127=5,$P$176,IF($D$127=6,$P$176,IF($D$127=8,$P$178,IF($D$127=10,"",IF($D$127=12,$P$177,IF($D$127=14,"",IF($D$127=18,$P$176,IF($D$127=20,$P$177,IF($D$127=22,"",)))))))))</f>
        <v>5,6,18 mm CAPTIVE WEDGE</v>
      </c>
      <c r="D192" s="176" t="str">
        <f aca="false">IF($D$127=5,$Q$176,IF($D$127=6,$Q$176,IF($D$127=8,$Q$178,IF($D$127=10,"",IF($D$127=12,$Q$177,IF($D$127=14,"",IF($D$127=18,$Q$176,IF($D$127=20,$Q$177,IF($D$127=22,"",)))))))))</f>
        <v>02-022</v>
      </c>
      <c r="E192" s="176" t="n">
        <f aca="false">IF($D$127=5,R177,IF($D$127=6,R177,IF($D$127=8,R179,IF($D$127=10,"",IF($D$127=12,R178,IF($D$127=14,"",IF($D$127=18,R177,IF($D$127=20,R178,IF($D$127=22,"",)))))))))</f>
        <v>0</v>
      </c>
      <c r="F192" s="167" t="str">
        <f aca="false">IF($D$127=5,$S$176,IF($D$127=6,$S$176,IF($D$127=8,$S$178,IF($D$127=10,"",IF($D$127=12,$S$177,IF($D$127=14,"",IF($D$127=18,$S$176,IF($D$127=20,$S$177,IF($D$127=22,"",)))))))))</f>
        <v>02-022</v>
      </c>
      <c r="G192" s="167" t="str">
        <f aca="false">IF($D$127=5,$T$176,IF($D$127=6,$T$176,IF($D$127=8,$T$178,IF($D$127=10,"",IF($D$127=12,$T$177,IF($D$127=14,"",IF($D$127=18,$T$176,IF($D$127=20,$T$177,IF($D$127=22,"",)))))))))</f>
        <v>M</v>
      </c>
      <c r="H192" s="173" t="n">
        <f aca="false">IF($D$127=5,$U$176,IF($D$127=6,$U$176,IF($D$127=8,$U$178,IF($D$127=10,"",IF($D$127=12,$U$177,IF($D$127=14,"",IF($D$127=18,$U$176,IF($D$127=20,$U$177,IF($D$127=22,"")))))))))</f>
        <v>4.496</v>
      </c>
      <c r="I192" s="174" t="n">
        <f aca="false">IF($D$127=5,$V$176,IF($D$127=6,$V$176,IF($D$127=8,$V$178,IF($D$127=10,"",IF($D$127=12,$V$177,IF($D$127=14,"",IF($D$127=18,$V$176,IF($D$127=20,$V$177,IF($D$127=22,"",)))))))))</f>
        <v>100</v>
      </c>
      <c r="J192" s="175" t="n">
        <f aca="false">ROUNDUP((H192)/100,0)</f>
        <v>1</v>
      </c>
    </row>
    <row r="193" s="96" customFormat="true" ht="18" hidden="false" customHeight="true" outlineLevel="0" collapsed="false">
      <c r="A193" s="170" t="str">
        <f aca="false">IF(B193="","",+A192+1)</f>
        <v/>
      </c>
      <c r="B193" s="131"/>
      <c r="C193" s="131"/>
      <c r="D193" s="132"/>
      <c r="E193" s="130"/>
      <c r="F193" s="130"/>
      <c r="G193" s="130"/>
      <c r="H193" s="130"/>
      <c r="I193" s="142"/>
      <c r="J193" s="134" t="n">
        <f aca="false">$J$120*H193</f>
        <v>0</v>
      </c>
    </row>
    <row r="194" s="96" customFormat="true" ht="18" hidden="false" customHeight="true" outlineLevel="0" collapsed="false">
      <c r="A194" s="170" t="str">
        <f aca="false">IF(B194="","",+A193+1)</f>
        <v/>
      </c>
      <c r="B194" s="131"/>
      <c r="C194" s="131"/>
      <c r="D194" s="132"/>
      <c r="E194" s="130"/>
      <c r="F194" s="130"/>
      <c r="G194" s="130"/>
      <c r="H194" s="130"/>
      <c r="I194" s="133"/>
      <c r="J194" s="134" t="n">
        <f aca="false">$J$120*H194</f>
        <v>0</v>
      </c>
    </row>
    <row r="195" s="96" customFormat="true" ht="18" hidden="false" customHeight="true" outlineLevel="0" collapsed="false">
      <c r="A195" s="170" t="str">
        <f aca="false">IF(B195="","",+A194+1)</f>
        <v/>
      </c>
      <c r="B195" s="131"/>
      <c r="C195" s="131"/>
      <c r="D195" s="132"/>
      <c r="E195" s="130"/>
      <c r="F195" s="130"/>
      <c r="G195" s="130"/>
      <c r="H195" s="130"/>
      <c r="I195" s="133"/>
      <c r="J195" s="134" t="n">
        <f aca="false">$J$120*H195</f>
        <v>0</v>
      </c>
    </row>
    <row r="196" customFormat="fals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30"/>
      <c r="I196" s="133"/>
      <c r="J196" s="134" t="n">
        <f aca="false">$J$120*H196</f>
        <v>0</v>
      </c>
      <c r="Y196" s="96"/>
      <c r="Z196" s="96"/>
      <c r="AA196" s="96"/>
      <c r="AB196" s="96"/>
      <c r="AC196" s="96"/>
      <c r="AD196" s="96"/>
      <c r="AE196" s="96"/>
      <c r="AF196" s="96"/>
      <c r="AG196" s="96"/>
      <c r="AH196" s="96"/>
      <c r="AI196" s="96"/>
      <c r="AJ196" s="96"/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$J$120*H197</f>
        <v>0</v>
      </c>
    </row>
    <row r="198" s="96" customFormat="true" ht="18" hidden="false" customHeight="true" outlineLevel="0" collapsed="false">
      <c r="A198" s="170"/>
      <c r="B198" s="131"/>
      <c r="C198" s="131"/>
      <c r="D198" s="132"/>
      <c r="E198" s="130"/>
      <c r="F198" s="130"/>
      <c r="G198" s="130"/>
      <c r="H198" s="130"/>
      <c r="I198" s="133"/>
      <c r="J198" s="134"/>
    </row>
    <row r="199" s="96" customFormat="true" ht="18" hidden="false" customHeight="true" outlineLevel="0" collapsed="false">
      <c r="A199" s="170" t="str">
        <f aca="false">IF(B199="","",+A197+1)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IF(B200="","",+""+1)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$J$120*H200</f>
        <v>0</v>
      </c>
      <c r="P200" s="178"/>
    </row>
    <row r="201" s="96" customFormat="true" ht="18" hidden="false" customHeight="true" outlineLevel="0" collapsed="false">
      <c r="A201" s="170" t="str">
        <f aca="false">IF(B201="","",+""+1)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IF(B202="","",+""+1)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/>
      <c r="B203" s="131"/>
      <c r="C203" s="131"/>
      <c r="D203" s="132"/>
      <c r="E203" s="130"/>
      <c r="F203" s="130"/>
      <c r="G203" s="130"/>
      <c r="H203" s="130"/>
      <c r="I203" s="133"/>
      <c r="J203" s="134"/>
    </row>
    <row r="204" s="96" customFormat="true" ht="18" hidden="false" customHeight="true" outlineLevel="0" collapsed="false">
      <c r="A204" s="170" t="str">
        <f aca="false">IF(B204="","",+""+1)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$J$120*H204</f>
        <v>0</v>
      </c>
    </row>
    <row r="205" s="96" customFormat="true" ht="18" hidden="false" customHeight="true" outlineLevel="0" collapsed="false">
      <c r="A205" s="248"/>
      <c r="B205" s="135"/>
      <c r="C205" s="135"/>
      <c r="D205" s="139"/>
      <c r="E205" s="136"/>
      <c r="F205" s="136"/>
      <c r="G205" s="136"/>
      <c r="H205" s="136"/>
      <c r="I205" s="140"/>
      <c r="J205" s="137"/>
    </row>
    <row r="206" customFormat="false" ht="18" hidden="false" customHeight="true" outlineLevel="0" collapsed="false">
      <c r="A206" s="97"/>
      <c r="B206" s="96"/>
      <c r="C206" s="96"/>
      <c r="D206" s="98"/>
      <c r="E206" s="97"/>
      <c r="F206" s="97"/>
      <c r="G206" s="97"/>
      <c r="H206" s="97"/>
      <c r="J206" s="92" t="str">
        <f aca="false">LEFT($J$111,10)&amp;"-02"</f>
        <v>FG-240-3PL-02</v>
      </c>
    </row>
    <row r="207" customFormat="false" ht="12.75" hidden="false" customHeight="true" outlineLevel="0" collapsed="false">
      <c r="K207" s="78"/>
      <c r="L207" s="78"/>
      <c r="M207" s="79"/>
      <c r="N207" s="79"/>
    </row>
    <row r="208" customFormat="false" ht="30" hidden="false" customHeight="true" outlineLevel="0" collapsed="false">
      <c r="C208" s="75"/>
      <c r="D208" s="76"/>
      <c r="E208" s="76"/>
      <c r="F208" s="76"/>
      <c r="G208" s="76"/>
      <c r="H208" s="76"/>
      <c r="I208" s="76"/>
      <c r="J208" s="77" t="str">
        <f aca="false">$J$2</f>
        <v>HOMELIFE</v>
      </c>
      <c r="K208" s="83"/>
      <c r="L208" s="83"/>
      <c r="M208" s="79"/>
      <c r="N208" s="79"/>
    </row>
    <row r="209" customFormat="false" ht="24.75" hidden="false" customHeight="true" outlineLevel="0" collapsed="false">
      <c r="C209" s="82"/>
      <c r="D209" s="82"/>
      <c r="E209" s="82"/>
      <c r="F209" s="82"/>
      <c r="G209" s="82"/>
      <c r="H209" s="82"/>
      <c r="I209" s="82"/>
      <c r="J209" s="80" t="str">
        <f aca="false">$J$3</f>
        <v>Fabricators Guide</v>
      </c>
      <c r="K209" s="83"/>
      <c r="L209" s="83"/>
      <c r="M209" s="79"/>
      <c r="N209" s="79"/>
    </row>
    <row r="210" customFormat="false" ht="24.75" hidden="false" customHeight="true" outlineLevel="0" collapsed="false">
      <c r="B210" s="81"/>
      <c r="C210" s="82"/>
      <c r="D210" s="82"/>
      <c r="E210" s="82"/>
      <c r="F210" s="82"/>
      <c r="G210" s="82"/>
      <c r="H210" s="82"/>
      <c r="I210" s="82"/>
      <c r="J210" s="80" t="str">
        <f aca="false">$J$4</f>
        <v>240 Series Bi Fold Door </v>
      </c>
      <c r="M210" s="87"/>
      <c r="N210" s="87"/>
    </row>
    <row r="211" s="96" customFormat="true" ht="15" hidden="false" customHeight="true" outlineLevel="0" collapsed="false">
      <c r="A211" s="84"/>
      <c r="B211" s="84"/>
      <c r="C211" s="84"/>
      <c r="D211" s="85"/>
      <c r="E211" s="84"/>
      <c r="F211" s="84"/>
      <c r="G211" s="84"/>
      <c r="H211" s="84"/>
      <c r="I211" s="84"/>
      <c r="J211" s="94"/>
      <c r="K211" s="87"/>
      <c r="L211" s="87"/>
      <c r="M211" s="87"/>
      <c r="N211" s="87"/>
    </row>
    <row r="212" s="96" customFormat="true" ht="24.75" hidden="false" customHeight="true" outlineLevel="0" collapsed="false">
      <c r="A212" s="88" t="s">
        <v>457</v>
      </c>
      <c r="B212" s="88"/>
      <c r="C212" s="88"/>
      <c r="D212" s="88"/>
      <c r="E212" s="88"/>
      <c r="F212" s="88"/>
      <c r="G212" s="88"/>
      <c r="H212" s="88"/>
      <c r="I212" s="88"/>
      <c r="J212" s="88"/>
    </row>
    <row r="214" s="96" customFormat="true" ht="15" hidden="false" customHeight="true" outlineLevel="0" collapsed="false">
      <c r="A214" s="182"/>
      <c r="B214" s="182"/>
      <c r="D214" s="98"/>
      <c r="E214" s="83"/>
      <c r="F214" s="183"/>
      <c r="G214" s="183"/>
      <c r="H214" s="183"/>
      <c r="I214" s="183"/>
      <c r="J214" s="99"/>
    </row>
    <row r="215" s="96" customFormat="true" ht="15" hidden="false" customHeight="true" outlineLevel="0" collapsed="false">
      <c r="A215" s="97"/>
      <c r="C215" s="184"/>
      <c r="D215" s="98"/>
      <c r="E215" s="83"/>
      <c r="F215" s="98"/>
      <c r="J215" s="97"/>
    </row>
    <row r="216" s="96" customFormat="true" ht="15" hidden="false" customHeight="true" outlineLevel="0" collapsed="false">
      <c r="A216" s="97"/>
      <c r="C216" s="181"/>
      <c r="D216" s="98"/>
      <c r="E216" s="83"/>
      <c r="F216" s="98"/>
      <c r="J216" s="97"/>
    </row>
    <row r="217" customFormat="false" ht="15" hidden="false" customHeight="true" outlineLevel="0" collapsed="false">
      <c r="A217" s="97"/>
      <c r="B217" s="96"/>
      <c r="C217" s="181"/>
      <c r="D217" s="98"/>
      <c r="E217" s="97"/>
      <c r="F217" s="98"/>
      <c r="G217" s="96"/>
      <c r="H217" s="181"/>
    </row>
    <row r="218" s="96" customFormat="true" ht="15" hidden="false" customHeight="true" outlineLevel="0" collapsed="false">
      <c r="A218" s="182"/>
      <c r="B218" s="182"/>
      <c r="D218" s="98"/>
      <c r="E218" s="83"/>
      <c r="F218" s="183"/>
      <c r="H218" s="181"/>
      <c r="I218" s="183"/>
      <c r="J218" s="99"/>
    </row>
    <row r="219" s="96" customFormat="true" ht="15" hidden="false" customHeight="true" outlineLevel="0" collapsed="false">
      <c r="A219" s="97"/>
      <c r="C219" s="184" t="s">
        <v>458</v>
      </c>
      <c r="D219" s="98"/>
      <c r="E219" s="83"/>
      <c r="F219" s="98"/>
      <c r="J219" s="97"/>
    </row>
    <row r="220" s="96" customFormat="true" ht="15" hidden="false" customHeight="true" outlineLevel="0" collapsed="false">
      <c r="A220" s="97"/>
      <c r="C220" s="181" t="s">
        <v>459</v>
      </c>
      <c r="D220" s="98"/>
      <c r="E220" s="83"/>
      <c r="F220" s="98"/>
      <c r="H220" s="184"/>
      <c r="J220" s="97"/>
    </row>
    <row r="221" s="96" customFormat="true" ht="15" hidden="false" customHeight="true" outlineLevel="0" collapsed="false">
      <c r="A221" s="97"/>
      <c r="C221" s="181" t="s">
        <v>460</v>
      </c>
      <c r="D221" s="98"/>
      <c r="E221" s="97"/>
      <c r="F221" s="98"/>
      <c r="J221" s="97"/>
    </row>
    <row r="222" s="96" customFormat="true" ht="15" hidden="false" customHeight="true" outlineLevel="0" collapsed="false">
      <c r="A222" s="97"/>
      <c r="C222" s="185" t="n">
        <f aca="false">$I$133</f>
        <v>740</v>
      </c>
      <c r="D222" s="98"/>
      <c r="E222" s="83"/>
      <c r="F222" s="98"/>
      <c r="G222" s="186"/>
      <c r="I222" s="97"/>
      <c r="J222" s="97"/>
    </row>
    <row r="223" s="96" customFormat="true" ht="15" hidden="false" customHeight="true" outlineLevel="0" collapsed="false">
      <c r="A223" s="97"/>
      <c r="C223" s="187" t="n">
        <f aca="false">$J$133</f>
        <v>1</v>
      </c>
      <c r="D223" s="98"/>
      <c r="E223" s="83"/>
      <c r="F223" s="98"/>
      <c r="G223" s="110"/>
      <c r="I223" s="97"/>
      <c r="J223" s="97"/>
    </row>
    <row r="224" s="96" customFormat="true" ht="15" hidden="false" customHeight="true" outlineLevel="0" collapsed="false">
      <c r="A224" s="97"/>
      <c r="D224" s="98"/>
      <c r="E224" s="97"/>
      <c r="F224" s="98"/>
      <c r="G224" s="110"/>
      <c r="J224" s="97"/>
    </row>
    <row r="225" s="96" customFormat="true" ht="15" hidden="false" customHeight="true" outlineLevel="0" collapsed="false">
      <c r="A225" s="99"/>
      <c r="B225" s="99"/>
      <c r="C225" s="83"/>
      <c r="D225" s="98"/>
      <c r="E225" s="97"/>
      <c r="F225" s="98"/>
      <c r="G225" s="186"/>
      <c r="J225" s="97"/>
    </row>
    <row r="226" s="96" customFormat="true" ht="15" hidden="false" customHeight="true" outlineLevel="0" collapsed="false">
      <c r="A226" s="99"/>
      <c r="B226" s="99"/>
      <c r="C226" s="83"/>
      <c r="D226" s="98"/>
      <c r="E226" s="97"/>
      <c r="F226" s="98"/>
      <c r="H226" s="97"/>
      <c r="J226" s="97"/>
    </row>
    <row r="227" s="96" customFormat="true" ht="1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" hidden="false" customHeight="true" outlineLevel="0" collapsed="false">
      <c r="A228" s="99"/>
      <c r="B228" s="99"/>
      <c r="C228" s="181"/>
      <c r="D228" s="98"/>
      <c r="E228" s="97"/>
      <c r="F228" s="98"/>
      <c r="H228" s="97"/>
      <c r="I228" s="97"/>
      <c r="J228" s="97"/>
    </row>
    <row r="229" s="96" customFormat="true" ht="1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97"/>
      <c r="J229" s="97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97"/>
      <c r="J230" s="97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97"/>
      <c r="J231" s="97"/>
    </row>
    <row r="232" s="96" customFormat="true" ht="15.75" hidden="false" customHeight="true" outlineLevel="0" collapsed="false">
      <c r="A232" s="81"/>
      <c r="D232" s="98"/>
      <c r="E232" s="97"/>
      <c r="F232" s="97"/>
      <c r="I232" s="189"/>
      <c r="J232" s="190"/>
    </row>
    <row r="233" s="96" customFormat="true" ht="15.75" hidden="false" customHeight="true" outlineLevel="0" collapsed="false">
      <c r="A233" s="191"/>
      <c r="B233" s="191"/>
      <c r="C233" s="184" t="s">
        <v>461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I234" s="181"/>
      <c r="J234" s="193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181"/>
      <c r="J235" s="193"/>
    </row>
    <row r="236" s="96" customFormat="true" ht="15.75" hidden="false" customHeight="true" outlineLevel="0" collapsed="false">
      <c r="A236" s="97"/>
      <c r="C236" s="185" t="n">
        <f aca="false">$I$134</f>
        <v>714</v>
      </c>
      <c r="D236" s="98"/>
      <c r="E236" s="97"/>
      <c r="F236" s="98"/>
      <c r="G236" s="97"/>
      <c r="H236" s="97"/>
      <c r="I236" s="181"/>
      <c r="J236" s="193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1"/>
      <c r="J237" s="193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J238" s="97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97"/>
      <c r="J239" s="196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197"/>
      <c r="I242" s="184"/>
      <c r="J242" s="198"/>
    </row>
    <row r="243" s="96" customFormat="true" ht="15.75" hidden="false" customHeight="true" outlineLevel="0" collapsed="false">
      <c r="A243" s="97"/>
      <c r="D243" s="98"/>
      <c r="E243" s="97"/>
      <c r="F243" s="98"/>
      <c r="G243" s="97"/>
      <c r="H243" s="97"/>
      <c r="I243" s="181"/>
      <c r="J243" s="193"/>
    </row>
    <row r="244" s="96" customFormat="true" ht="15.75" hidden="false" customHeight="true" outlineLevel="0" collapsed="false">
      <c r="A244" s="97"/>
      <c r="C244" s="184" t="s">
        <v>464</v>
      </c>
      <c r="D244" s="98"/>
      <c r="E244" s="97"/>
      <c r="F244" s="98"/>
      <c r="G244" s="97"/>
      <c r="H244" s="97"/>
      <c r="I244" s="181"/>
      <c r="J244" s="193"/>
    </row>
    <row r="245" s="96" customFormat="true" ht="15.75" hidden="false" customHeight="true" outlineLevel="0" collapsed="false">
      <c r="A245" s="97"/>
      <c r="C245" s="181" t="s">
        <v>459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1" t="s">
        <v>460</v>
      </c>
      <c r="D246" s="98"/>
      <c r="E246" s="97"/>
      <c r="F246" s="98"/>
      <c r="G246" s="97"/>
      <c r="H246" s="97"/>
      <c r="I246" s="196"/>
      <c r="J246" s="196"/>
    </row>
    <row r="247" s="96" customFormat="true" ht="15.75" hidden="false" customHeight="true" outlineLevel="0" collapsed="false">
      <c r="A247" s="97"/>
      <c r="C247" s="185" t="n">
        <f aca="false">$I$135</f>
        <v>740</v>
      </c>
      <c r="D247" s="98"/>
      <c r="E247" s="97"/>
      <c r="F247" s="98"/>
      <c r="G247" s="97"/>
      <c r="H247" s="97"/>
      <c r="I247" s="97"/>
      <c r="J247" s="196"/>
    </row>
    <row r="248" s="96" customFormat="true" ht="15.75" hidden="false" customHeight="true" outlineLevel="0" collapsed="false">
      <c r="A248" s="97"/>
      <c r="C248" s="187" t="n">
        <f aca="false">$J$135</f>
        <v>1</v>
      </c>
      <c r="D248" s="98"/>
      <c r="E248" s="97"/>
      <c r="F248" s="98"/>
      <c r="G248" s="97"/>
      <c r="H248" s="97"/>
      <c r="I248" s="196"/>
      <c r="J248" s="196"/>
    </row>
    <row r="249" s="96" customFormat="true" ht="15.75" hidden="false" customHeight="true" outlineLevel="0" collapsed="false">
      <c r="A249" s="97"/>
      <c r="C249" s="98"/>
      <c r="D249" s="98"/>
      <c r="E249" s="97"/>
      <c r="F249" s="98"/>
      <c r="G249" s="97"/>
      <c r="H249" s="97"/>
      <c r="I249" s="196"/>
      <c r="J249" s="196"/>
    </row>
    <row r="250" s="96" customFormat="true" ht="15" hidden="false" customHeight="true" outlineLevel="0" collapsed="false">
      <c r="A250" s="97"/>
      <c r="D250" s="98"/>
      <c r="E250" s="97"/>
      <c r="F250" s="97"/>
      <c r="G250" s="191"/>
      <c r="H250" s="97"/>
      <c r="I250" s="196"/>
      <c r="J250" s="196"/>
    </row>
    <row r="251" s="96" customFormat="true" ht="15.75" hidden="false" customHeight="true" outlineLevel="0" collapsed="false">
      <c r="A251" s="97"/>
      <c r="D251" s="98"/>
      <c r="E251" s="97"/>
      <c r="F251" s="97"/>
      <c r="G251" s="191"/>
      <c r="H251" s="97"/>
      <c r="I251" s="191"/>
      <c r="J251" s="199"/>
    </row>
    <row r="252" s="96" customFormat="true" ht="15.75" hidden="false" customHeight="true" outlineLevel="0" collapsed="false">
      <c r="A252" s="97"/>
      <c r="D252" s="98"/>
      <c r="E252" s="97"/>
      <c r="F252" s="97"/>
      <c r="G252" s="191"/>
      <c r="H252" s="97"/>
      <c r="I252" s="191"/>
      <c r="J252" s="199"/>
    </row>
    <row r="253" s="96" customFormat="true" ht="15.75" hidden="false" customHeight="true" outlineLevel="0" collapsed="false">
      <c r="A253" s="97"/>
      <c r="D253" s="98"/>
      <c r="E253" s="97"/>
      <c r="F253" s="97"/>
      <c r="G253" s="190"/>
      <c r="H253" s="97"/>
      <c r="I253" s="189"/>
      <c r="J253" s="190"/>
    </row>
    <row r="254" s="96" customFormat="true" ht="15.75" hidden="false" customHeight="true" outlineLevel="0" collapsed="false">
      <c r="A254" s="97"/>
      <c r="D254" s="98"/>
      <c r="E254" s="97"/>
      <c r="F254" s="97"/>
      <c r="G254" s="97"/>
      <c r="H254" s="97"/>
      <c r="J254" s="97"/>
    </row>
    <row r="255" s="96" customFormat="true" ht="15.75" hidden="false" customHeight="true" outlineLevel="0" collapsed="false">
      <c r="A255" s="191"/>
      <c r="B255" s="191"/>
      <c r="D255" s="192"/>
      <c r="E255" s="191"/>
      <c r="F255" s="191"/>
      <c r="G255" s="97"/>
      <c r="H255" s="97"/>
      <c r="J255" s="97"/>
    </row>
    <row r="256" s="96" customFormat="true" ht="15.75" hidden="false" customHeight="true" outlineLevel="0" collapsed="false">
      <c r="A256" s="190"/>
      <c r="B256" s="190"/>
      <c r="C256" s="184" t="s">
        <v>465</v>
      </c>
      <c r="D256" s="194"/>
      <c r="E256" s="190"/>
      <c r="F256" s="189"/>
      <c r="G256" s="97"/>
      <c r="J256" s="97"/>
    </row>
    <row r="257" s="96" customFormat="true" ht="15.75" hidden="false" customHeight="true" outlineLevel="0" collapsed="false">
      <c r="A257" s="200"/>
      <c r="C257" s="181" t="s">
        <v>459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1" t="s">
        <v>460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C259" s="185" t="n">
        <f aca="false">$I$136</f>
        <v>740</v>
      </c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C260" s="187" t="n">
        <f aca="false">$J$136</f>
        <v>1</v>
      </c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D264" s="98"/>
      <c r="E264" s="97"/>
      <c r="F264" s="97"/>
      <c r="G264" s="97"/>
      <c r="I264" s="196"/>
      <c r="J264" s="196"/>
    </row>
    <row r="265" s="96" customFormat="true" ht="15.75" hidden="false" customHeight="true" outlineLevel="0" collapsed="false">
      <c r="A265" s="200"/>
      <c r="C265" s="98"/>
      <c r="D265" s="98"/>
      <c r="E265" s="97"/>
      <c r="F265" s="97"/>
      <c r="G265" s="97"/>
      <c r="I265" s="196"/>
      <c r="J265" s="196"/>
    </row>
    <row r="266" s="96" customFormat="true" ht="15.75" hidden="false" customHeight="true" outlineLevel="0" collapsed="false">
      <c r="A266" s="200"/>
      <c r="D266" s="98"/>
      <c r="E266" s="97"/>
      <c r="F266" s="97"/>
      <c r="G266" s="97"/>
      <c r="I266" s="196"/>
      <c r="J266" s="196"/>
    </row>
    <row r="267" s="96" customFormat="true" ht="15.75" hidden="false" customHeight="true" outlineLevel="0" collapsed="false">
      <c r="A267" s="200"/>
      <c r="C267" s="184" t="s">
        <v>466</v>
      </c>
      <c r="D267" s="98"/>
      <c r="E267" s="97"/>
      <c r="F267" s="97"/>
      <c r="G267" s="97"/>
      <c r="H267" s="97"/>
      <c r="I267" s="196"/>
      <c r="J267" s="196"/>
    </row>
    <row r="268" s="96" customFormat="true" ht="15.75" hidden="false" customHeight="true" outlineLevel="0" collapsed="false">
      <c r="A268" s="200"/>
      <c r="C268" s="181" t="s">
        <v>467</v>
      </c>
      <c r="D268" s="181"/>
      <c r="E268" s="181"/>
      <c r="F268" s="97"/>
      <c r="G268" s="97"/>
      <c r="H268" s="97"/>
      <c r="I268" s="196"/>
      <c r="J268" s="196"/>
      <c r="AF268" s="96" t="n">
        <v>6</v>
      </c>
    </row>
    <row r="269" s="96" customFormat="true" ht="15.75" hidden="false" customHeight="true" outlineLevel="0" collapsed="false">
      <c r="A269" s="200"/>
      <c r="C269" s="181" t="s">
        <v>468</v>
      </c>
      <c r="D269" s="181"/>
      <c r="E269" s="181"/>
      <c r="F269" s="97"/>
      <c r="G269" s="97"/>
      <c r="H269" s="97"/>
      <c r="I269" s="196"/>
      <c r="J269" s="196"/>
    </row>
    <row r="270" s="96" customFormat="true" ht="15.75" hidden="false" customHeight="true" outlineLevel="0" collapsed="false">
      <c r="A270" s="200"/>
      <c r="C270" s="185" t="n">
        <f aca="false">$I$137</f>
        <v>600</v>
      </c>
      <c r="D270" s="98"/>
      <c r="E270" s="97"/>
      <c r="F270" s="97"/>
      <c r="I270" s="196"/>
      <c r="J270" s="196"/>
    </row>
    <row r="271" s="96" customFormat="true" ht="15.75" hidden="false" customHeight="true" outlineLevel="0" collapsed="false">
      <c r="A271" s="200"/>
      <c r="C271" s="187" t="n">
        <f aca="false">$J$137+$J$138</f>
        <v>2</v>
      </c>
      <c r="D271" s="98"/>
      <c r="E271" s="97"/>
      <c r="F271" s="97"/>
      <c r="G271" s="97"/>
      <c r="H271" s="97"/>
      <c r="I271" s="196"/>
      <c r="J271" s="196"/>
    </row>
    <row r="272" s="96" customFormat="true" ht="15.75" hidden="false" customHeight="true" outlineLevel="0" collapsed="false">
      <c r="A272" s="200"/>
      <c r="D272" s="184"/>
      <c r="E272" s="184"/>
      <c r="F272" s="97"/>
      <c r="G272" s="97"/>
      <c r="H272" s="97"/>
      <c r="I272" s="196"/>
      <c r="J272" s="196"/>
    </row>
    <row r="273" s="96" customFormat="true" ht="15.75" hidden="false" customHeight="true" outlineLevel="0" collapsed="false">
      <c r="A273" s="200"/>
      <c r="D273" s="184"/>
      <c r="E273" s="184"/>
      <c r="F273" s="97"/>
      <c r="G273" s="97"/>
      <c r="H273" s="97"/>
      <c r="J273" s="97"/>
    </row>
    <row r="274" s="96" customFormat="true" ht="15.75" hidden="false" customHeight="true" outlineLevel="0" collapsed="false">
      <c r="A274" s="200"/>
      <c r="D274" s="184"/>
      <c r="E274" s="184"/>
      <c r="F274" s="97"/>
      <c r="G274" s="97"/>
      <c r="H274" s="97"/>
      <c r="J274" s="97"/>
    </row>
    <row r="275" s="96" customFormat="true" ht="15.75" hidden="false" customHeight="true" outlineLevel="0" collapsed="false">
      <c r="A275" s="200"/>
      <c r="D275" s="184"/>
      <c r="E275" s="184"/>
      <c r="F275" s="97"/>
      <c r="G275" s="97"/>
      <c r="H275" s="97"/>
      <c r="J275" s="97"/>
    </row>
    <row r="276" s="96" customFormat="true" ht="15.75" hidden="false" customHeight="true" outlineLevel="0" collapsed="false">
      <c r="A276" s="200"/>
      <c r="D276" s="181"/>
      <c r="E276" s="181"/>
      <c r="F276" s="97"/>
      <c r="G276" s="97"/>
      <c r="H276" s="97"/>
      <c r="J276" s="97"/>
    </row>
    <row r="277" s="96" customFormat="true" ht="15.75" hidden="false" customHeight="true" outlineLevel="0" collapsed="false">
      <c r="A277" s="200"/>
      <c r="D277" s="181"/>
      <c r="E277" s="181"/>
      <c r="F277" s="97"/>
      <c r="G277" s="97"/>
      <c r="J277" s="97"/>
    </row>
    <row r="278" s="96" customFormat="true" ht="15.75" hidden="false" customHeight="true" outlineLevel="0" collapsed="false">
      <c r="A278" s="200"/>
      <c r="D278" s="98"/>
      <c r="E278" s="97"/>
      <c r="F278" s="97"/>
      <c r="G278" s="97"/>
      <c r="J278" s="97"/>
    </row>
    <row r="279" s="96" customFormat="true" ht="15.75" hidden="false" customHeight="true" outlineLevel="0" collapsed="false">
      <c r="A279" s="200"/>
      <c r="C279" s="184" t="s">
        <v>469</v>
      </c>
      <c r="D279" s="201"/>
      <c r="E279" s="196"/>
      <c r="F279" s="97"/>
      <c r="G279" s="97"/>
      <c r="J279" s="97"/>
    </row>
    <row r="280" s="96" customFormat="true" ht="15.75" hidden="false" customHeight="true" outlineLevel="0" collapsed="false">
      <c r="A280" s="200"/>
      <c r="C280" s="181" t="s">
        <v>470</v>
      </c>
      <c r="D280" s="181"/>
      <c r="E280" s="181"/>
      <c r="F280" s="97"/>
      <c r="G280" s="97"/>
      <c r="J280" s="97"/>
    </row>
    <row r="281" s="96" customFormat="true" ht="15.75" hidden="false" customHeight="true" outlineLevel="0" collapsed="false">
      <c r="A281" s="200"/>
      <c r="C281" s="181" t="s">
        <v>471</v>
      </c>
      <c r="D281" s="181"/>
      <c r="E281" s="181"/>
      <c r="F281" s="97"/>
      <c r="G281" s="97"/>
      <c r="I281" s="196"/>
      <c r="J281" s="196"/>
    </row>
    <row r="282" s="96" customFormat="true" ht="15.75" hidden="false" customHeight="true" outlineLevel="0" collapsed="false">
      <c r="A282" s="200"/>
      <c r="C282" s="185" t="n">
        <f aca="false">$I$139</f>
        <v>504</v>
      </c>
      <c r="F282" s="97"/>
      <c r="G282" s="97"/>
      <c r="I282" s="196"/>
      <c r="J282" s="196"/>
    </row>
    <row r="283" s="96" customFormat="true" ht="15.75" hidden="false" customHeight="true" outlineLevel="0" collapsed="false">
      <c r="A283" s="200"/>
      <c r="C283" s="187" t="n">
        <f aca="false">$J$139+$J$140</f>
        <v>2</v>
      </c>
      <c r="F283" s="97"/>
      <c r="G283" s="97"/>
      <c r="I283" s="196"/>
      <c r="J283" s="196"/>
    </row>
    <row r="284" s="96" customFormat="true" ht="15.75" hidden="false" customHeight="true" outlineLevel="0" collapsed="false">
      <c r="A284" s="200"/>
      <c r="F284" s="97"/>
      <c r="G284" s="97"/>
      <c r="H284" s="97"/>
      <c r="I284" s="97"/>
      <c r="J284" s="196"/>
    </row>
    <row r="285" s="96" customFormat="true" ht="15.75" hidden="false" customHeight="true" outlineLevel="0" collapsed="false">
      <c r="A285" s="200"/>
      <c r="F285" s="97"/>
      <c r="G285" s="97"/>
      <c r="H285" s="97"/>
      <c r="I285" s="97"/>
      <c r="J285" s="196"/>
    </row>
    <row r="286" s="96" customFormat="true" ht="15.75" hidden="false" customHeight="true" outlineLevel="0" collapsed="false">
      <c r="A286" s="200"/>
      <c r="D286" s="98"/>
      <c r="E286" s="97"/>
      <c r="F286" s="97"/>
      <c r="G286" s="97"/>
      <c r="H286" s="97"/>
      <c r="I286" s="97"/>
      <c r="J286" s="196"/>
    </row>
    <row r="287" s="96" customFormat="true" ht="15.75" hidden="false" customHeight="true" outlineLevel="0" collapsed="false">
      <c r="A287" s="200"/>
      <c r="F287" s="97"/>
      <c r="G287" s="97"/>
      <c r="H287" s="97"/>
      <c r="I287" s="97"/>
      <c r="J287" s="196"/>
    </row>
    <row r="288" s="96" customFormat="true" ht="15.75" hidden="false" customHeight="true" outlineLevel="0" collapsed="false">
      <c r="A288" s="200"/>
      <c r="F288" s="97"/>
      <c r="G288" s="97"/>
      <c r="H288" s="97"/>
      <c r="I288" s="97"/>
      <c r="J288" s="196"/>
    </row>
    <row r="289" s="96" customFormat="true" ht="15.75" hidden="false" customHeight="true" outlineLevel="0" collapsed="false">
      <c r="A289" s="200"/>
      <c r="C289" s="184" t="s">
        <v>472</v>
      </c>
      <c r="F289" s="97"/>
      <c r="G289" s="97"/>
      <c r="H289" s="97"/>
      <c r="J289" s="97"/>
    </row>
    <row r="290" s="96" customFormat="true" ht="15.75" hidden="false" customHeight="true" outlineLevel="0" collapsed="false">
      <c r="A290" s="200"/>
      <c r="C290" s="83" t="s">
        <v>546</v>
      </c>
      <c r="D290" s="98"/>
      <c r="E290" s="97"/>
      <c r="F290" s="97"/>
      <c r="G290" s="97"/>
      <c r="H290" s="97"/>
      <c r="J290" s="97"/>
    </row>
    <row r="291" s="96" customFormat="true" ht="15.75" hidden="false" customHeight="true" outlineLevel="0" collapsed="false">
      <c r="A291" s="200"/>
      <c r="C291" s="181" t="s">
        <v>547</v>
      </c>
      <c r="D291" s="98"/>
      <c r="E291" s="97"/>
      <c r="F291" s="97"/>
      <c r="G291" s="97"/>
      <c r="H291" s="97"/>
      <c r="J291" s="97"/>
    </row>
    <row r="292" s="96" customFormat="true" ht="15.75" hidden="false" customHeight="true" outlineLevel="0" collapsed="false">
      <c r="A292" s="200"/>
      <c r="C292" s="181" t="s">
        <v>475</v>
      </c>
      <c r="D292" s="181"/>
      <c r="E292" s="181"/>
      <c r="F292" s="97"/>
      <c r="G292" s="97"/>
      <c r="I292" s="201"/>
      <c r="J292" s="196"/>
    </row>
    <row r="293" s="96" customFormat="true" ht="15.75" hidden="false" customHeight="true" outlineLevel="0" collapsed="false">
      <c r="A293" s="200"/>
      <c r="C293" s="181" t="s">
        <v>476</v>
      </c>
      <c r="D293" s="181"/>
      <c r="E293" s="181"/>
      <c r="F293" s="97"/>
      <c r="G293" s="97"/>
      <c r="I293" s="97"/>
      <c r="J293" s="196"/>
    </row>
    <row r="294" s="96" customFormat="true" ht="15.75" hidden="false" customHeight="true" outlineLevel="0" collapsed="false">
      <c r="A294" s="200"/>
      <c r="C294" s="185" t="n">
        <f aca="false">$I$141</f>
        <v>241.333333333333</v>
      </c>
      <c r="F294" s="97"/>
      <c r="G294" s="97"/>
      <c r="I294" s="196"/>
      <c r="J294" s="196"/>
    </row>
    <row r="295" s="96" customFormat="true" ht="15.75" hidden="false" customHeight="true" outlineLevel="0" collapsed="false">
      <c r="A295" s="200"/>
      <c r="C295" s="187" t="n">
        <f aca="false">$J$141+$J$142</f>
        <v>6</v>
      </c>
      <c r="D295" s="98"/>
      <c r="E295" s="97"/>
      <c r="F295" s="97"/>
      <c r="G295" s="97"/>
      <c r="H295" s="98"/>
      <c r="I295" s="196"/>
      <c r="J295" s="196"/>
    </row>
    <row r="296" s="96" customFormat="true" ht="15.75" hidden="false" customHeight="true" outlineLevel="0" collapsed="false">
      <c r="A296" s="200"/>
      <c r="C296" s="185" t="n">
        <f aca="false">$I$143</f>
        <v>508</v>
      </c>
      <c r="D296" s="98"/>
      <c r="E296" s="97"/>
      <c r="F296" s="97"/>
      <c r="G296" s="97"/>
      <c r="H296" s="97"/>
      <c r="I296" s="196"/>
      <c r="J296" s="196"/>
    </row>
    <row r="297" s="202" customFormat="true" ht="15.75" hidden="false" customHeight="true" outlineLevel="0" collapsed="false">
      <c r="A297" s="200"/>
      <c r="B297" s="96"/>
      <c r="C297" s="187" t="n">
        <f aca="false">$J$143+$J$144+$J$145</f>
        <v>6</v>
      </c>
      <c r="D297" s="98"/>
      <c r="E297" s="97"/>
      <c r="F297" s="97"/>
      <c r="G297" s="97"/>
      <c r="H297" s="97"/>
      <c r="I297" s="97"/>
      <c r="J297" s="97"/>
    </row>
    <row r="298" s="202" customFormat="true" ht="15.75" hidden="false" customHeight="true" outlineLevel="0" collapsed="false">
      <c r="A298" s="200"/>
      <c r="B298" s="96"/>
      <c r="C298" s="96"/>
      <c r="D298" s="98"/>
      <c r="E298" s="97"/>
      <c r="F298" s="97"/>
      <c r="G298" s="97"/>
      <c r="H298" s="97"/>
      <c r="I298" s="97"/>
      <c r="J298" s="97"/>
    </row>
    <row r="299" s="202" customFormat="true" ht="15.75" hidden="false" customHeight="true" outlineLevel="0" collapsed="false">
      <c r="A299" s="200"/>
      <c r="B299" s="96"/>
      <c r="C299" s="96"/>
      <c r="D299" s="98"/>
      <c r="E299" s="97"/>
      <c r="F299" s="97"/>
      <c r="G299" s="97"/>
      <c r="H299" s="97"/>
      <c r="I299" s="97"/>
      <c r="J299" s="97"/>
    </row>
    <row r="300" s="96" customFormat="true" ht="15.75" hidden="false" customHeight="true" outlineLevel="0" collapsed="false">
      <c r="A300" s="200"/>
      <c r="D300" s="98"/>
      <c r="E300" s="97"/>
      <c r="F300" s="97"/>
      <c r="G300" s="97"/>
      <c r="H300" s="97"/>
      <c r="I300" s="191"/>
      <c r="J300" s="199"/>
    </row>
    <row r="301" s="96" customFormat="true" ht="15.75" hidden="false" customHeight="true" outlineLevel="0" collapsed="false">
      <c r="A301" s="200"/>
      <c r="C301" s="202"/>
      <c r="D301" s="98"/>
      <c r="E301" s="97"/>
      <c r="F301" s="97"/>
      <c r="G301" s="97"/>
      <c r="H301" s="97"/>
      <c r="I301" s="189"/>
      <c r="J301" s="190"/>
    </row>
    <row r="302" s="96" customFormat="true" ht="15.75" hidden="false" customHeight="true" outlineLevel="0" collapsed="false">
      <c r="A302" s="200"/>
      <c r="C302" s="184" t="s">
        <v>477</v>
      </c>
      <c r="D302" s="98"/>
      <c r="E302" s="97"/>
      <c r="F302" s="97"/>
      <c r="G302" s="97"/>
      <c r="H302" s="97"/>
      <c r="I302" s="196"/>
      <c r="J302" s="196"/>
    </row>
    <row r="303" s="96" customFormat="true" ht="15.75" hidden="false" customHeight="true" outlineLevel="0" collapsed="false">
      <c r="A303" s="200"/>
      <c r="C303" s="83" t="s">
        <v>546</v>
      </c>
      <c r="D303" s="98"/>
      <c r="E303" s="97"/>
      <c r="F303" s="97"/>
      <c r="G303" s="191"/>
      <c r="H303" s="191"/>
      <c r="I303" s="196"/>
      <c r="J303" s="196"/>
    </row>
    <row r="304" s="96" customFormat="true" ht="15.75" hidden="false" customHeight="true" outlineLevel="0" collapsed="false">
      <c r="A304" s="200"/>
      <c r="C304" s="181" t="s">
        <v>547</v>
      </c>
      <c r="D304" s="181"/>
      <c r="E304" s="181"/>
      <c r="F304" s="97"/>
      <c r="G304" s="190"/>
      <c r="H304" s="189"/>
      <c r="I304" s="97"/>
      <c r="J304" s="196"/>
    </row>
    <row r="305" s="96" customFormat="true" ht="15.75" hidden="false" customHeight="true" outlineLevel="0" collapsed="false">
      <c r="A305" s="107"/>
      <c r="C305" s="181" t="s">
        <v>478</v>
      </c>
      <c r="D305" s="181"/>
      <c r="E305" s="181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191"/>
      <c r="B306" s="191"/>
      <c r="C306" s="181" t="s">
        <v>479</v>
      </c>
      <c r="D306" s="203"/>
      <c r="E306" s="204"/>
      <c r="F306" s="191"/>
      <c r="G306" s="97"/>
      <c r="H306" s="97"/>
      <c r="I306" s="97"/>
      <c r="J306" s="196"/>
    </row>
    <row r="307" s="96" customFormat="true" ht="15.75" hidden="false" customHeight="true" outlineLevel="0" collapsed="false">
      <c r="A307" s="190"/>
      <c r="B307" s="190"/>
      <c r="C307" s="185" t="n">
        <f aca="false">$I$146</f>
        <v>130.5</v>
      </c>
      <c r="D307" s="205"/>
      <c r="E307" s="206"/>
      <c r="F307" s="189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187" t="n">
        <f aca="false">$J$146</f>
        <v>6</v>
      </c>
      <c r="D308" s="98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5" t="n">
        <f aca="false">$I$147</f>
        <v>358</v>
      </c>
      <c r="D309" s="98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7" t="n">
        <f aca="false">$J$147</f>
        <v>6</v>
      </c>
      <c r="D310" s="98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C311" s="184"/>
      <c r="D311" s="98"/>
      <c r="E311" s="97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C312" s="181"/>
      <c r="D312" s="181"/>
      <c r="E312" s="181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200"/>
      <c r="B313" s="49"/>
      <c r="C313" s="49"/>
      <c r="D313" s="207"/>
      <c r="E313" s="200"/>
      <c r="F313" s="200"/>
      <c r="G313" s="200"/>
      <c r="H313" s="200"/>
      <c r="I313" s="200"/>
      <c r="J313" s="92" t="str">
        <f aca="false">LEFT($J$111,10)&amp;"-03"</f>
        <v>FG-240-3PL-03</v>
      </c>
    </row>
    <row r="314" customFormat="false" ht="12.75" hidden="false" customHeight="true" outlineLevel="0" collapsed="false">
      <c r="A314" s="97"/>
      <c r="B314" s="96"/>
      <c r="C314" s="96"/>
      <c r="D314" s="98"/>
      <c r="E314" s="97"/>
      <c r="F314" s="97"/>
      <c r="G314" s="97"/>
      <c r="H314" s="97"/>
      <c r="I314" s="208"/>
      <c r="J314" s="208"/>
    </row>
    <row r="315" customFormat="false" ht="30" hidden="false" customHeight="true" outlineLevel="0" collapsed="false">
      <c r="C315" s="75"/>
      <c r="D315" s="76"/>
      <c r="E315" s="76"/>
      <c r="F315" s="76"/>
      <c r="G315" s="76"/>
      <c r="H315" s="76"/>
      <c r="I315" s="76"/>
      <c r="J315" s="77" t="str">
        <f aca="false">$J$2</f>
        <v>HOMELIFE</v>
      </c>
      <c r="K315" s="83"/>
      <c r="L315" s="83"/>
      <c r="M315" s="79"/>
      <c r="N315" s="79"/>
    </row>
    <row r="316" customFormat="false" ht="24.75" hidden="false" customHeight="true" outlineLevel="0" collapsed="false">
      <c r="C316" s="82"/>
      <c r="D316" s="82"/>
      <c r="E316" s="82"/>
      <c r="F316" s="82"/>
      <c r="G316" s="82"/>
      <c r="H316" s="82"/>
      <c r="I316" s="82"/>
      <c r="J316" s="80" t="str">
        <f aca="false">$J$3</f>
        <v>Fabricators Guide</v>
      </c>
      <c r="K316" s="83"/>
      <c r="L316" s="83"/>
      <c r="M316" s="79"/>
      <c r="N316" s="79"/>
    </row>
    <row r="317" customFormat="false" ht="24.75" hidden="false" customHeight="true" outlineLevel="0" collapsed="false">
      <c r="B317" s="81"/>
      <c r="C317" s="82"/>
      <c r="D317" s="82"/>
      <c r="E317" s="82"/>
      <c r="F317" s="82"/>
      <c r="G317" s="82"/>
      <c r="H317" s="82"/>
      <c r="I317" s="82"/>
      <c r="J317" s="80" t="str">
        <f aca="false">$J$4</f>
        <v>240 Series Bi Fold Door </v>
      </c>
      <c r="M317" s="87"/>
      <c r="N317" s="87"/>
    </row>
    <row r="318" customFormat="false" ht="15" hidden="false" customHeight="true" outlineLevel="0" collapsed="false"/>
    <row r="319" customFormat="false" ht="24.75" hidden="false" customHeight="true" outlineLevel="0" collapsed="false">
      <c r="A319" s="88" t="s">
        <v>480</v>
      </c>
      <c r="B319" s="88"/>
      <c r="C319" s="88"/>
      <c r="D319" s="88"/>
      <c r="E319" s="88"/>
      <c r="F319" s="88"/>
      <c r="G319" s="88"/>
      <c r="H319" s="88"/>
      <c r="I319" s="88"/>
      <c r="J319" s="88"/>
    </row>
    <row r="320" s="96" customFormat="true" ht="15" hidden="false" customHeight="true" outlineLevel="0" collapsed="false">
      <c r="A320" s="188"/>
      <c r="B320" s="81"/>
      <c r="D320" s="98"/>
      <c r="E320" s="83"/>
      <c r="F320" s="183"/>
      <c r="G320" s="183"/>
      <c r="H320" s="183"/>
      <c r="I320" s="183"/>
      <c r="J320" s="99"/>
    </row>
    <row r="321" s="96" customFormat="true" ht="15" hidden="false" customHeight="true" outlineLevel="0" collapsed="false">
      <c r="A321" s="188"/>
      <c r="B321" s="81"/>
      <c r="D321" s="98"/>
      <c r="E321" s="83"/>
      <c r="F321" s="183"/>
      <c r="G321" s="183"/>
      <c r="H321" s="183"/>
      <c r="I321" s="183"/>
      <c r="J321" s="99"/>
    </row>
    <row r="322" s="96" customFormat="true" ht="15" hidden="false" customHeight="true" outlineLevel="0" collapsed="false">
      <c r="A322" s="97"/>
      <c r="D322" s="98"/>
      <c r="E322" s="83"/>
      <c r="F322" s="98"/>
      <c r="G322" s="83"/>
      <c r="H322" s="83"/>
      <c r="I322" s="83"/>
      <c r="J322" s="97"/>
    </row>
    <row r="323" s="96" customFormat="true" ht="15" hidden="false" customHeight="true" outlineLevel="0" collapsed="false">
      <c r="A323" s="97"/>
      <c r="C323" s="98"/>
      <c r="D323" s="98"/>
      <c r="E323" s="83"/>
      <c r="F323" s="98"/>
      <c r="G323" s="97"/>
      <c r="H323" s="83"/>
      <c r="I323" s="97"/>
      <c r="J323" s="97"/>
    </row>
    <row r="324" s="96" customFormat="true" ht="15" hidden="false" customHeight="true" outlineLevel="0" collapsed="false">
      <c r="A324" s="97"/>
      <c r="C324" s="98"/>
      <c r="D324" s="98"/>
      <c r="E324" s="83"/>
      <c r="F324" s="98"/>
      <c r="G324" s="97"/>
      <c r="H324" s="83"/>
      <c r="I324" s="97"/>
      <c r="J324" s="97"/>
    </row>
    <row r="325" s="96" customFormat="true" ht="15" hidden="false" customHeight="true" outlineLevel="0" collapsed="false">
      <c r="A325" s="97"/>
      <c r="C325" s="98"/>
      <c r="D325" s="98"/>
      <c r="E325" s="83"/>
      <c r="F325" s="98"/>
      <c r="G325" s="97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97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83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182"/>
      <c r="D329" s="98"/>
      <c r="E329" s="97"/>
      <c r="F329" s="209"/>
      <c r="G329" s="209"/>
      <c r="H329" s="110"/>
      <c r="I329" s="182"/>
      <c r="J329" s="97"/>
    </row>
    <row r="330" s="96" customFormat="true" ht="15" hidden="false" customHeight="true" outlineLevel="0" collapsed="false">
      <c r="A330" s="99"/>
      <c r="B330" s="99"/>
      <c r="C330" s="98"/>
      <c r="D330" s="98"/>
      <c r="E330" s="97"/>
      <c r="F330" s="110"/>
      <c r="G330" s="110"/>
      <c r="H330" s="110"/>
      <c r="I330" s="98"/>
      <c r="J330" s="97"/>
    </row>
    <row r="331" s="96" customFormat="true" ht="15" hidden="false" customHeight="true" outlineLevel="0" collapsed="false">
      <c r="A331" s="211" t="str">
        <f aca="false">A18</f>
        <v>240-3 Panel (L)</v>
      </c>
      <c r="B331" s="99"/>
      <c r="C331" s="98"/>
      <c r="D331" s="98"/>
      <c r="E331" s="97"/>
      <c r="F331" s="110"/>
      <c r="G331" s="110"/>
      <c r="H331" s="110"/>
      <c r="I331" s="97"/>
      <c r="J331" s="97"/>
    </row>
    <row r="332" s="96" customFormat="true" ht="15" hidden="false" customHeight="true" outlineLevel="0" collapsed="false">
      <c r="A332" s="90" t="str">
        <f aca="false">A19</f>
        <v>Outside Bi Fold Door </v>
      </c>
      <c r="B332" s="188"/>
      <c r="C332" s="182"/>
      <c r="D332" s="98"/>
      <c r="E332" s="97"/>
      <c r="F332" s="210"/>
      <c r="G332" s="210"/>
      <c r="H332" s="110"/>
      <c r="I332" s="97"/>
      <c r="J332" s="97"/>
    </row>
    <row r="333" s="96" customFormat="true" ht="15.75" hidden="false" customHeight="true" outlineLevel="0" collapsed="false">
      <c r="A333" s="97"/>
      <c r="B333" s="97"/>
      <c r="C333" s="98"/>
      <c r="D333" s="98"/>
      <c r="E333" s="97"/>
      <c r="F333" s="78"/>
      <c r="H333" s="97"/>
      <c r="I333" s="97"/>
      <c r="J333" s="97"/>
    </row>
    <row r="334" s="96" customFormat="true" ht="15.75" hidden="false" customHeight="true" outlineLevel="0" collapsed="false">
      <c r="A334" s="81"/>
      <c r="C334" s="212"/>
      <c r="D334" s="98"/>
      <c r="E334" s="97"/>
      <c r="F334" s="97"/>
      <c r="G334" s="97"/>
      <c r="H334" s="97"/>
      <c r="I334" s="97"/>
      <c r="J334" s="97"/>
    </row>
    <row r="335" s="96" customFormat="true" ht="15.75" hidden="false" customHeight="true" outlineLevel="0" collapsed="false">
      <c r="A335" s="191"/>
      <c r="C335" s="191"/>
      <c r="D335" s="192"/>
      <c r="E335" s="191"/>
      <c r="F335" s="191"/>
      <c r="G335" s="191"/>
      <c r="H335" s="191"/>
      <c r="I335" s="191"/>
      <c r="J335" s="199"/>
    </row>
    <row r="336" s="96" customFormat="true" ht="15.75" hidden="false" customHeight="true" outlineLevel="0" collapsed="false">
      <c r="A336" s="190"/>
      <c r="C336" s="98"/>
      <c r="D336" s="194"/>
      <c r="E336" s="190"/>
      <c r="F336" s="189"/>
      <c r="G336" s="190"/>
      <c r="H336" s="189"/>
      <c r="I336" s="189"/>
      <c r="J336" s="190"/>
    </row>
    <row r="337" s="96" customFormat="true" ht="15.75" hidden="false" customHeight="true" outlineLevel="0" collapsed="false">
      <c r="A337" s="97"/>
      <c r="C337" s="98"/>
      <c r="D337" s="98"/>
      <c r="E337" s="97"/>
      <c r="F337" s="98"/>
      <c r="G337" s="97"/>
      <c r="H337" s="97"/>
      <c r="I337" s="196"/>
      <c r="J337" s="196"/>
    </row>
    <row r="338" s="96" customFormat="true" ht="15.75" hidden="false" customHeight="true" outlineLevel="0" collapsed="false">
      <c r="A338" s="97"/>
      <c r="C338" s="98"/>
      <c r="D338" s="98"/>
      <c r="E338" s="97"/>
      <c r="F338" s="98"/>
      <c r="G338" s="97"/>
      <c r="H338" s="97"/>
      <c r="I338" s="196"/>
      <c r="J338" s="196"/>
    </row>
    <row r="339" s="96" customFormat="true" ht="15.75" hidden="false" customHeight="true" outlineLevel="0" collapsed="false">
      <c r="A339" s="97"/>
      <c r="C339" s="191"/>
      <c r="D339" s="98"/>
      <c r="E339" s="97"/>
      <c r="F339" s="98"/>
      <c r="G339" s="97"/>
      <c r="H339" s="201"/>
      <c r="I339" s="201"/>
      <c r="J339" s="201"/>
    </row>
    <row r="340" s="96" customFormat="true" ht="15.75" hidden="false" customHeight="true" outlineLevel="0" collapsed="false">
      <c r="A340" s="97"/>
      <c r="C340" s="182"/>
      <c r="D340" s="98"/>
      <c r="E340" s="97"/>
      <c r="F340" s="98"/>
      <c r="G340" s="97"/>
      <c r="H340" s="98"/>
      <c r="I340" s="98"/>
      <c r="J340" s="98"/>
    </row>
    <row r="341" s="96" customFormat="true" ht="15.75" hidden="false" customHeight="true" outlineLevel="0" collapsed="false">
      <c r="A341" s="97"/>
      <c r="C341" s="98"/>
      <c r="D341" s="98"/>
      <c r="E341" s="97"/>
      <c r="F341" s="98"/>
      <c r="G341" s="97"/>
      <c r="H341" s="98"/>
      <c r="I341" s="98"/>
      <c r="J341" s="98"/>
    </row>
    <row r="342" s="96" customFormat="true" ht="15.75" hidden="false" customHeight="true" outlineLevel="0" collapsed="false">
      <c r="A342" s="97"/>
      <c r="C342" s="98"/>
      <c r="D342" s="98"/>
      <c r="E342" s="97"/>
      <c r="F342" s="98"/>
      <c r="G342" s="97"/>
      <c r="H342" s="97"/>
      <c r="I342" s="97"/>
      <c r="J342" s="196"/>
    </row>
    <row r="343" s="96" customFormat="true" ht="15.75" hidden="false" customHeight="true" outlineLevel="0" collapsed="false">
      <c r="A343" s="97"/>
      <c r="D343" s="98"/>
      <c r="E343" s="97"/>
      <c r="F343" s="98"/>
      <c r="G343" s="97"/>
      <c r="H343" s="97"/>
      <c r="I343" s="196"/>
      <c r="J343" s="196"/>
    </row>
    <row r="344" s="96" customFormat="true" ht="15.75" hidden="false" customHeight="true" outlineLevel="0" collapsed="false">
      <c r="A344" s="97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C346" s="191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C347" s="98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98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97"/>
      <c r="J349" s="196"/>
    </row>
    <row r="350" s="96" customFormat="true" ht="15.75" hidden="false" customHeight="true" outlineLevel="0" collapsed="false">
      <c r="A350" s="97"/>
      <c r="D350" s="98"/>
      <c r="E350" s="97"/>
      <c r="F350" s="97"/>
      <c r="G350" s="97"/>
      <c r="H350" s="97"/>
      <c r="I350" s="196"/>
      <c r="J350" s="196"/>
    </row>
    <row r="351" s="96" customFormat="true" ht="15.75" hidden="false" customHeight="true" outlineLevel="0" collapsed="false">
      <c r="A351" s="97"/>
      <c r="D351" s="98"/>
      <c r="E351" s="97"/>
      <c r="F351" s="97"/>
      <c r="G351" s="97"/>
      <c r="H351" s="195"/>
      <c r="I351" s="196"/>
      <c r="J351" s="196"/>
    </row>
    <row r="352" s="96" customFormat="true" ht="1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202" customFormat="true" ht="15.75" hidden="false" customHeight="true" outlineLevel="0" collapsed="false">
      <c r="A353" s="97"/>
      <c r="B353" s="96"/>
      <c r="C353" s="96"/>
      <c r="D353" s="98"/>
      <c r="E353" s="97"/>
      <c r="F353" s="97"/>
      <c r="G353" s="97"/>
      <c r="H353" s="97"/>
      <c r="I353" s="97"/>
      <c r="J353" s="97"/>
    </row>
    <row r="354" s="96" customFormat="true" ht="15.75" hidden="false" customHeight="true" outlineLevel="0" collapsed="false">
      <c r="A354" s="191"/>
      <c r="B354" s="191"/>
      <c r="C354" s="191"/>
      <c r="D354" s="192"/>
      <c r="E354" s="191"/>
      <c r="F354" s="191"/>
      <c r="G354" s="191"/>
      <c r="H354" s="191"/>
      <c r="I354" s="191"/>
      <c r="J354" s="199"/>
    </row>
    <row r="355" s="96" customFormat="true" ht="15.75" hidden="false" customHeight="true" outlineLevel="0" collapsed="false">
      <c r="A355" s="190"/>
      <c r="B355" s="190"/>
      <c r="C355" s="191"/>
      <c r="D355" s="194"/>
      <c r="E355" s="190"/>
      <c r="F355" s="189"/>
      <c r="G355" s="190"/>
      <c r="H355" s="189"/>
      <c r="I355" s="189"/>
      <c r="J355" s="190"/>
    </row>
    <row r="356" s="96" customFormat="true" ht="15.75" hidden="false" customHeight="true" outlineLevel="0" collapsed="false">
      <c r="A356" s="200"/>
      <c r="C356" s="182"/>
      <c r="D356" s="98"/>
      <c r="E356" s="97"/>
      <c r="F356" s="97"/>
      <c r="G356" s="97"/>
      <c r="H356" s="182"/>
      <c r="I356" s="196"/>
      <c r="J356" s="196"/>
    </row>
    <row r="357" s="96" customFormat="true" ht="15.75" hidden="false" customHeight="true" outlineLevel="0" collapsed="false">
      <c r="A357" s="200"/>
      <c r="C357" s="98"/>
      <c r="D357" s="98"/>
      <c r="E357" s="97"/>
      <c r="F357" s="97"/>
      <c r="G357" s="97"/>
      <c r="H357" s="98"/>
      <c r="I357" s="98"/>
      <c r="J357" s="98"/>
    </row>
    <row r="358" s="96" customFormat="true" ht="15.75" hidden="false" customHeight="true" outlineLevel="0" collapsed="false">
      <c r="A358" s="200"/>
      <c r="C358" s="98"/>
      <c r="D358" s="98"/>
      <c r="E358" s="97"/>
      <c r="F358" s="97"/>
      <c r="G358" s="97"/>
      <c r="H358" s="98"/>
      <c r="I358" s="98"/>
      <c r="J358" s="98"/>
    </row>
    <row r="359" s="96" customFormat="true" ht="15.75" hidden="false" customHeight="true" outlineLevel="0" collapsed="false">
      <c r="A359" s="200"/>
      <c r="D359" s="98"/>
      <c r="E359" s="97"/>
      <c r="F359" s="97"/>
      <c r="G359" s="97"/>
      <c r="H359" s="97"/>
      <c r="I359" s="196"/>
      <c r="J359" s="196"/>
    </row>
    <row r="360" s="96" customFormat="true" ht="15.75" hidden="false" customHeight="true" outlineLevel="0" collapsed="false">
      <c r="A360" s="200"/>
      <c r="D360" s="98"/>
      <c r="E360" s="97"/>
      <c r="F360" s="97"/>
      <c r="G360" s="97"/>
      <c r="H360" s="97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C362" s="98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G372" s="97"/>
      <c r="H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182"/>
      <c r="I374" s="196"/>
      <c r="J374" s="196"/>
    </row>
    <row r="375" s="96" customFormat="true" ht="15.75" hidden="false" customHeight="true" outlineLevel="0" collapsed="false">
      <c r="A375" s="200"/>
      <c r="C375" s="188"/>
      <c r="D375" s="98"/>
      <c r="E375" s="97"/>
      <c r="F375" s="97"/>
      <c r="G375" s="97"/>
      <c r="H375" s="98"/>
      <c r="I375" s="98"/>
      <c r="J375" s="98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98"/>
      <c r="I376" s="98"/>
      <c r="J376" s="98"/>
    </row>
    <row r="377" s="96" customFormat="true" ht="15.75" hidden="false" customHeight="true" outlineLevel="0" collapsed="false">
      <c r="A377" s="200"/>
      <c r="C377" s="98"/>
      <c r="D377" s="98"/>
      <c r="E377" s="97"/>
      <c r="F377" s="97"/>
      <c r="G377" s="97"/>
      <c r="H377" s="182"/>
      <c r="I377" s="196"/>
      <c r="J377" s="196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98"/>
      <c r="J378" s="98"/>
    </row>
    <row r="379" s="96" customFormat="true" ht="15.75" hidden="false" customHeight="true" outlineLevel="0" collapsed="false">
      <c r="A379" s="200"/>
      <c r="D379" s="98"/>
      <c r="E379" s="97"/>
      <c r="F379" s="97"/>
      <c r="G379" s="97"/>
      <c r="H379" s="98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7"/>
      <c r="I380" s="196"/>
      <c r="J380" s="196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7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97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213"/>
      <c r="I387" s="213"/>
      <c r="J387" s="213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97"/>
      <c r="J388" s="97"/>
    </row>
    <row r="389" s="96" customFormat="true" ht="15.75" hidden="false" customHeight="true" outlineLevel="0" collapsed="false">
      <c r="A389" s="200"/>
      <c r="C389" s="188"/>
      <c r="D389" s="98"/>
      <c r="E389" s="97"/>
      <c r="F389" s="97"/>
      <c r="G389" s="97"/>
      <c r="H389" s="98"/>
      <c r="I389" s="98"/>
      <c r="J389" s="98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196"/>
      <c r="J390" s="196"/>
    </row>
    <row r="391" s="96" customFormat="true" ht="15.75" hidden="false" customHeight="true" outlineLevel="0" collapsed="false">
      <c r="A391" s="200"/>
      <c r="C391" s="98"/>
      <c r="D391" s="98"/>
      <c r="E391" s="97"/>
      <c r="F391" s="97"/>
      <c r="G391" s="97"/>
      <c r="H391" s="97"/>
      <c r="I391" s="97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196"/>
      <c r="J392" s="196"/>
    </row>
    <row r="393" s="96" customFormat="true" ht="15.75" hidden="false" customHeight="true" outlineLevel="0" collapsed="false">
      <c r="A393" s="200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107"/>
      <c r="D395" s="98"/>
      <c r="E395" s="97"/>
      <c r="F395" s="97"/>
      <c r="G395" s="97"/>
      <c r="H395" s="97"/>
      <c r="I395" s="97"/>
      <c r="J395" s="97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202" customFormat="true" ht="15.75" hidden="false" customHeight="true" outlineLevel="0" collapsed="false">
      <c r="A403" s="107"/>
      <c r="B403" s="96"/>
      <c r="C403" s="96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91"/>
      <c r="B405" s="191"/>
      <c r="C405" s="191"/>
      <c r="D405" s="192"/>
      <c r="E405" s="191"/>
      <c r="F405" s="191"/>
      <c r="G405" s="191"/>
      <c r="H405" s="191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97"/>
      <c r="D418" s="98"/>
      <c r="E418" s="97"/>
      <c r="F418" s="97"/>
      <c r="G418" s="97"/>
      <c r="H418" s="97"/>
      <c r="I418" s="196"/>
      <c r="J418" s="196"/>
      <c r="K418" s="214"/>
    </row>
    <row r="419" s="96" customFormat="true" ht="15.75" hidden="false" customHeight="true" outlineLevel="0" collapsed="false">
      <c r="A419" s="97"/>
      <c r="D419" s="98"/>
      <c r="E419" s="97"/>
      <c r="F419" s="97"/>
      <c r="G419" s="97"/>
      <c r="H419" s="97"/>
      <c r="I419" s="196"/>
    </row>
    <row r="420" customFormat="false" ht="18" hidden="false" customHeight="true" outlineLevel="0" collapsed="false">
      <c r="A420" s="97"/>
      <c r="B420" s="96"/>
      <c r="C420" s="96"/>
      <c r="D420" s="98"/>
      <c r="E420" s="97"/>
      <c r="F420" s="97"/>
      <c r="G420" s="97"/>
      <c r="H420" s="97"/>
      <c r="I420" s="97"/>
      <c r="J420" s="92" t="str">
        <f aca="false">LEFT($J$111,10)&amp;"-04"</f>
        <v>FG-240-3PL-04</v>
      </c>
      <c r="K420" s="78"/>
      <c r="L420" s="78"/>
      <c r="M420" s="79"/>
      <c r="N420" s="79"/>
    </row>
    <row r="421" customFormat="false" ht="12.75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215"/>
      <c r="K421" s="78"/>
      <c r="L421" s="78"/>
      <c r="M421" s="79"/>
      <c r="N421" s="79"/>
    </row>
    <row r="422" customFormat="false" ht="30" hidden="false" customHeight="true" outlineLevel="0" collapsed="false">
      <c r="C422" s="75"/>
      <c r="D422" s="76"/>
      <c r="E422" s="76"/>
      <c r="F422" s="76"/>
      <c r="G422" s="76"/>
      <c r="H422" s="76"/>
      <c r="I422" s="76"/>
      <c r="J422" s="77" t="str">
        <f aca="false">J2</f>
        <v>HOMELIFE</v>
      </c>
      <c r="K422" s="83"/>
      <c r="L422" s="83"/>
      <c r="M422" s="79"/>
      <c r="N422" s="79"/>
    </row>
    <row r="423" customFormat="false" ht="24.75" hidden="false" customHeight="true" outlineLevel="0" collapsed="false">
      <c r="C423" s="82"/>
      <c r="D423" s="82"/>
      <c r="E423" s="82"/>
      <c r="F423" s="82"/>
      <c r="G423" s="82"/>
      <c r="H423" s="82"/>
      <c r="I423" s="82"/>
      <c r="J423" s="80" t="str">
        <f aca="false">J3</f>
        <v>Fabricators Guide</v>
      </c>
      <c r="K423" s="83"/>
      <c r="L423" s="83"/>
      <c r="M423" s="79"/>
      <c r="N423" s="79"/>
    </row>
    <row r="424" customFormat="false" ht="24.75" hidden="false" customHeight="true" outlineLevel="0" collapsed="false">
      <c r="B424" s="81"/>
      <c r="C424" s="82"/>
      <c r="D424" s="82"/>
      <c r="E424" s="82"/>
      <c r="F424" s="82"/>
      <c r="G424" s="82"/>
      <c r="H424" s="82"/>
      <c r="I424" s="82"/>
      <c r="J424" s="80" t="str">
        <f aca="false">J4</f>
        <v>240 Series Bi Fold Door </v>
      </c>
      <c r="M424" s="87"/>
      <c r="N424" s="87"/>
    </row>
    <row r="425" s="96" customFormat="true" ht="15" hidden="false" customHeight="true" outlineLevel="0" collapsed="false">
      <c r="A425" s="84"/>
      <c r="B425" s="84"/>
      <c r="C425" s="84"/>
      <c r="D425" s="85"/>
      <c r="E425" s="84"/>
      <c r="F425" s="84"/>
      <c r="G425" s="84"/>
      <c r="H425" s="84"/>
      <c r="I425" s="84"/>
      <c r="J425" s="86"/>
      <c r="K425" s="87"/>
      <c r="L425" s="87"/>
      <c r="M425" s="87"/>
      <c r="N425" s="87"/>
    </row>
    <row r="426" s="96" customFormat="true" ht="24.75" hidden="false" customHeight="true" outlineLevel="0" collapsed="false">
      <c r="A426" s="88" t="s">
        <v>481</v>
      </c>
      <c r="B426" s="88"/>
      <c r="C426" s="88"/>
      <c r="D426" s="88"/>
      <c r="E426" s="88"/>
      <c r="F426" s="88"/>
      <c r="G426" s="88"/>
      <c r="H426" s="88"/>
      <c r="I426" s="88"/>
      <c r="J426" s="88"/>
    </row>
    <row r="427" s="96" customFormat="true" ht="15" hidden="false" customHeight="true" outlineLevel="0" collapsed="false">
      <c r="A427" s="188"/>
      <c r="B427" s="81"/>
      <c r="D427" s="98"/>
      <c r="E427" s="83"/>
      <c r="F427" s="81"/>
      <c r="H427" s="191"/>
      <c r="I427" s="191"/>
      <c r="J427" s="199"/>
    </row>
    <row r="428" s="96" customFormat="true" ht="15" hidden="false" customHeight="true" outlineLevel="0" collapsed="false">
      <c r="A428" s="97"/>
      <c r="D428" s="98"/>
      <c r="E428" s="83"/>
      <c r="F428" s="98"/>
      <c r="H428" s="191"/>
      <c r="I428" s="191"/>
      <c r="J428" s="199"/>
    </row>
    <row r="429" s="96" customFormat="true" ht="15" hidden="false" customHeight="true" outlineLevel="0" collapsed="false">
      <c r="A429" s="97"/>
      <c r="D429" s="98"/>
      <c r="E429" s="83"/>
      <c r="F429" s="98"/>
      <c r="H429" s="191"/>
      <c r="I429" s="191"/>
      <c r="J429" s="199"/>
    </row>
    <row r="430" s="96" customFormat="true" ht="15" hidden="false" customHeight="true" outlineLevel="0" collapsed="false">
      <c r="A430" s="97"/>
      <c r="C430" s="98"/>
      <c r="D430" s="98"/>
      <c r="E430" s="97"/>
      <c r="F430" s="98"/>
      <c r="H430" s="191"/>
      <c r="I430" s="191"/>
      <c r="J430" s="199"/>
    </row>
    <row r="431" s="96" customFormat="true" ht="15" hidden="false" customHeight="true" outlineLevel="0" collapsed="false">
      <c r="A431" s="97"/>
      <c r="C431" s="98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C432" s="98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182"/>
      <c r="D433" s="98"/>
      <c r="E433" s="97"/>
      <c r="F433" s="216"/>
      <c r="H433" s="191"/>
      <c r="I433" s="191"/>
      <c r="J433" s="199"/>
    </row>
    <row r="434" s="96" customFormat="true" ht="15" hidden="false" customHeight="true" outlineLevel="0" collapsed="false">
      <c r="A434" s="81"/>
      <c r="B434" s="81"/>
      <c r="C434" s="98"/>
      <c r="D434" s="98"/>
      <c r="E434" s="97"/>
      <c r="F434" s="186"/>
      <c r="H434" s="191"/>
      <c r="I434" s="191"/>
      <c r="J434" s="199"/>
    </row>
    <row r="435" s="96" customFormat="true" ht="15" hidden="false" customHeight="true" outlineLevel="0" collapsed="false">
      <c r="A435" s="99"/>
      <c r="B435" s="99"/>
      <c r="C435" s="98"/>
      <c r="D435" s="98"/>
      <c r="E435" s="97"/>
      <c r="F435" s="110"/>
      <c r="H435" s="191"/>
      <c r="I435" s="191"/>
      <c r="J435" s="199"/>
    </row>
    <row r="436" s="96" customFormat="true" ht="15" hidden="false" customHeight="true" outlineLevel="0" collapsed="false">
      <c r="B436" s="99"/>
      <c r="C436" s="98"/>
      <c r="D436" s="98"/>
      <c r="E436" s="97"/>
      <c r="F436" s="110"/>
      <c r="H436" s="191"/>
      <c r="I436" s="191"/>
      <c r="J436" s="199"/>
    </row>
    <row r="437" s="96" customFormat="true" ht="15" hidden="false" customHeight="true" outlineLevel="0" collapsed="false">
      <c r="A437" s="211" t="str">
        <f aca="false">A18</f>
        <v>240-3 Panel (L)</v>
      </c>
      <c r="C437" s="182"/>
      <c r="D437" s="98"/>
      <c r="E437" s="97"/>
      <c r="F437" s="186"/>
      <c r="H437" s="191"/>
      <c r="I437" s="191"/>
      <c r="J437" s="199"/>
    </row>
    <row r="438" s="96" customFormat="true" ht="15.75" hidden="false" customHeight="true" outlineLevel="0" collapsed="false">
      <c r="A438" s="90" t="str">
        <f aca="false">A19</f>
        <v>Outside Bi Fold Door </v>
      </c>
      <c r="C438" s="98"/>
      <c r="D438" s="98"/>
      <c r="E438" s="97"/>
      <c r="F438" s="78"/>
      <c r="H438" s="191"/>
      <c r="I438" s="191"/>
      <c r="J438" s="199"/>
    </row>
    <row r="439" s="96" customFormat="true" ht="15.75" hidden="false" customHeight="true" outlineLevel="0" collapsed="false">
      <c r="A439" s="81"/>
      <c r="C439" s="212"/>
      <c r="D439" s="98"/>
      <c r="E439" s="97"/>
      <c r="F439" s="97"/>
      <c r="H439" s="191"/>
      <c r="I439" s="191"/>
      <c r="J439" s="199"/>
    </row>
    <row r="440" s="96" customFormat="true" ht="15.75" hidden="false" customHeight="true" outlineLevel="0" collapsed="false">
      <c r="A440" s="191"/>
      <c r="C440" s="191"/>
      <c r="D440" s="192"/>
      <c r="E440" s="191"/>
      <c r="F440" s="191"/>
      <c r="H440" s="191"/>
      <c r="I440" s="191"/>
      <c r="J440" s="199"/>
    </row>
    <row r="441" s="96" customFormat="true" ht="15.75" hidden="false" customHeight="true" outlineLevel="0" collapsed="false">
      <c r="A441" s="190"/>
      <c r="C441" s="98"/>
      <c r="D441" s="194"/>
      <c r="E441" s="190"/>
      <c r="F441" s="189"/>
      <c r="H441" s="191"/>
      <c r="I441" s="191"/>
      <c r="J441" s="199"/>
    </row>
    <row r="447" s="96" customFormat="true" ht="15.75" hidden="false" customHeight="true" outlineLevel="0" collapsed="false">
      <c r="A447" s="97"/>
      <c r="D447" s="98"/>
      <c r="E447" s="97"/>
      <c r="F447" s="98"/>
      <c r="G447" s="97"/>
      <c r="H447" s="97"/>
      <c r="I447" s="196"/>
      <c r="J447" s="196"/>
    </row>
    <row r="448" s="96" customFormat="true" ht="15.75" hidden="false" customHeight="true" outlineLevel="0" collapsed="false">
      <c r="A448" s="97"/>
      <c r="D448" s="98"/>
      <c r="E448" s="97"/>
      <c r="F448" s="98"/>
      <c r="G448" s="97"/>
      <c r="H448" s="97"/>
      <c r="I448" s="196"/>
      <c r="J448" s="196"/>
    </row>
    <row r="449" s="96" customFormat="true" ht="15.75" hidden="false" customHeight="true" outlineLevel="0" collapsed="false">
      <c r="A449" s="97"/>
      <c r="D449" s="98"/>
      <c r="E449" s="97"/>
      <c r="F449" s="98"/>
      <c r="G449" s="97"/>
      <c r="H449" s="97"/>
      <c r="I449" s="196"/>
      <c r="J449" s="196"/>
    </row>
    <row r="450" s="96" customFormat="true" ht="15.75" hidden="false" customHeight="true" outlineLevel="0" collapsed="false">
      <c r="A450" s="97"/>
      <c r="C450" s="191"/>
      <c r="D450" s="98"/>
      <c r="E450" s="97"/>
      <c r="F450" s="98"/>
      <c r="G450" s="97"/>
      <c r="H450" s="97"/>
      <c r="I450" s="196"/>
      <c r="J450" s="196"/>
    </row>
    <row r="451" s="96" customFormat="true" ht="15.75" hidden="false" customHeight="true" outlineLevel="0" collapsed="false">
      <c r="A451" s="97"/>
      <c r="C451" s="98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C452" s="98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C453" s="98"/>
      <c r="D453" s="98"/>
      <c r="E453" s="97"/>
      <c r="F453" s="98"/>
      <c r="G453" s="97"/>
      <c r="H453" s="97"/>
      <c r="I453" s="97"/>
      <c r="J453" s="196"/>
    </row>
    <row r="454" s="96" customFormat="true" ht="15.75" hidden="false" customHeight="true" outlineLevel="0" collapsed="false">
      <c r="A454" s="97"/>
      <c r="D454" s="98"/>
      <c r="E454" s="97"/>
      <c r="F454" s="97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D455" s="98"/>
      <c r="E455" s="97"/>
      <c r="F455" s="97"/>
      <c r="G455" s="97"/>
      <c r="H455" s="195"/>
      <c r="I455" s="196"/>
      <c r="J455" s="196"/>
    </row>
    <row r="456" s="96" customFormat="true" ht="15" hidden="false" customHeight="true" outlineLevel="0" collapsed="false">
      <c r="A456" s="97"/>
      <c r="D456" s="98"/>
      <c r="E456" s="97"/>
      <c r="F456" s="97"/>
      <c r="G456" s="97"/>
      <c r="H456" s="97"/>
      <c r="I456" s="196"/>
      <c r="J456" s="196"/>
    </row>
    <row r="457" s="96" customFormat="true" ht="15" hidden="false" customHeight="true" outlineLevel="0" collapsed="false">
      <c r="A457" s="97"/>
      <c r="D457" s="98"/>
      <c r="E457" s="97"/>
      <c r="F457" s="97"/>
      <c r="G457" s="97"/>
      <c r="H457" s="97"/>
      <c r="I457" s="196"/>
      <c r="J457" s="196"/>
    </row>
    <row r="458" s="96" customFormat="true" ht="1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97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202" customFormat="true" ht="15.75" hidden="false" customHeight="true" outlineLevel="0" collapsed="false">
      <c r="A474" s="97"/>
      <c r="B474" s="96"/>
      <c r="C474" s="96"/>
      <c r="D474" s="98"/>
      <c r="E474" s="97"/>
      <c r="F474" s="97"/>
      <c r="G474" s="97"/>
      <c r="H474" s="97"/>
      <c r="I474" s="97"/>
      <c r="J474" s="97"/>
    </row>
    <row r="475" s="96" customFormat="true" ht="15.75" hidden="false" customHeight="true" outlineLevel="0" collapsed="false">
      <c r="A475" s="191"/>
      <c r="B475" s="191"/>
      <c r="C475" s="191"/>
      <c r="D475" s="192"/>
      <c r="E475" s="191"/>
      <c r="F475" s="191"/>
      <c r="G475" s="191"/>
      <c r="H475" s="191"/>
      <c r="I475" s="191"/>
      <c r="J475" s="199"/>
    </row>
    <row r="476" s="96" customFormat="true" ht="15.75" hidden="false" customHeight="true" outlineLevel="0" collapsed="false">
      <c r="A476" s="190"/>
      <c r="B476" s="190"/>
      <c r="C476" s="191"/>
      <c r="D476" s="194"/>
      <c r="E476" s="190"/>
      <c r="F476" s="189"/>
      <c r="G476" s="190"/>
      <c r="H476" s="189"/>
      <c r="I476" s="189"/>
      <c r="J476" s="190"/>
    </row>
    <row r="477" s="96" customFormat="true" ht="15.75" hidden="false" customHeight="true" outlineLevel="0" collapsed="false">
      <c r="A477" s="200"/>
      <c r="C477" s="182"/>
      <c r="D477" s="98"/>
      <c r="E477" s="97"/>
      <c r="F477" s="97"/>
      <c r="G477" s="97"/>
      <c r="H477" s="182"/>
      <c r="I477" s="196"/>
      <c r="J477" s="196"/>
    </row>
    <row r="478" s="96" customFormat="true" ht="15.75" hidden="false" customHeight="true" outlineLevel="0" collapsed="false">
      <c r="A478" s="200"/>
      <c r="C478" s="98"/>
      <c r="D478" s="98"/>
      <c r="E478" s="97"/>
      <c r="F478" s="97"/>
      <c r="G478" s="97"/>
      <c r="J478" s="97"/>
    </row>
    <row r="479" s="96" customFormat="true" ht="15.75" hidden="false" customHeight="true" outlineLevel="0" collapsed="false">
      <c r="A479" s="200"/>
      <c r="C479" s="98"/>
      <c r="D479" s="98"/>
      <c r="E479" s="97"/>
      <c r="F479" s="97"/>
      <c r="G479" s="97"/>
      <c r="J479" s="97"/>
    </row>
    <row r="480" s="96" customFormat="true" ht="15.75" hidden="false" customHeight="true" outlineLevel="0" collapsed="false">
      <c r="A480" s="200"/>
      <c r="D480" s="98"/>
      <c r="E480" s="97"/>
      <c r="F480" s="97"/>
      <c r="G480" s="97"/>
      <c r="H480" s="97"/>
      <c r="I480" s="196"/>
      <c r="J480" s="196"/>
    </row>
    <row r="481" s="96" customFormat="true" ht="15.75" hidden="false" customHeight="true" outlineLevel="0" collapsed="false">
      <c r="A481" s="200"/>
      <c r="D481" s="98"/>
      <c r="E481" s="97"/>
      <c r="F481" s="97"/>
      <c r="G481" s="97"/>
      <c r="H481" s="97"/>
      <c r="I481" s="196"/>
      <c r="J481" s="196"/>
    </row>
    <row r="482" s="96" customFormat="true" ht="15.75" hidden="false" customHeight="true" outlineLevel="0" collapsed="false">
      <c r="A482" s="200"/>
      <c r="D482" s="98"/>
      <c r="E482" s="97"/>
      <c r="F482" s="97"/>
      <c r="G482" s="97"/>
      <c r="H482" s="97"/>
      <c r="I482" s="196"/>
      <c r="J482" s="196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H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G495" s="97"/>
      <c r="H495" s="182"/>
      <c r="I495" s="196"/>
      <c r="J495" s="196"/>
    </row>
    <row r="496" s="96" customFormat="true" ht="15.75" hidden="false" customHeight="true" outlineLevel="0" collapsed="false">
      <c r="A496" s="200"/>
      <c r="C496" s="188"/>
      <c r="D496" s="98"/>
      <c r="E496" s="97"/>
      <c r="F496" s="97"/>
      <c r="G496" s="97"/>
      <c r="J496" s="97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J497" s="97"/>
    </row>
    <row r="498" s="96" customFormat="true" ht="15.75" hidden="false" customHeight="true" outlineLevel="0" collapsed="false">
      <c r="A498" s="200"/>
      <c r="C498" s="98"/>
      <c r="D498" s="98"/>
      <c r="E498" s="97"/>
      <c r="F498" s="97"/>
      <c r="G498" s="97"/>
      <c r="H498" s="182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J499" s="97"/>
    </row>
    <row r="500" s="96" customFormat="true" ht="15.75" hidden="false" customHeight="true" outlineLevel="0" collapsed="false">
      <c r="A500" s="200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H501" s="97"/>
      <c r="I501" s="196"/>
      <c r="J501" s="196"/>
    </row>
    <row r="502" s="96" customFormat="true" ht="15.75" hidden="false" customHeight="true" outlineLevel="0" collapsed="false">
      <c r="A502" s="200"/>
      <c r="D502" s="98"/>
      <c r="E502" s="97"/>
      <c r="F502" s="97"/>
      <c r="G502" s="97"/>
      <c r="H502" s="97"/>
      <c r="I502" s="196"/>
      <c r="J502" s="196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H503" s="97"/>
      <c r="I503" s="196"/>
      <c r="J503" s="196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H504" s="97"/>
      <c r="I504" s="97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97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97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97"/>
      <c r="J513" s="196"/>
    </row>
    <row r="514" s="96" customFormat="true" ht="15.75" hidden="false" customHeight="true" outlineLevel="0" collapsed="false">
      <c r="A514" s="200"/>
      <c r="D514" s="98"/>
      <c r="E514" s="97"/>
      <c r="F514" s="97"/>
      <c r="G514" s="97"/>
      <c r="H514" s="238"/>
      <c r="I514" s="212"/>
      <c r="J514" s="195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A516" s="191"/>
      <c r="B516" s="191"/>
      <c r="C516" s="191"/>
      <c r="D516" s="192"/>
      <c r="E516" s="191"/>
      <c r="F516" s="191"/>
      <c r="G516" s="191"/>
      <c r="H516" s="191"/>
      <c r="I516" s="191"/>
      <c r="J516" s="199"/>
    </row>
    <row r="517" s="96" customFormat="true" ht="15.75" hidden="false" customHeight="true" outlineLevel="0" collapsed="false"/>
    <row r="518" s="96" customFormat="true" ht="15.75" hidden="false" customHeight="true" outlineLevel="0" collapsed="false"/>
    <row r="519" s="96" customFormat="true" ht="24.75" hidden="false" customHeight="true" outlineLevel="0" collapsed="false">
      <c r="A519" s="88" t="s">
        <v>482</v>
      </c>
      <c r="B519" s="88"/>
      <c r="C519" s="88"/>
      <c r="D519" s="88"/>
      <c r="E519" s="88"/>
      <c r="F519" s="88"/>
      <c r="G519" s="88"/>
      <c r="H519" s="88"/>
      <c r="I519" s="88"/>
      <c r="J519" s="88"/>
    </row>
    <row r="520" s="96" customFormat="true" ht="34.5" hidden="false" customHeight="true" outlineLevel="0" collapsed="false">
      <c r="A520" s="114" t="s">
        <v>319</v>
      </c>
      <c r="B520" s="115" t="s">
        <v>168</v>
      </c>
      <c r="C520" s="115" t="s">
        <v>168</v>
      </c>
      <c r="D520" s="116" t="s">
        <v>483</v>
      </c>
      <c r="E520" s="115" t="s">
        <v>321</v>
      </c>
      <c r="F520" s="239" t="s">
        <v>484</v>
      </c>
      <c r="G520" s="240"/>
      <c r="H520" s="116" t="s">
        <v>484</v>
      </c>
      <c r="I520" s="116" t="s">
        <v>485</v>
      </c>
      <c r="J520" s="117" t="s">
        <v>323</v>
      </c>
      <c r="N520" s="118" t="s">
        <v>168</v>
      </c>
      <c r="O520" s="118" t="s">
        <v>168</v>
      </c>
      <c r="Q520" s="251"/>
      <c r="R520" s="252"/>
      <c r="S520" s="251"/>
      <c r="T520" s="252"/>
      <c r="U520" s="252"/>
    </row>
    <row r="521" s="96" customFormat="true" ht="15.75" hidden="false" customHeight="true" outlineLevel="0" collapsed="false">
      <c r="A521" s="120" t="n">
        <f aca="false">IF(C521="","",1)</f>
        <v>1</v>
      </c>
      <c r="B521" s="121" t="str">
        <f aca="false">IF($D$127=5,N521,IF($D$127=6,N522,IF($D$127=8,N523,IF($D$127=10,N524,IF($D$127=12,N525,IF($D$127=14,N526,IF($D$127=18,N527,IF($D$127=20,N528,IF($D$127=22,N529,)))))))))</f>
        <v>กระจก 6 mm (สูง) (กว้าง)</v>
      </c>
      <c r="C521" s="121" t="str">
        <f aca="false">IF($D$127=5,O521,IF($D$127=6,O522,IF($D$127=8,O523,IF($D$127=10,O524,IF($D$127=12,O525,IF($D$127=14,O526,IF($D$127=18,O527,IF($D$127=20,O528,IF($D$127=22,O529,)))))))))</f>
        <v>GLASS thk.6 mm (H) (W)</v>
      </c>
      <c r="D521" s="123" t="n">
        <f aca="false">$J$123-215</f>
        <v>385</v>
      </c>
      <c r="E521" s="120" t="s">
        <v>486</v>
      </c>
      <c r="F521" s="224" t="s">
        <v>487</v>
      </c>
      <c r="G521" s="224"/>
      <c r="H521" s="120" t="s">
        <v>548</v>
      </c>
      <c r="I521" s="225" t="n">
        <f aca="false">(($J$126-182-(113.25*2))/3)-13</f>
        <v>117.5</v>
      </c>
      <c r="J521" s="226" t="n">
        <f aca="false">$J$120*3</f>
        <v>3</v>
      </c>
      <c r="M521" s="96" t="n">
        <f aca="false">ROW()</f>
        <v>521</v>
      </c>
      <c r="N521" s="62" t="s">
        <v>489</v>
      </c>
      <c r="O521" s="62" t="s">
        <v>490</v>
      </c>
      <c r="Q521" s="97"/>
      <c r="R521" s="97"/>
      <c r="S521" s="172"/>
      <c r="T521" s="97"/>
      <c r="U521" s="253"/>
    </row>
    <row r="522" s="96" customFormat="true" ht="15.75" hidden="false" customHeight="true" outlineLevel="0" collapsed="false">
      <c r="A522" s="167"/>
      <c r="B522" s="228"/>
      <c r="C522" s="228"/>
      <c r="D522" s="241"/>
      <c r="E522" s="167"/>
      <c r="F522" s="229"/>
      <c r="G522" s="242"/>
      <c r="H522" s="167"/>
      <c r="I522" s="231"/>
      <c r="J522" s="232"/>
      <c r="M522" s="96" t="n">
        <f aca="false">ROW()</f>
        <v>522</v>
      </c>
      <c r="N522" s="62" t="s">
        <v>491</v>
      </c>
      <c r="O522" s="62" t="s">
        <v>492</v>
      </c>
      <c r="Q522" s="97"/>
      <c r="R522" s="97"/>
      <c r="S522" s="172"/>
      <c r="T522" s="97"/>
      <c r="U522" s="253"/>
    </row>
    <row r="523" s="96" customFormat="true" ht="15.75" hidden="false" customHeight="true" outlineLevel="0" collapsed="false">
      <c r="A523" s="227"/>
      <c r="B523" s="131"/>
      <c r="C523" s="228"/>
      <c r="D523" s="176" t="s">
        <v>208</v>
      </c>
      <c r="E523" s="167"/>
      <c r="F523" s="229"/>
      <c r="G523" s="230"/>
      <c r="H523" s="228"/>
      <c r="I523" s="231"/>
      <c r="J523" s="235"/>
      <c r="M523" s="96" t="n">
        <f aca="false">ROW()</f>
        <v>523</v>
      </c>
      <c r="N523" s="62" t="s">
        <v>493</v>
      </c>
      <c r="O523" s="62" t="s">
        <v>494</v>
      </c>
      <c r="Q523" s="97"/>
      <c r="R523" s="97"/>
      <c r="S523" s="172"/>
      <c r="T523" s="97"/>
      <c r="U523" s="253"/>
    </row>
    <row r="524" s="96" customFormat="true" ht="15.75" hidden="false" customHeight="true" outlineLevel="0" collapsed="false">
      <c r="A524" s="227"/>
      <c r="B524" s="131"/>
      <c r="C524" s="131"/>
      <c r="D524" s="132"/>
      <c r="E524" s="130"/>
      <c r="F524" s="233"/>
      <c r="G524" s="234"/>
      <c r="H524" s="130"/>
      <c r="I524" s="133"/>
      <c r="J524" s="235"/>
      <c r="M524" s="96" t="n">
        <f aca="false">ROW()</f>
        <v>524</v>
      </c>
      <c r="N524" s="62" t="s">
        <v>495</v>
      </c>
      <c r="O524" s="62" t="s">
        <v>496</v>
      </c>
    </row>
    <row r="525" s="96" customFormat="true" ht="15.75" hidden="false" customHeight="true" outlineLevel="0" collapsed="false">
      <c r="A525" s="136" t="str">
        <f aca="false">IF(B525="","",+A523+1)</f>
        <v/>
      </c>
      <c r="B525" s="135"/>
      <c r="C525" s="135"/>
      <c r="D525" s="139"/>
      <c r="E525" s="136"/>
      <c r="F525" s="236"/>
      <c r="G525" s="237"/>
      <c r="H525" s="136"/>
      <c r="I525" s="180"/>
      <c r="J525" s="140"/>
      <c r="M525" s="96" t="n">
        <f aca="false">ROW()</f>
        <v>525</v>
      </c>
      <c r="N525" s="62" t="s">
        <v>497</v>
      </c>
      <c r="O525" s="62" t="s">
        <v>498</v>
      </c>
    </row>
    <row r="526" customFormat="false" ht="14.25" hidden="false" customHeight="false" outlineLevel="0" collapsed="false">
      <c r="J526" s="92" t="str">
        <f aca="false">LEFT($J$111,10)&amp;"-05"</f>
        <v>FG-240-3PL-05</v>
      </c>
      <c r="M526" s="96" t="n">
        <f aca="false">ROW()</f>
        <v>526</v>
      </c>
      <c r="N526" s="62" t="s">
        <v>499</v>
      </c>
      <c r="O526" s="62" t="s">
        <v>500</v>
      </c>
    </row>
    <row r="527" customFormat="false" ht="14.25" hidden="false" customHeight="false" outlineLevel="0" collapsed="false">
      <c r="M527" s="96" t="n">
        <f aca="false">ROW()</f>
        <v>527</v>
      </c>
      <c r="N527" s="62" t="s">
        <v>501</v>
      </c>
      <c r="O527" s="62" t="s">
        <v>502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503</v>
      </c>
      <c r="O528" s="62" t="s">
        <v>504</v>
      </c>
    </row>
    <row r="529" customFormat="false" ht="14.25" hidden="false" customHeight="false" outlineLevel="0" collapsed="false">
      <c r="M529" s="96" t="n">
        <f aca="false">ROW()</f>
        <v>529</v>
      </c>
      <c r="N529" s="62" t="s">
        <v>505</v>
      </c>
      <c r="O529" s="62" t="s">
        <v>506</v>
      </c>
    </row>
  </sheetData>
  <mergeCells count="43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8:J158"/>
    <mergeCell ref="I159:J159"/>
    <mergeCell ref="I160:J160"/>
    <mergeCell ref="I161:J161"/>
    <mergeCell ref="I162:J162"/>
    <mergeCell ref="D163:D164"/>
    <mergeCell ref="H163:H164"/>
    <mergeCell ref="I163:J164"/>
    <mergeCell ref="D165:D166"/>
    <mergeCell ref="H165:H166"/>
    <mergeCell ref="I165:J165"/>
    <mergeCell ref="I166:J169"/>
    <mergeCell ref="D167:D171"/>
    <mergeCell ref="H167:H171"/>
    <mergeCell ref="I170:J171"/>
    <mergeCell ref="D172:D173"/>
    <mergeCell ref="H172:H173"/>
    <mergeCell ref="I172:J172"/>
    <mergeCell ref="I173:J173"/>
    <mergeCell ref="A174:J174"/>
    <mergeCell ref="A212:J212"/>
    <mergeCell ref="A319:J319"/>
    <mergeCell ref="F329:G329"/>
    <mergeCell ref="F332:G332"/>
    <mergeCell ref="A426:J426"/>
    <mergeCell ref="A519:J519"/>
    <mergeCell ref="F521:G521"/>
  </mergeCells>
  <dataValidations count="3">
    <dataValidation allowBlank="true" errorStyle="stop" operator="between" showDropDown="false" showErrorMessage="true" showInputMessage="true" sqref="D127:G127" type="list">
      <formula1>$N$120:$N$128</formula1>
      <formula2>0</formula2>
    </dataValidation>
    <dataValidation allowBlank="true" errorStyle="stop" operator="between" showDropDown="false" showErrorMessage="true" showInputMessage="true" sqref="D129:G129" type="list">
      <formula1>$O$120</formula1>
      <formula2>0</formula2>
    </dataValidation>
    <dataValidation allowBlank="true" errorStyle="stop" operator="between" showDropDown="false" showErrorMessage="true" showInputMessage="true" sqref="D123:G123" type="list">
      <formula1>$P$119:$P$128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6" man="true" max="16383" min="0"/>
    <brk id="313" man="true" max="16383" min="0"/>
    <brk id="420" man="true" max="16383" min="0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AJ529"/>
  <sheetViews>
    <sheetView showFormulas="false" showGridLines="false" showRowColHeaders="true" showZeros="true" rightToLeft="false" tabSelected="true" showOutlineSymbols="true" defaultGridColor="true" view="pageBreakPreview" topLeftCell="A106" colorId="64" zoomScale="75" zoomScaleNormal="75" zoomScalePageLayoutView="75" workbookViewId="0">
      <selection pane="topLeft" activeCell="J128" activeCellId="0" sqref="J128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34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6.67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3.44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558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>
      <c r="G45" s="91"/>
    </row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559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5" hidden="false" customHeight="true" outlineLevel="0" collapsed="false">
      <c r="A118" s="97"/>
      <c r="C118" s="81"/>
      <c r="D118" s="98"/>
      <c r="E118" s="83"/>
      <c r="J118" s="99"/>
      <c r="K118" s="83"/>
    </row>
    <row r="119" s="96" customFormat="true" ht="15" hidden="false" customHeight="true" outlineLevel="0" collapsed="false">
      <c r="A119" s="97"/>
      <c r="C119" s="100" t="s">
        <v>286</v>
      </c>
      <c r="D119" s="101" t="s">
        <v>560</v>
      </c>
      <c r="E119" s="101"/>
      <c r="F119" s="101"/>
      <c r="G119" s="101"/>
      <c r="I119" s="83"/>
      <c r="J119" s="97"/>
      <c r="N119" s="102" t="s">
        <v>288</v>
      </c>
      <c r="O119" s="97" t="s">
        <v>289</v>
      </c>
      <c r="P119" s="102" t="s">
        <v>290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102" t="n">
        <v>5</v>
      </c>
      <c r="O120" s="97" t="s">
        <v>509</v>
      </c>
      <c r="P120" s="106" t="s">
        <v>294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102" t="n">
        <v>6</v>
      </c>
      <c r="O121" s="97" t="s">
        <v>296</v>
      </c>
      <c r="P121" s="106" t="s">
        <v>297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102" t="n">
        <v>8</v>
      </c>
      <c r="O122" s="97"/>
      <c r="P122" s="106" t="s">
        <v>299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297</v>
      </c>
      <c r="E123" s="101"/>
      <c r="F123" s="101"/>
      <c r="G123" s="101"/>
      <c r="H123" s="104" t="s">
        <v>302</v>
      </c>
      <c r="I123" s="104"/>
      <c r="J123" s="105" t="n">
        <v>2550</v>
      </c>
      <c r="N123" s="102" t="n">
        <v>10</v>
      </c>
      <c r="O123" s="97"/>
      <c r="P123" s="106" t="s">
        <v>303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102" t="n">
        <v>12</v>
      </c>
      <c r="O124" s="97"/>
      <c r="P124" s="106" t="s">
        <v>305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510</v>
      </c>
      <c r="E125" s="101"/>
      <c r="F125" s="101"/>
      <c r="G125" s="101"/>
      <c r="H125" s="107"/>
      <c r="I125" s="107"/>
      <c r="J125" s="97"/>
      <c r="K125" s="110"/>
      <c r="L125" s="110"/>
      <c r="N125" s="102" t="n">
        <v>14</v>
      </c>
      <c r="O125" s="97"/>
      <c r="P125" s="106" t="s">
        <v>308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2470</v>
      </c>
      <c r="K126" s="110"/>
      <c r="L126" s="110"/>
      <c r="N126" s="102" t="n">
        <v>18</v>
      </c>
      <c r="O126" s="97"/>
      <c r="P126" s="106" t="s">
        <v>311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102" t="n">
        <v>20</v>
      </c>
      <c r="O127" s="97"/>
      <c r="P127" s="106" t="s">
        <v>313</v>
      </c>
    </row>
    <row r="128" s="96" customFormat="true" ht="18.75" hidden="false" customHeight="true" outlineLevel="0" collapsed="false">
      <c r="C128" s="108" t="s">
        <v>314</v>
      </c>
      <c r="I128" s="97"/>
      <c r="J128" s="97"/>
      <c r="N128" s="102" t="n">
        <v>22</v>
      </c>
      <c r="O128" s="97"/>
      <c r="P128" s="106" t="s">
        <v>315</v>
      </c>
    </row>
    <row r="129" s="96" customFormat="true" ht="15" hidden="false" customHeight="true" outlineLevel="0" collapsed="false">
      <c r="A129" s="89" t="str">
        <f aca="false">A18</f>
        <v>240-3 Panel (R)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2410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6</v>
      </c>
      <c r="U133" s="127" t="s">
        <v>528</v>
      </c>
      <c r="V133" s="247" t="n">
        <f aca="false">($J$126-182-(113.25*2))/3</f>
        <v>687.166666666667</v>
      </c>
      <c r="W133" s="129" t="n">
        <f aca="false">$J$121*T133</f>
        <v>0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2384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6</v>
      </c>
      <c r="U134" s="130" t="s">
        <v>528</v>
      </c>
      <c r="V134" s="247" t="n">
        <f aca="false">($J$126-182-(113.25*2))/3</f>
        <v>687.166666666667</v>
      </c>
      <c r="W134" s="134" t="n">
        <f aca="false">$J$121*T134</f>
        <v>0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2410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6</v>
      </c>
      <c r="U135" s="136" t="s">
        <v>528</v>
      </c>
      <c r="V135" s="247" t="n">
        <f aca="false">($J$126-182-(113.25*2))/3</f>
        <v>687.166666666667</v>
      </c>
      <c r="W135" s="137" t="n">
        <f aca="false">$J$121*T135</f>
        <v>0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2410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6</v>
      </c>
      <c r="U136" s="127" t="s">
        <v>360</v>
      </c>
      <c r="V136" s="247" t="n">
        <f aca="false">$J$123-242</f>
        <v>2308</v>
      </c>
      <c r="W136" s="129" t="n">
        <f aca="false">$J$121*T136</f>
        <v>0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562</v>
      </c>
      <c r="G137" s="130" t="n">
        <v>1</v>
      </c>
      <c r="H137" s="130" t="s">
        <v>332</v>
      </c>
      <c r="I137" s="133" t="n">
        <f aca="false">$J$123</f>
        <v>2550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6</v>
      </c>
      <c r="U137" s="130" t="s">
        <v>360</v>
      </c>
      <c r="V137" s="141" t="n">
        <f aca="false">$J$123-242</f>
        <v>2308</v>
      </c>
      <c r="W137" s="134" t="n">
        <f aca="false">$J$121*T137</f>
        <v>0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2550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6</v>
      </c>
      <c r="U138" s="136" t="s">
        <v>360</v>
      </c>
      <c r="V138" s="254" t="n">
        <f aca="false">$J$123-242</f>
        <v>2308</v>
      </c>
      <c r="W138" s="137" t="n">
        <f aca="false">$J$121*T138</f>
        <v>0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2454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2454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3</v>
      </c>
      <c r="H141" s="130" t="s">
        <v>530</v>
      </c>
      <c r="I141" s="141" t="n">
        <f aca="false">($J$126-60-(3+1)*4)/3</f>
        <v>798</v>
      </c>
      <c r="J141" s="134" t="n">
        <f aca="false">$J$120*G141</f>
        <v>3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3</v>
      </c>
      <c r="H142" s="130" t="s">
        <v>530</v>
      </c>
      <c r="I142" s="141" t="n">
        <f aca="false">($J$126-60-(3+1)*4)/3</f>
        <v>798</v>
      </c>
      <c r="J142" s="134" t="n">
        <f aca="false">$J$120*G142</f>
        <v>3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4</v>
      </c>
      <c r="H143" s="130" t="s">
        <v>389</v>
      </c>
      <c r="I143" s="133" t="n">
        <f aca="false">$J$123-92</f>
        <v>2458</v>
      </c>
      <c r="J143" s="134" t="n">
        <f aca="false">$J$120*G143</f>
        <v>4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563</v>
      </c>
      <c r="G144" s="130" t="n">
        <v>1</v>
      </c>
      <c r="H144" s="130" t="s">
        <v>389</v>
      </c>
      <c r="I144" s="133" t="n">
        <f aca="false">$J$123-92</f>
        <v>2458</v>
      </c>
      <c r="J144" s="134" t="n">
        <f aca="false">$J$120*G144</f>
        <v>1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531</v>
      </c>
      <c r="C145" s="131" t="s">
        <v>532</v>
      </c>
      <c r="D145" s="132" t="s">
        <v>74</v>
      </c>
      <c r="E145" s="130" t="n">
        <v>1.106</v>
      </c>
      <c r="F145" s="132" t="s">
        <v>564</v>
      </c>
      <c r="G145" s="130" t="n">
        <v>1</v>
      </c>
      <c r="H145" s="130" t="s">
        <v>389</v>
      </c>
      <c r="I145" s="133" t="n">
        <f aca="false">$J$123-92</f>
        <v>2458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6" s="131" t="str">
        <f aca="false">IF($D$127=5,Q133,IF($D$127=6,Q133,IF($D$127=8,Q134,IF($D$127=10,Q134,IF($D$127=12,Q134,IF($D$127=14,Q135,IF($D$127=18,Q135,IF($D$127=20,Q135,IF($D$127=22,Q135,)))))))))</f>
        <v>B24008</v>
      </c>
      <c r="E146" s="131" t="n">
        <f aca="false">IF($D$127=5,R133,IF($D$127=6,R133,IF($D$127=8,R134,IF($D$127=10,R134,IF($D$127=12,R134,IF($D$127=14,R135,IF($D$127=18,R135,IF($D$127=20,R135,IF($D$127=22,R135,)))))))))</f>
        <v>0.231</v>
      </c>
      <c r="F146" s="131" t="str">
        <f aca="false">IF($D$127=5,S133,IF($D$127=6,S133,IF($D$127=8,S134,IF($D$127=10,S134,IF($D$127=12,S134,IF($D$127=14,S135,IF($D$127=18,S135,IF($D$127=20,S135,IF($D$127=22,S135,)))))))))</f>
        <v>B24008-001</v>
      </c>
      <c r="G146" s="130" t="n">
        <f aca="false">IF($D$127=5,T133,IF($D$127=6,T133,IF($D$127=8,T134,IF($D$127=10,T134,IF($D$127=12,T134,IF($D$127=14,T135,IF($D$127=18,T135,IF($D$127=20,T135,IF($D$127=22,T135,)))))))))</f>
        <v>6</v>
      </c>
      <c r="H146" s="130" t="str">
        <f aca="false">IF($D$127=5,U133,IF($D$127=6,U133,IF($D$127=8,U134,IF($D$127=10,U134,IF($D$127=12,U134,IF($D$127=14,U135,IF($D$127=18,U135,IF($D$127=20,U135,IF($D$127=22,U135,)))))))))</f>
        <v>(W-182-(113.25 × 2))/3</v>
      </c>
      <c r="I146" s="141" t="n">
        <f aca="false">IF($D$127=5,V133,IF($D$127=6,V133,IF($D$127=8,V134,IF($D$127=10,V134,IF($D$127=12,V134,IF($D$127=14,V135,IF($D$127=18,V135,IF($D$127=20,V135,IF($D$127=22,V135,)))))))))</f>
        <v>687.166666666667</v>
      </c>
      <c r="J146" s="134" t="n">
        <f aca="false">$J$120*G146</f>
        <v>6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7" s="131" t="str">
        <f aca="false">IF($D$127=5,Q136,IF($D$127=6,Q136,IF($D$127=8,Q137,IF($D$127=10,Q137,IF($D$127=12,Q137,IF($D$127=14,Q138,IF($D$127=18,Q138,IF($D$127=20,Q138,IF($D$127=22,Q138,)))))))))</f>
        <v>B24008</v>
      </c>
      <c r="E147" s="131" t="n">
        <f aca="false">IF($D$127=5,R136,IF($D$127=6,R136,IF($D$127=8,R137,IF($D$127=10,R137,IF($D$127=12,R137,IF($D$127=14,R138,IF($D$127=18,R138,IF($D$127=20,R138,IF($D$127=22,R138,)))))))))</f>
        <v>0.231</v>
      </c>
      <c r="F147" s="131" t="str">
        <f aca="false">IF($D$127=5,S136,IF($D$127=6,S136,IF($D$127=8,S137,IF($D$127=10,S137,IF($D$127=12,S137,IF($D$127=14,S138,IF($D$127=18,S138,IF($D$127=20,S138,IF($D$127=22,S138,)))))))))</f>
        <v>B24008-002</v>
      </c>
      <c r="G147" s="130" t="n">
        <f aca="false">IF($D$127=5,T136,IF($D$127=6,T136,IF($D$127=8,T137,IF($D$127=10,T137,IF($D$127=12,T137,IF($D$127=14,T138,IF($D$127=18,T138,IF($D$127=20,T138,IF($D$127=22,T138,)))))))))</f>
        <v>6</v>
      </c>
      <c r="H147" s="130" t="str">
        <f aca="false">IF($D$127=5,U136,IF($D$127=6,U136,IF($D$127=8,U137,IF($D$127=10,U137,IF($D$127=12,U137,IF($D$127=14,U138,IF($D$127=18,U138,IF($D$127=20,U138,IF($D$127=22,U138,)))))))))</f>
        <v>H-242</v>
      </c>
      <c r="I147" s="141" t="n">
        <f aca="false">IF($D$127=5,V136,IF($D$127=6,V136,IF($D$127=8,V137,IF($D$127=10,V137,IF($D$127=12,V137,IF($D$127=14,V138,IF($D$127=18,V138,IF($D$127=20,V138,IF($D$127=22,V138,)))))))))</f>
        <v>2308</v>
      </c>
      <c r="J147" s="134" t="n">
        <f aca="false">$J$120*G147</f>
        <v>6</v>
      </c>
    </row>
    <row r="148" s="96" customFormat="true" ht="18" hidden="false" customHeight="true" outlineLevel="0" collapsed="false">
      <c r="A148" s="130" t="str">
        <f aca="false">IF(B148="","",+A147+1)</f>
        <v/>
      </c>
      <c r="B148" s="131"/>
      <c r="C148" s="131"/>
      <c r="D148" s="132"/>
      <c r="E148" s="130"/>
      <c r="F148" s="132"/>
      <c r="G148" s="130"/>
      <c r="H148" s="130"/>
      <c r="I148" s="133"/>
      <c r="J148" s="134" t="n">
        <f aca="false">$J$120*G148</f>
        <v>0</v>
      </c>
    </row>
    <row r="149" s="96" customFormat="true" ht="18" hidden="false" customHeight="true" outlineLevel="0" collapsed="false">
      <c r="A149" s="130" t="str">
        <f aca="false">IF(B149="","",+A148+1)</f>
        <v/>
      </c>
      <c r="B149" s="131"/>
      <c r="C149" s="131"/>
      <c r="D149" s="132"/>
      <c r="E149" s="130"/>
      <c r="F149" s="132"/>
      <c r="G149" s="130"/>
      <c r="H149" s="130"/>
      <c r="I149" s="133"/>
      <c r="J149" s="134"/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33"/>
      <c r="J150" s="134"/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33"/>
      <c r="J151" s="134"/>
    </row>
    <row r="152" s="96" customFormat="true" ht="18" hidden="false" customHeight="true" outlineLevel="0" collapsed="false">
      <c r="A152" s="130" t="str">
        <f aca="false">IF(B152="","",+""+1)</f>
        <v/>
      </c>
      <c r="B152" s="143"/>
      <c r="C152" s="143"/>
      <c r="D152" s="144"/>
      <c r="E152" s="145"/>
      <c r="F152" s="144"/>
      <c r="G152" s="145"/>
      <c r="H152" s="145"/>
      <c r="I152" s="146"/>
      <c r="J152" s="147" t="n">
        <f aca="false">$J$120*G152</f>
        <v>0</v>
      </c>
    </row>
    <row r="153" s="96" customFormat="true" ht="27" hidden="false" customHeight="true" outlineLevel="1" collapsed="false">
      <c r="A153" s="148" t="s">
        <v>319</v>
      </c>
      <c r="B153" s="148" t="s">
        <v>320</v>
      </c>
      <c r="C153" s="148" t="s">
        <v>168</v>
      </c>
      <c r="D153" s="148" t="s">
        <v>166</v>
      </c>
      <c r="E153" s="148" t="s">
        <v>321</v>
      </c>
      <c r="F153" s="149" t="s">
        <v>393</v>
      </c>
      <c r="G153" s="148" t="s">
        <v>394</v>
      </c>
      <c r="H153" s="150" t="s">
        <v>395</v>
      </c>
      <c r="I153" s="151"/>
      <c r="J153" s="151"/>
    </row>
    <row r="154" s="96" customFormat="true" ht="15" hidden="false" customHeight="true" outlineLevel="1" collapsed="false">
      <c r="A154" s="152" t="n">
        <f aca="false">IF(B154="","",1)</f>
        <v>1</v>
      </c>
      <c r="B154" s="153" t="str">
        <f aca="false">B133</f>
        <v>เฟรมบน</v>
      </c>
      <c r="C154" s="153" t="str">
        <f aca="false">C133</f>
        <v>HEAD</v>
      </c>
      <c r="D154" s="154" t="str">
        <f aca="false">VLOOKUP(C154,$C$133:$H$152,2,0)</f>
        <v>B24001</v>
      </c>
      <c r="E154" s="155" t="n">
        <f aca="false">VLOOKUP(C154,$C$133:$H$152,3,0)</f>
        <v>1.603</v>
      </c>
      <c r="F154" s="155" t="n">
        <f aca="false">VLOOKUP(C154,$C$133:$J$152,7,0)</f>
        <v>2410</v>
      </c>
      <c r="G154" s="155" t="n">
        <f aca="false">VLOOKUP(C154,$C$133:$J$152,8,0)</f>
        <v>1</v>
      </c>
      <c r="H154" s="156" t="n">
        <f aca="false">ROUNDUP((F154*G154)/6400,0)</f>
        <v>1</v>
      </c>
      <c r="I154" s="157"/>
      <c r="J154" s="157"/>
    </row>
    <row r="155" s="96" customFormat="true" ht="15" hidden="false" customHeight="true" outlineLevel="1" collapsed="false">
      <c r="A155" s="158" t="n">
        <f aca="false">IF(B155="","",+A154+1)</f>
        <v>2</v>
      </c>
      <c r="B155" s="153" t="str">
        <f aca="false">B134</f>
        <v>บังใบบน</v>
      </c>
      <c r="C155" s="153" t="str">
        <f aca="false">C134</f>
        <v>DOOR STOP HEAD</v>
      </c>
      <c r="D155" s="154" t="str">
        <f aca="false">VLOOKUP(C155,$C$133:$H$152,2,0)</f>
        <v>B24002</v>
      </c>
      <c r="E155" s="155" t="n">
        <f aca="false">VLOOKUP(C155,$C$133:$H$152,3,0)</f>
        <v>0.278</v>
      </c>
      <c r="F155" s="155" t="n">
        <f aca="false">VLOOKUP(C155,$C$133:$I$152,7,0)</f>
        <v>2384</v>
      </c>
      <c r="G155" s="155" t="n">
        <f aca="false">VLOOKUP(C155,$C$133:$J$152,8,0)</f>
        <v>1</v>
      </c>
      <c r="H155" s="156" t="n">
        <f aca="false">ROUNDUP((F155*G155)/6400,0)</f>
        <v>1</v>
      </c>
      <c r="I155" s="157"/>
      <c r="J155" s="157"/>
    </row>
    <row r="156" s="96" customFormat="true" ht="15" hidden="false" customHeight="true" outlineLevel="1" collapsed="false">
      <c r="A156" s="158" t="n">
        <f aca="false">IF(B156="","",+A155+1)</f>
        <v>3</v>
      </c>
      <c r="B156" s="153" t="str">
        <f aca="false">B135</f>
        <v>เฟรมล่าง </v>
      </c>
      <c r="C156" s="153" t="str">
        <f aca="false">C135</f>
        <v>SILL</v>
      </c>
      <c r="D156" s="154" t="str">
        <f aca="false">VLOOKUP(C156,$C$133:$H$152,2,0)</f>
        <v>B24003</v>
      </c>
      <c r="E156" s="155" t="n">
        <f aca="false">VLOOKUP(C156,$C$133:$H$152,3,0)</f>
        <v>1.603</v>
      </c>
      <c r="F156" s="155" t="n">
        <f aca="false">VLOOKUP(C156,$C$133:$I$152,7,0)</f>
        <v>2410</v>
      </c>
      <c r="G156" s="155" t="n">
        <f aca="false">VLOOKUP(C156,$C$133:$J$152,8,0)</f>
        <v>1</v>
      </c>
      <c r="H156" s="156" t="n">
        <f aca="false">ROUNDUP((F156*G156)/6400,0)</f>
        <v>1</v>
      </c>
      <c r="I156" s="157"/>
      <c r="J156" s="157"/>
    </row>
    <row r="157" s="96" customFormat="true" ht="15" hidden="false" customHeight="true" outlineLevel="1" collapsed="false">
      <c r="A157" s="158" t="n">
        <f aca="false">IF(B157="","",+A156+1)</f>
        <v>4</v>
      </c>
      <c r="B157" s="153" t="str">
        <f aca="false">B136</f>
        <v>ตัวตับธรณี</v>
      </c>
      <c r="C157" s="153" t="str">
        <f aca="false">C136</f>
        <v>DOOR STOP SILL</v>
      </c>
      <c r="D157" s="154" t="str">
        <f aca="false">VLOOKUP(C157,$C$133:$H$152,2,0)</f>
        <v>B24004</v>
      </c>
      <c r="E157" s="155" t="n">
        <f aca="false">VLOOKUP(C157,$C$133:$H$152,3,0)</f>
        <v>0.516</v>
      </c>
      <c r="F157" s="155" t="n">
        <f aca="false">VLOOKUP(C157,$C$133:$I$152,7,0)</f>
        <v>2410</v>
      </c>
      <c r="G157" s="155" t="n">
        <f aca="false">VLOOKUP(C157,$C$133:$J$152,8,0)</f>
        <v>1</v>
      </c>
      <c r="H157" s="156" t="n">
        <f aca="false">ROUNDUP((F157*G157)/6400,0)</f>
        <v>1</v>
      </c>
      <c r="I157" s="157"/>
      <c r="J157" s="157"/>
    </row>
    <row r="158" s="96" customFormat="true" ht="15" hidden="false" customHeight="true" outlineLevel="1" collapsed="false">
      <c r="A158" s="158" t="n">
        <f aca="false">IF(B158="","",+A157+1)</f>
        <v>5</v>
      </c>
      <c r="B158" s="153" t="str">
        <f aca="false">B137</f>
        <v>เฟรมข้าง (ซ้าย)</v>
      </c>
      <c r="C158" s="153" t="str">
        <f aca="false">C137</f>
        <v>JAMB (L)</v>
      </c>
      <c r="D158" s="159" t="str">
        <f aca="false">VLOOKUP(C158,$C$133:$H$152,2,0)</f>
        <v>B24005</v>
      </c>
      <c r="E158" s="155" t="n">
        <f aca="false">VLOOKUP(C158,$C$133:$H$152,3,0)</f>
        <v>0.893</v>
      </c>
      <c r="F158" s="155" t="n">
        <f aca="false">VLOOKUP(C158,$C$133:$I$152,7,0)</f>
        <v>2550</v>
      </c>
      <c r="G158" s="155" t="n">
        <f aca="false">VLOOKUP(C158,$C$133:$J$152,8,0)</f>
        <v>1</v>
      </c>
      <c r="H158" s="160" t="n">
        <f aca="false">ROUNDUP(((F158*G158)+(F159*G159))/6400,0)</f>
        <v>1</v>
      </c>
      <c r="I158" s="161"/>
      <c r="J158" s="161"/>
    </row>
    <row r="159" s="96" customFormat="true" ht="15" hidden="false" customHeight="true" outlineLevel="1" collapsed="false">
      <c r="A159" s="158" t="n">
        <f aca="false">IF(B159="","",+A158+1)</f>
        <v>6</v>
      </c>
      <c r="B159" s="153" t="str">
        <f aca="false">B138</f>
        <v>เฟรมข้าง (ขวา)</v>
      </c>
      <c r="C159" s="153" t="str">
        <f aca="false">C138</f>
        <v>JAMB (R)</v>
      </c>
      <c r="D159" s="159"/>
      <c r="E159" s="155" t="n">
        <f aca="false">VLOOKUP(C159,$C$133:$H$152,3,0)</f>
        <v>0.893</v>
      </c>
      <c r="F159" s="155" t="n">
        <f aca="false">VLOOKUP(C159,$C$133:$I$152,7,0)</f>
        <v>2550</v>
      </c>
      <c r="G159" s="155" t="n">
        <f aca="false">VLOOKUP(C159,$C$133:$J$152,8,0)</f>
        <v>1</v>
      </c>
      <c r="H159" s="160"/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7</v>
      </c>
      <c r="B160" s="153" t="str">
        <f aca="false">B139</f>
        <v>บังใบข้าง (ซ้าย)</v>
      </c>
      <c r="C160" s="153" t="str">
        <f aca="false">C139</f>
        <v>DOOR STOP JAMB (L)</v>
      </c>
      <c r="D160" s="159" t="str">
        <f aca="false">VLOOKUP(C160,$C$133:$H$152,2,0)</f>
        <v>B24006</v>
      </c>
      <c r="E160" s="155" t="n">
        <f aca="false">VLOOKUP(C160,$C$133:$H$152,3,0)</f>
        <v>0.235</v>
      </c>
      <c r="F160" s="155" t="n">
        <f aca="false">VLOOKUP(C160,$C$133:$I$152,7,0)</f>
        <v>2454</v>
      </c>
      <c r="G160" s="155" t="n">
        <f aca="false">VLOOKUP(C160,$C$133:$J$152,8,0)</f>
        <v>1</v>
      </c>
      <c r="H160" s="160" t="n">
        <f aca="false">ROUNDUP(((F160*G160)+(F161*G161))/6400,0)</f>
        <v>1</v>
      </c>
      <c r="I160" s="157"/>
      <c r="J160" s="157"/>
    </row>
    <row r="161" s="96" customFormat="true" ht="15" hidden="false" customHeight="true" outlineLevel="1" collapsed="false">
      <c r="A161" s="158" t="n">
        <f aca="false">IF(B161="","",+A160+1)</f>
        <v>8</v>
      </c>
      <c r="B161" s="153" t="str">
        <f aca="false">B140</f>
        <v>บังใบข้าง (ขวา)</v>
      </c>
      <c r="C161" s="153" t="str">
        <f aca="false">C140</f>
        <v>DOOR STOP JAMB (R)</v>
      </c>
      <c r="D161" s="159"/>
      <c r="E161" s="155" t="n">
        <f aca="false">VLOOKUP(C161,$C$133:$H$152,3,0)</f>
        <v>0.235</v>
      </c>
      <c r="F161" s="155" t="n">
        <f aca="false">VLOOKUP(C161,$C$133:$I$152,7,0)</f>
        <v>2454</v>
      </c>
      <c r="G161" s="155" t="n">
        <f aca="false">VLOOKUP(C161,$C$133:$J$152,8,0)</f>
        <v>1</v>
      </c>
      <c r="H161" s="160"/>
      <c r="I161" s="162"/>
      <c r="J161" s="162"/>
    </row>
    <row r="162" s="96" customFormat="true" ht="13.5" hidden="false" customHeight="true" outlineLevel="1" collapsed="false">
      <c r="A162" s="158" t="n">
        <f aca="false">IF(B162="","",+A161+1)</f>
        <v>9</v>
      </c>
      <c r="B162" s="153" t="str">
        <f aca="false">B141</f>
        <v>ขวางบน</v>
      </c>
      <c r="C162" s="153" t="str">
        <f aca="false">C141</f>
        <v>SASH (Hor) (T)</v>
      </c>
      <c r="D162" s="159" t="str">
        <f aca="false">VLOOKUP(C162,$C$133:$H$152,2,0)</f>
        <v>B24007</v>
      </c>
      <c r="E162" s="155" t="n">
        <f aca="false">VLOOKUP(C162,$C$133:$H$152,3,0)</f>
        <v>1.106</v>
      </c>
      <c r="F162" s="155" t="n">
        <f aca="false">VLOOKUP(C162,$C$133:$I$152,7,0)</f>
        <v>798</v>
      </c>
      <c r="G162" s="155" t="n">
        <f aca="false">VLOOKUP(C162,$C$133:$J$152,8,0)</f>
        <v>3</v>
      </c>
      <c r="H162" s="160" t="n">
        <f aca="false">ROUNDUP(((F162*G162)+(F163*G163)+(F164*G164)+(F165*G165)+(F166*G166))/6400,0)</f>
        <v>4</v>
      </c>
      <c r="I162" s="162"/>
      <c r="J162" s="162"/>
    </row>
    <row r="163" s="96" customFormat="true" ht="13.5" hidden="false" customHeight="true" outlineLevel="1" collapsed="false">
      <c r="A163" s="158" t="n">
        <f aca="false">IF(B163="","",+A162+1)</f>
        <v>10</v>
      </c>
      <c r="B163" s="153" t="str">
        <f aca="false">B142</f>
        <v>ขวางล่าง</v>
      </c>
      <c r="C163" s="153" t="str">
        <f aca="false">C142</f>
        <v>SASH (Hor) (B)</v>
      </c>
      <c r="D163" s="159"/>
      <c r="E163" s="155" t="n">
        <f aca="false">VLOOKUP(C163,$C$133:$H$152,3,0)</f>
        <v>1.106</v>
      </c>
      <c r="F163" s="155" t="n">
        <f aca="false">VLOOKUP(C163,$C$133:$I$152,7,0)</f>
        <v>798</v>
      </c>
      <c r="G163" s="155" t="n">
        <f aca="false">VLOOKUP(C163,$C$133:$J$152,8,0)</f>
        <v>3</v>
      </c>
      <c r="H163" s="160"/>
      <c r="I163" s="162"/>
      <c r="J163" s="162"/>
    </row>
    <row r="164" s="96" customFormat="true" ht="13.5" hidden="false" customHeight="true" outlineLevel="1" collapsed="false">
      <c r="A164" s="158" t="n">
        <f aca="false">IF(B164="","",+A163+1)</f>
        <v>11</v>
      </c>
      <c r="B164" s="153" t="str">
        <f aca="false">B143</f>
        <v>เสา</v>
      </c>
      <c r="C164" s="153" t="str">
        <f aca="false">C143</f>
        <v>SASH (Ver) </v>
      </c>
      <c r="D164" s="159"/>
      <c r="E164" s="155" t="n">
        <f aca="false">VLOOKUP(C164,$C$133:$H$152,3,0)</f>
        <v>1.106</v>
      </c>
      <c r="F164" s="155" t="n">
        <f aca="false">VLOOKUP(C164,$C$133:$I$152,7,0)</f>
        <v>2458</v>
      </c>
      <c r="G164" s="155" t="n">
        <f aca="false">VLOOKUP(C164,$C$133:$J$152,8,0)</f>
        <v>4</v>
      </c>
      <c r="H164" s="160"/>
      <c r="I164" s="162"/>
      <c r="J164" s="162"/>
    </row>
    <row r="165" s="96" customFormat="true" ht="13.5" hidden="false" customHeight="true" outlineLevel="1" collapsed="false">
      <c r="A165" s="158" t="n">
        <f aca="false">IF(B165="","",+A164+1)</f>
        <v>12</v>
      </c>
      <c r="B165" s="153" t="str">
        <f aca="false">B144</f>
        <v>เสากุญแจ</v>
      </c>
      <c r="C165" s="153" t="str">
        <f aca="false">C144</f>
        <v>SASH (Ver) LOCK </v>
      </c>
      <c r="D165" s="159"/>
      <c r="E165" s="155" t="n">
        <f aca="false">VLOOKUP(C165,$C$133:$H$152,3,0)</f>
        <v>1.106</v>
      </c>
      <c r="F165" s="155" t="n">
        <f aca="false">VLOOKUP(C165,$C$133:$I$152,7,0)</f>
        <v>2458</v>
      </c>
      <c r="G165" s="155" t="n">
        <f aca="false">VLOOKUP(C165,$C$133:$J$152,8,0)</f>
        <v>1</v>
      </c>
      <c r="H165" s="160"/>
      <c r="I165" s="162"/>
      <c r="J165" s="162"/>
    </row>
    <row r="166" s="96" customFormat="true" ht="13.5" hidden="false" customHeight="true" outlineLevel="1" collapsed="false">
      <c r="A166" s="158" t="n">
        <f aca="false">IF(B166="","",+A165+1)</f>
        <v>13</v>
      </c>
      <c r="B166" s="153" t="str">
        <f aca="false">B145</f>
        <v>เสากุญแจมือจับ</v>
      </c>
      <c r="C166" s="153" t="str">
        <f aca="false">C145</f>
        <v>SASH (Ver) LOCK HANDLE</v>
      </c>
      <c r="D166" s="159"/>
      <c r="E166" s="155" t="n">
        <f aca="false">VLOOKUP(C166,$C$133:$H$152,3,0)</f>
        <v>1.106</v>
      </c>
      <c r="F166" s="155" t="n">
        <f aca="false">VLOOKUP(C166,$C$133:$I$152,7,0)</f>
        <v>2458</v>
      </c>
      <c r="G166" s="155" t="n">
        <f aca="false">VLOOKUP(C166,$C$133:$J$152,8,0)</f>
        <v>1</v>
      </c>
      <c r="H166" s="160"/>
      <c r="I166" s="162"/>
      <c r="J166" s="162"/>
    </row>
    <row r="167" s="96" customFormat="true" ht="13.5" hidden="false" customHeight="true" outlineLevel="1" collapsed="false">
      <c r="A167" s="158" t="n">
        <f aca="false">IF(B167="","",+A166+1)</f>
        <v>14</v>
      </c>
      <c r="B167" s="153" t="str">
        <f aca="false">B146</f>
        <v>5-6mm คิ้วตบกระจกแนวนอน</v>
      </c>
      <c r="C167" s="153" t="str">
        <f aca="false">C146</f>
        <v>5-6mm GLAZING BEAD HORIZONTAL</v>
      </c>
      <c r="D167" s="163" t="str">
        <f aca="false">VLOOKUP(C167,$C$133:$H$152,2,0)</f>
        <v>B24008</v>
      </c>
      <c r="E167" s="155" t="n">
        <f aca="false">VLOOKUP(C167,$C$133:$H$152,3,0)</f>
        <v>0.231</v>
      </c>
      <c r="F167" s="155" t="n">
        <f aca="false">VLOOKUP(C167,$C$133:$I$152,7,0)</f>
        <v>687.166666666667</v>
      </c>
      <c r="G167" s="155" t="n">
        <f aca="false">VLOOKUP(C167,$C$133:$J$152,8,0)</f>
        <v>6</v>
      </c>
      <c r="H167" s="160" t="n">
        <f aca="false">ROUNDUP(((F167*G167)+(F168*G168))/6400,0)</f>
        <v>3</v>
      </c>
      <c r="I167" s="157"/>
      <c r="J167" s="157"/>
    </row>
    <row r="168" s="202" customFormat="true" ht="15" hidden="false" customHeight="true" outlineLevel="1" collapsed="false">
      <c r="A168" s="158" t="n">
        <f aca="false">IF(B168="","",+A167+1)</f>
        <v>15</v>
      </c>
      <c r="B168" s="153" t="str">
        <f aca="false">B147</f>
        <v>5-6mm คิ้วตบกระจกแนวตั้ง</v>
      </c>
      <c r="C168" s="153" t="str">
        <f aca="false">C147</f>
        <v>5-6mm GLAZING BEAD VERTICAL</v>
      </c>
      <c r="D168" s="163"/>
      <c r="E168" s="155" t="n">
        <f aca="false">VLOOKUP(C168,$C$133:$H$152,3,0)</f>
        <v>0.231</v>
      </c>
      <c r="F168" s="155" t="n">
        <f aca="false">VLOOKUP(C168,$C$133:$I$152,7,0)</f>
        <v>2308</v>
      </c>
      <c r="G168" s="155" t="n">
        <f aca="false">VLOOKUP(C168,$C$133:$J$152,8,0)</f>
        <v>6</v>
      </c>
      <c r="H168" s="160"/>
      <c r="I168" s="157"/>
      <c r="J168" s="157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Y168" s="96"/>
      <c r="Z168" s="96"/>
      <c r="AA168" s="96"/>
      <c r="AB168" s="96"/>
      <c r="AC168" s="96"/>
      <c r="AD168" s="96"/>
      <c r="AE168" s="96"/>
      <c r="AF168" s="96"/>
      <c r="AG168" s="96"/>
      <c r="AH168" s="96"/>
      <c r="AI168" s="96"/>
      <c r="AJ168" s="96"/>
    </row>
    <row r="169" s="96" customFormat="true" ht="24.75" hidden="false" customHeight="true" outlineLevel="0" collapsed="false">
      <c r="A169" s="113" t="s">
        <v>396</v>
      </c>
      <c r="B169" s="113"/>
      <c r="C169" s="113"/>
      <c r="D169" s="113"/>
      <c r="E169" s="113"/>
      <c r="F169" s="113"/>
      <c r="G169" s="113"/>
      <c r="H169" s="113"/>
      <c r="I169" s="113"/>
      <c r="J169" s="113"/>
    </row>
    <row r="170" s="96" customFormat="true" ht="34.5" hidden="false" customHeight="true" outlineLevel="0" collapsed="false">
      <c r="A170" s="114" t="s">
        <v>319</v>
      </c>
      <c r="B170" s="115" t="s">
        <v>320</v>
      </c>
      <c r="C170" s="115" t="s">
        <v>168</v>
      </c>
      <c r="D170" s="115" t="s">
        <v>397</v>
      </c>
      <c r="E170" s="115" t="s">
        <v>321</v>
      </c>
      <c r="F170" s="116" t="s">
        <v>398</v>
      </c>
      <c r="G170" s="115" t="s">
        <v>399</v>
      </c>
      <c r="H170" s="116" t="s">
        <v>400</v>
      </c>
      <c r="I170" s="116" t="s">
        <v>401</v>
      </c>
      <c r="J170" s="117" t="s">
        <v>402</v>
      </c>
      <c r="N170" s="107" t="s">
        <v>288</v>
      </c>
      <c r="O170" s="165" t="s">
        <v>320</v>
      </c>
      <c r="P170" s="165" t="s">
        <v>168</v>
      </c>
      <c r="Q170" s="165" t="s">
        <v>397</v>
      </c>
      <c r="R170" s="165" t="s">
        <v>321</v>
      </c>
      <c r="S170" s="165" t="s">
        <v>398</v>
      </c>
      <c r="T170" s="165" t="s">
        <v>399</v>
      </c>
      <c r="U170" s="165" t="s">
        <v>400</v>
      </c>
      <c r="V170" s="165" t="s">
        <v>401</v>
      </c>
      <c r="W170" s="165" t="s">
        <v>402</v>
      </c>
    </row>
    <row r="171" s="96" customFormat="true" ht="18" hidden="false" customHeight="true" outlineLevel="0" collapsed="false">
      <c r="A171" s="166" t="n">
        <f aca="false">IF(B171="","",1)</f>
        <v>1</v>
      </c>
      <c r="B171" s="131" t="s">
        <v>403</v>
      </c>
      <c r="C171" s="131" t="s">
        <v>404</v>
      </c>
      <c r="D171" s="132" t="s">
        <v>276</v>
      </c>
      <c r="E171" s="130"/>
      <c r="F171" s="130" t="s">
        <v>276</v>
      </c>
      <c r="G171" s="255" t="s">
        <v>405</v>
      </c>
      <c r="H171" s="130" t="n">
        <v>1</v>
      </c>
      <c r="I171" s="133"/>
      <c r="J171" s="134" t="n">
        <f aca="false">$J$120*H171</f>
        <v>1</v>
      </c>
      <c r="N171" s="107" t="s">
        <v>406</v>
      </c>
      <c r="O171" s="55" t="s">
        <v>407</v>
      </c>
      <c r="P171" s="62" t="s">
        <v>408</v>
      </c>
      <c r="Q171" s="55" t="s">
        <v>227</v>
      </c>
      <c r="R171" s="158"/>
      <c r="S171" s="158" t="s">
        <v>227</v>
      </c>
      <c r="T171" s="158" t="s">
        <v>409</v>
      </c>
      <c r="U171" s="168" t="n">
        <f aca="false">((($I$141*$G$141)+($I$142*$G$142)+($I$143*$G$143)+($I$144*$G$144))/1000)*$J$120</f>
        <v>17.078</v>
      </c>
      <c r="V171" s="168" t="n">
        <v>100</v>
      </c>
      <c r="W171" s="169" t="n">
        <f aca="false">ROUNDUP((U171)/100,0)</f>
        <v>1</v>
      </c>
    </row>
    <row r="172" s="96" customFormat="true" ht="18" hidden="false" customHeight="true" outlineLevel="0" collapsed="false">
      <c r="A172" s="170" t="n">
        <f aca="false">IF(B172="","",+A171+1)</f>
        <v>2</v>
      </c>
      <c r="B172" s="131" t="s">
        <v>410</v>
      </c>
      <c r="C172" s="131" t="s">
        <v>411</v>
      </c>
      <c r="D172" s="132" t="s">
        <v>267</v>
      </c>
      <c r="E172" s="130"/>
      <c r="F172" s="130" t="s">
        <v>267</v>
      </c>
      <c r="G172" s="130" t="s">
        <v>405</v>
      </c>
      <c r="H172" s="130" t="n">
        <v>6</v>
      </c>
      <c r="I172" s="133"/>
      <c r="J172" s="134" t="n">
        <f aca="false">$J$120*H172</f>
        <v>6</v>
      </c>
      <c r="N172" s="107" t="s">
        <v>412</v>
      </c>
      <c r="O172" s="55" t="s">
        <v>413</v>
      </c>
      <c r="P172" s="62" t="s">
        <v>414</v>
      </c>
      <c r="Q172" s="55" t="s">
        <v>234</v>
      </c>
      <c r="R172" s="158"/>
      <c r="S172" s="158" t="s">
        <v>234</v>
      </c>
      <c r="T172" s="158" t="s">
        <v>409</v>
      </c>
      <c r="U172" s="168" t="n">
        <f aca="false">((($I$141*$G$141)+($I$142*$G$142)+($I$143*$G$143)+($I$144*$G$144))/1000)*$J$120</f>
        <v>17.078</v>
      </c>
      <c r="V172" s="168" t="n">
        <v>100</v>
      </c>
      <c r="W172" s="169" t="n">
        <f aca="false">ROUNDUP((U172)/100,0)</f>
        <v>1</v>
      </c>
    </row>
    <row r="173" s="96" customFormat="true" ht="18" hidden="false" customHeight="true" outlineLevel="0" collapsed="false">
      <c r="A173" s="170" t="n">
        <f aca="false">IF(B173="","",+A172+1)</f>
        <v>3</v>
      </c>
      <c r="B173" s="131" t="s">
        <v>415</v>
      </c>
      <c r="C173" s="131" t="s">
        <v>416</v>
      </c>
      <c r="D173" s="132" t="s">
        <v>222</v>
      </c>
      <c r="E173" s="130"/>
      <c r="F173" s="130" t="s">
        <v>222</v>
      </c>
      <c r="G173" s="130" t="s">
        <v>405</v>
      </c>
      <c r="H173" s="130" t="n">
        <v>2</v>
      </c>
      <c r="I173" s="133"/>
      <c r="J173" s="134" t="n">
        <f aca="false">$J$120*H173</f>
        <v>2</v>
      </c>
      <c r="N173" s="107" t="s">
        <v>417</v>
      </c>
      <c r="O173" s="62" t="s">
        <v>418</v>
      </c>
      <c r="P173" s="62" t="s">
        <v>419</v>
      </c>
      <c r="Q173" s="55" t="s">
        <v>236</v>
      </c>
      <c r="R173" s="158"/>
      <c r="S173" s="158" t="s">
        <v>236</v>
      </c>
      <c r="T173" s="158" t="s">
        <v>409</v>
      </c>
      <c r="U173" s="168" t="n">
        <f aca="false">((($I$141*$G$141)+($I$142*$G$142)+($I$143*$G$143)+($I$144*$G$144))/1000)*$J$120</f>
        <v>17.078</v>
      </c>
      <c r="V173" s="168" t="n">
        <v>100</v>
      </c>
      <c r="W173" s="169" t="n">
        <f aca="false">ROUNDUP((U173)/100,0)</f>
        <v>1</v>
      </c>
    </row>
    <row r="174" s="96" customFormat="true" ht="18" hidden="false" customHeight="true" outlineLevel="0" collapsed="false">
      <c r="A174" s="170" t="n">
        <f aca="false">IF(B174="","",+A173+1)</f>
        <v>4</v>
      </c>
      <c r="B174" s="131" t="s">
        <v>420</v>
      </c>
      <c r="C174" s="131" t="s">
        <v>421</v>
      </c>
      <c r="D174" s="132" t="s">
        <v>225</v>
      </c>
      <c r="E174" s="130"/>
      <c r="F174" s="130" t="s">
        <v>225</v>
      </c>
      <c r="G174" s="130" t="s">
        <v>405</v>
      </c>
      <c r="H174" s="130" t="n">
        <v>2</v>
      </c>
      <c r="I174" s="133"/>
      <c r="J174" s="134" t="n">
        <f aca="false">$J$120*H174</f>
        <v>2</v>
      </c>
      <c r="N174" s="107" t="s">
        <v>422</v>
      </c>
      <c r="O174" s="62" t="s">
        <v>423</v>
      </c>
      <c r="P174" s="62" t="s">
        <v>424</v>
      </c>
      <c r="Q174" s="55" t="s">
        <v>238</v>
      </c>
      <c r="R174" s="158"/>
      <c r="S174" s="158" t="s">
        <v>238</v>
      </c>
      <c r="T174" s="158" t="s">
        <v>409</v>
      </c>
      <c r="U174" s="168" t="n">
        <f aca="false">((($I$141*$G$141)+($I$142*$G$142)+($I$143*$G$143)+($I$144*$G$144))/1000)*$J$120</f>
        <v>17.078</v>
      </c>
      <c r="V174" s="168" t="n">
        <v>100</v>
      </c>
      <c r="W174" s="169" t="n">
        <f aca="false">ROUNDUP((U174)/100,0)</f>
        <v>1</v>
      </c>
    </row>
    <row r="175" s="96" customFormat="true" ht="18" hidden="false" customHeight="true" outlineLevel="0" collapsed="false">
      <c r="A175" s="170" t="n">
        <f aca="false">IF(B175="","",+A174+1)</f>
        <v>5</v>
      </c>
      <c r="B175" s="131" t="s">
        <v>425</v>
      </c>
      <c r="C175" s="131" t="s">
        <v>426</v>
      </c>
      <c r="D175" s="132" t="n">
        <v>9</v>
      </c>
      <c r="E175" s="130"/>
      <c r="F175" s="130" t="n">
        <v>9</v>
      </c>
      <c r="G175" s="130" t="s">
        <v>405</v>
      </c>
      <c r="H175" s="130" t="n">
        <v>24</v>
      </c>
      <c r="I175" s="133"/>
      <c r="J175" s="134" t="n">
        <f aca="false">$J$120*H175</f>
        <v>24</v>
      </c>
      <c r="N175" s="107" t="s">
        <v>427</v>
      </c>
      <c r="O175" s="62" t="s">
        <v>428</v>
      </c>
      <c r="P175" s="62" t="s">
        <v>429</v>
      </c>
      <c r="Q175" s="55" t="s">
        <v>240</v>
      </c>
      <c r="R175" s="158"/>
      <c r="S175" s="158" t="s">
        <v>240</v>
      </c>
      <c r="T175" s="158" t="s">
        <v>409</v>
      </c>
      <c r="U175" s="168" t="n">
        <f aca="false">((($I$141*$G$141)+($I$142*$G$142)+($I$143*$G$143)+($I$144*$G$144))/1000)*$J$120</f>
        <v>17.078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6</v>
      </c>
      <c r="B176" s="131" t="s">
        <v>430</v>
      </c>
      <c r="C176" s="131" t="s">
        <v>431</v>
      </c>
      <c r="D176" s="132" t="n">
        <v>9</v>
      </c>
      <c r="E176" s="130"/>
      <c r="F176" s="130" t="n">
        <v>9</v>
      </c>
      <c r="G176" s="130" t="s">
        <v>405</v>
      </c>
      <c r="H176" s="130" t="n">
        <v>48</v>
      </c>
      <c r="I176" s="133"/>
      <c r="J176" s="134" t="n">
        <f aca="false">$J$120*H176</f>
        <v>48</v>
      </c>
    </row>
    <row r="177" s="96" customFormat="true" ht="18" hidden="false" customHeight="true" outlineLevel="0" collapsed="false">
      <c r="A177" s="170" t="n">
        <f aca="false">IF(B177="","",+A176+1)</f>
        <v>7</v>
      </c>
      <c r="B177" s="131" t="s">
        <v>512</v>
      </c>
      <c r="C177" s="131" t="s">
        <v>513</v>
      </c>
      <c r="D177" s="132" t="s">
        <v>7</v>
      </c>
      <c r="E177" s="130"/>
      <c r="F177" s="130" t="s">
        <v>7</v>
      </c>
      <c r="G177" s="130" t="s">
        <v>434</v>
      </c>
      <c r="H177" s="130" t="n">
        <v>1</v>
      </c>
      <c r="I177" s="133"/>
      <c r="J177" s="134" t="n">
        <f aca="false">$J$120*H177</f>
        <v>1</v>
      </c>
    </row>
    <row r="178" s="96" customFormat="true" ht="18" hidden="false" customHeight="true" outlineLevel="0" collapsed="false">
      <c r="A178" s="170" t="n">
        <f aca="false">IF(B178="","",+A177+1)</f>
        <v>8</v>
      </c>
      <c r="B178" s="131" t="s">
        <v>554</v>
      </c>
      <c r="C178" s="131" t="s">
        <v>555</v>
      </c>
      <c r="D178" s="132" t="s">
        <v>11</v>
      </c>
      <c r="E178" s="130"/>
      <c r="F178" s="130" t="s">
        <v>11</v>
      </c>
      <c r="G178" s="130" t="s">
        <v>434</v>
      </c>
      <c r="H178" s="130" t="n">
        <v>1</v>
      </c>
      <c r="I178" s="133"/>
      <c r="J178" s="134" t="n">
        <f aca="false">$J$120*H178</f>
        <v>1</v>
      </c>
    </row>
    <row r="179" s="96" customFormat="true" ht="18" hidden="false" customHeight="true" outlineLevel="0" collapsed="false">
      <c r="A179" s="170" t="n">
        <f aca="false">IF(B179="","",+A178+1)</f>
        <v>9</v>
      </c>
      <c r="B179" s="131" t="s">
        <v>556</v>
      </c>
      <c r="C179" s="131" t="s">
        <v>557</v>
      </c>
      <c r="D179" s="132" t="s">
        <v>5</v>
      </c>
      <c r="E179" s="130"/>
      <c r="F179" s="130" t="s">
        <v>5</v>
      </c>
      <c r="G179" s="130" t="s">
        <v>434</v>
      </c>
      <c r="H179" s="130" t="n">
        <v>1</v>
      </c>
      <c r="I179" s="133"/>
      <c r="J179" s="134" t="n">
        <f aca="false">$J$120*H179</f>
        <v>1</v>
      </c>
    </row>
    <row r="180" s="96" customFormat="true" ht="18" hidden="false" customHeight="true" outlineLevel="0" collapsed="false">
      <c r="A180" s="170" t="n">
        <f aca="false">IF(B180="","",+A179+1)</f>
        <v>10</v>
      </c>
      <c r="B180" s="131" t="s">
        <v>439</v>
      </c>
      <c r="C180" s="131" t="s">
        <v>440</v>
      </c>
      <c r="D180" s="132" t="s">
        <v>12</v>
      </c>
      <c r="E180" s="130"/>
      <c r="F180" s="130" t="s">
        <v>12</v>
      </c>
      <c r="G180" s="130" t="s">
        <v>434</v>
      </c>
      <c r="H180" s="130" t="n">
        <v>1</v>
      </c>
      <c r="I180" s="133"/>
      <c r="J180" s="134" t="n">
        <f aca="false">$J$120*H180</f>
        <v>1</v>
      </c>
      <c r="Q180" s="172"/>
      <c r="R180" s="172"/>
      <c r="S180" s="172"/>
      <c r="T180" s="97"/>
      <c r="U180" s="97"/>
      <c r="V180" s="97"/>
    </row>
    <row r="181" s="96" customFormat="true" ht="18" hidden="false" customHeight="true" outlineLevel="0" collapsed="false">
      <c r="A181" s="170" t="n">
        <f aca="false">IF(B181="","",+A180+1)</f>
        <v>11</v>
      </c>
      <c r="B181" s="131" t="s">
        <v>540</v>
      </c>
      <c r="C181" s="131" t="s">
        <v>541</v>
      </c>
      <c r="D181" s="132" t="s">
        <v>542</v>
      </c>
      <c r="E181" s="130"/>
      <c r="F181" s="130" t="s">
        <v>542</v>
      </c>
      <c r="G181" s="130" t="s">
        <v>434</v>
      </c>
      <c r="H181" s="130" t="n">
        <v>1</v>
      </c>
      <c r="I181" s="142"/>
      <c r="J181" s="134" t="n">
        <f aca="false">$J$120*H181</f>
        <v>1</v>
      </c>
      <c r="N181" s="107" t="s">
        <v>289</v>
      </c>
      <c r="O181" s="165" t="s">
        <v>320</v>
      </c>
      <c r="P181" s="165" t="s">
        <v>168</v>
      </c>
      <c r="Q181" s="165" t="s">
        <v>397</v>
      </c>
      <c r="R181" s="165" t="s">
        <v>321</v>
      </c>
      <c r="S181" s="165" t="s">
        <v>398</v>
      </c>
      <c r="T181" s="165" t="s">
        <v>399</v>
      </c>
      <c r="U181" s="165" t="s">
        <v>400</v>
      </c>
      <c r="V181" s="165" t="s">
        <v>401</v>
      </c>
      <c r="W181" s="165" t="s">
        <v>402</v>
      </c>
    </row>
    <row r="182" s="96" customFormat="true" ht="18" hidden="false" customHeight="true" outlineLevel="0" collapsed="false">
      <c r="A182" s="170" t="n">
        <f aca="false">IF(B182="","",+A181+1)</f>
        <v>12</v>
      </c>
      <c r="B182" s="131" t="s">
        <v>441</v>
      </c>
      <c r="C182" s="131" t="s">
        <v>442</v>
      </c>
      <c r="D182" s="132" t="s">
        <v>274</v>
      </c>
      <c r="E182" s="130"/>
      <c r="F182" s="130" t="s">
        <v>274</v>
      </c>
      <c r="G182" s="130" t="s">
        <v>405</v>
      </c>
      <c r="H182" s="130" t="n">
        <v>2</v>
      </c>
      <c r="I182" s="142"/>
      <c r="J182" s="134" t="n">
        <f aca="false">$J$120*H182</f>
        <v>2</v>
      </c>
      <c r="N182" s="107" t="s">
        <v>445</v>
      </c>
      <c r="O182" s="62" t="s">
        <v>446</v>
      </c>
      <c r="P182" s="62" t="s">
        <v>447</v>
      </c>
      <c r="Q182" s="55" t="s">
        <v>230</v>
      </c>
      <c r="R182" s="158"/>
      <c r="S182" s="158" t="s">
        <v>230</v>
      </c>
      <c r="T182" s="158" t="s">
        <v>409</v>
      </c>
      <c r="U182" s="168" t="n">
        <f aca="false">((($I$134*$G$134)+($I$136*$G$136)+($I$139*$G$139))/1000)*$J$120</f>
        <v>7.248</v>
      </c>
      <c r="V182" s="168" t="n">
        <v>300</v>
      </c>
      <c r="W182" s="169" t="n">
        <f aca="false">ROUNDUP((U182)/V182,0)</f>
        <v>1</v>
      </c>
    </row>
    <row r="183" s="96" customFormat="true" ht="18" hidden="false" customHeight="true" outlineLevel="0" collapsed="false">
      <c r="A183" s="170" t="n">
        <f aca="false">IF(B183="","",+A182+1)</f>
        <v>13</v>
      </c>
      <c r="B183" s="131" t="s">
        <v>443</v>
      </c>
      <c r="C183" s="131" t="s">
        <v>444</v>
      </c>
      <c r="D183" s="132" t="s">
        <v>272</v>
      </c>
      <c r="E183" s="130"/>
      <c r="F183" s="130" t="s">
        <v>272</v>
      </c>
      <c r="G183" s="130" t="s">
        <v>405</v>
      </c>
      <c r="H183" s="130" t="n">
        <v>1</v>
      </c>
      <c r="I183" s="142"/>
      <c r="J183" s="134" t="n">
        <f aca="false">$J$120*H183</f>
        <v>1</v>
      </c>
      <c r="N183" s="107" t="s">
        <v>448</v>
      </c>
      <c r="O183" s="62" t="s">
        <v>449</v>
      </c>
      <c r="P183" s="62" t="s">
        <v>450</v>
      </c>
      <c r="Q183" s="55" t="s">
        <v>451</v>
      </c>
      <c r="R183" s="158"/>
      <c r="S183" s="158" t="s">
        <v>451</v>
      </c>
      <c r="T183" s="158" t="s">
        <v>409</v>
      </c>
      <c r="U183" s="168" t="n">
        <f aca="false">((($I$134*$G$134)+($I$136*$G$136)+($I$139*$G$139))/1000)*$J$120</f>
        <v>7.248</v>
      </c>
      <c r="V183" s="168" t="n">
        <v>100</v>
      </c>
      <c r="W183" s="169" t="n">
        <f aca="false">ROUNDUP((U183)/V183,0)</f>
        <v>1</v>
      </c>
    </row>
    <row r="184" s="96" customFormat="true" ht="18" hidden="false" customHeight="true" outlineLevel="0" collapsed="false">
      <c r="A184" s="170" t="n">
        <f aca="false">IF(B184="","",+A183+1)</f>
        <v>14</v>
      </c>
      <c r="B184" s="132" t="str">
        <f aca="false">IF($D$129="Standard",$O$182,IF($D$129="Soumdproof",$O$183,))</f>
        <v>ยางเฟรมกันน้ำ (ธรรมดา)</v>
      </c>
      <c r="C184" s="132" t="str">
        <f aca="false">IF($D$129="Standard",$P$182,IF($D$129="Soumdproof",$P$183,))</f>
        <v>FRAME SEAL (Standard)</v>
      </c>
      <c r="D184" s="132" t="str">
        <f aca="false">IF($D$129="Standard",$Q$182,IF($D$129="Soumdproof",$Q$183,))</f>
        <v>02-026</v>
      </c>
      <c r="E184" s="130" t="n">
        <f aca="false">IF($D$129="Standard",R183,IF($D$129="Soumdproof",R184,))</f>
        <v>0</v>
      </c>
      <c r="F184" s="130" t="str">
        <f aca="false">IF($D$129="Standard",$S$182,IF($D$129="Soumdproof",$S$183,))</f>
        <v>02-026</v>
      </c>
      <c r="G184" s="130" t="str">
        <f aca="false">IF($D$129="Standard",$T$182,IF($D$129="Soumdproof",$T$183,))</f>
        <v>M</v>
      </c>
      <c r="H184" s="173" t="n">
        <f aca="false">IF($D$129="Standard",$U$182,IF($D$129="Soumdproof",$U$183,))</f>
        <v>7.248</v>
      </c>
      <c r="I184" s="174" t="n">
        <f aca="false">IF($D$129="Standard",$V$182,IF($D$129="Soumdproof",$V$183,))</f>
        <v>300</v>
      </c>
      <c r="J184" s="175" t="n">
        <f aca="false">ROUNDUP((H184)/100,0)</f>
        <v>1</v>
      </c>
      <c r="N184" s="107" t="s">
        <v>445</v>
      </c>
      <c r="O184" s="62" t="s">
        <v>452</v>
      </c>
      <c r="P184" s="62" t="s">
        <v>453</v>
      </c>
      <c r="Q184" s="55" t="s">
        <v>232</v>
      </c>
      <c r="R184" s="158"/>
      <c r="S184" s="158" t="s">
        <v>232</v>
      </c>
      <c r="T184" s="158" t="s">
        <v>409</v>
      </c>
      <c r="U184" s="168" t="n">
        <f aca="false">((($I$143*$G$143*2)+($I$144*$G$144*2)+($I$141*$G$141*2))/1000)*$J$120</f>
        <v>29.368</v>
      </c>
      <c r="V184" s="168" t="n">
        <v>350</v>
      </c>
      <c r="W184" s="169" t="n">
        <f aca="false">ROUNDUP((U184)/V184,0)</f>
        <v>1</v>
      </c>
    </row>
    <row r="185" s="96" customFormat="true" ht="18" hidden="false" customHeight="true" outlineLevel="0" collapsed="false">
      <c r="A185" s="170" t="n">
        <f aca="false">IF(B185="","",+A184+1)</f>
        <v>15</v>
      </c>
      <c r="B185" s="132" t="str">
        <f aca="false">IF($D$129="Standard",$O$184,IF($D$129="Soumdproof",$O$185,))</f>
        <v>ยางแซชกันน้ำ (ธรรมดา)</v>
      </c>
      <c r="C185" s="132" t="str">
        <f aca="false">IF($D$129="Standard",$P$184,IF($D$129="Soumdproof",$P$185,))</f>
        <v>SASH SEAL FOAM (Standard)</v>
      </c>
      <c r="D185" s="132" t="str">
        <f aca="false">IF($D$129="Standard",$Q$184,IF($D$129="Soumdproof",$Q$185,))</f>
        <v>02-031</v>
      </c>
      <c r="E185" s="130" t="n">
        <f aca="false">IF($D$129="Standard",R185,IF($D$129="Soumdproof",R186,))</f>
        <v>0</v>
      </c>
      <c r="F185" s="130" t="str">
        <f aca="false">IF($D$129="Standard",$S$184,IF($D$129="Soumdproof",$S$185,))</f>
        <v>02-031</v>
      </c>
      <c r="G185" s="130" t="str">
        <f aca="false">IF($D$129="Standard",$T$184,IF($D$129="Soumdproof",$T$185,))</f>
        <v>M</v>
      </c>
      <c r="H185" s="173" t="n">
        <f aca="false">IF($D$129="Standard",$U$184,IF($D$129="Soumdproof",$U$185,))</f>
        <v>29.368</v>
      </c>
      <c r="I185" s="174" t="n">
        <f aca="false">IF($D$129="Standard",$V$184,IF($D$129="Soumdproof",$V$185,))</f>
        <v>350</v>
      </c>
      <c r="J185" s="175" t="n">
        <f aca="false">ROUNDUP((H185)/100,0)</f>
        <v>1</v>
      </c>
      <c r="N185" s="107" t="s">
        <v>448</v>
      </c>
      <c r="O185" s="62" t="s">
        <v>454</v>
      </c>
      <c r="P185" s="62" t="s">
        <v>455</v>
      </c>
      <c r="Q185" s="55" t="s">
        <v>456</v>
      </c>
      <c r="R185" s="158"/>
      <c r="S185" s="158" t="s">
        <v>456</v>
      </c>
      <c r="T185" s="158" t="s">
        <v>409</v>
      </c>
      <c r="U185" s="168" t="n">
        <f aca="false">((($I$143*$G$143*2)+($I$144*$G$144*2)+($I$141*$G$141*2))/1000)*$J$120</f>
        <v>29.368</v>
      </c>
      <c r="V185" s="168" t="n">
        <v>100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16</v>
      </c>
      <c r="B186" s="176" t="str">
        <f aca="false">IF($D$127=5,$O$173,IF($D$127=6,$O$174,IF($D$127=8,$O$175,IF($D$127=10,$O$173,IF($D$127=12,$O$173,IF($D$127=14,$O$175,IF($D$127=18,$O$173,IF($D$127=20,$O$174,IF($D$127=22,"")))))))))</f>
        <v>6,20 mm ยางอัดกระจก</v>
      </c>
      <c r="C186" s="176" t="str">
        <f aca="false">IF($D$127=5,$P$173,IF($D$127=6,$P$174,IF($D$127=8,$P$175,IF($D$127=10,$P$173,IF($D$127=12,$P$173,IF($D$127=14,$P$175,IF($D$127=18,$P$173,IF($D$127=20,$P$174,IF($D$127=22,"")))))))))</f>
        <v>6,20 mm ROLL IN WEDGE</v>
      </c>
      <c r="D186" s="176" t="str">
        <f aca="false">IF($D$127=5,$Q$173,IF($D$127=6,$Q$174,IF($D$127=8,$Q$175,IF($D$127=10,$Q$173,IF($D$127=12,$Q$173,IF($D$127=14,$Q$175,IF($D$127=18,$Q$173,IF($D$127=20,$Q$174,IF($D$127=22,"")))))))))</f>
        <v>02-034</v>
      </c>
      <c r="E186" s="176" t="n">
        <f aca="false">IF($D$127=5,R174,IF($D$127=6,R175,IF($D$127=8,R176,IF($D$127=10,R174,IF($D$127=12,R174,IF($D$127=14,R176,IF($D$127=18,R174,IF($D$127=20,R175,IF($D$127=22,"",)))))))))</f>
        <v>0</v>
      </c>
      <c r="F186" s="167" t="str">
        <f aca="false">IF($D$127=5,$S$173,IF($D$127=6,$S$174,IF($D$127=8,$S$175,IF($D$127=10,$S$173,IF($D$127=12,$S$173,IF($D$127=14,$S$175,IF($D$127=18,$S$173,IF($D$127=20,$S$174,IF($D$127=22,"")))))))))</f>
        <v>02-034</v>
      </c>
      <c r="G186" s="167" t="str">
        <f aca="false">IF($D$127=5,$T$173,IF($D$127=6,$T$174,IF($D$127=8,$T$175,IF($D$127=10,$T$173,IF($D$127=12,$T$173,IF($D$127=14,$T$175,IF($D$127=18,$T$173,IF($D$127=20,$T$174,IF($D$127=22,"")))))))))</f>
        <v>M</v>
      </c>
      <c r="H186" s="173" t="n">
        <f aca="false">IF($D$127=5,$U$173,IF($D$127=6,$U$174,IF($D$127=8,$U$175,IF($D$127=10,$U$173*2,IF($D$127=12,$U$173,IF($D$127=14,$U$175*2,IF($D$127=18,$U$173,IF($D$127=20,$U$174,IF($D$127=22,"")))))))))</f>
        <v>17.078</v>
      </c>
      <c r="I186" s="174" t="n">
        <f aca="false">IF($D$127=5,$V$173,IF($D$127=6,$V$174,IF($D$127=8,$V$175,IF($D$127=10,$V$173,IF($D$127=12,$V$173,IF($D$127=14,$V$175,IF($D$127=18,$V$173,IF($D$127=20,$V$174,IF($D$127=22,"")))))))))</f>
        <v>100</v>
      </c>
      <c r="J186" s="175" t="n">
        <f aca="false">ROUNDUP((H186)/100,0)</f>
        <v>1</v>
      </c>
    </row>
    <row r="187" s="96" customFormat="true" ht="18" hidden="false" customHeight="true" outlineLevel="0" collapsed="false">
      <c r="A187" s="170" t="n">
        <f aca="false">IF(B187="","",+A186+1)</f>
        <v>17</v>
      </c>
      <c r="B187" s="176" t="str">
        <f aca="false">IF($D$127=5,$O$171,IF($D$127=6,$O$171,IF($D$127=8,$O$173,IF($D$127=10,"",IF($D$127=12,$O$172,IF($D$127=14,"",IF($D$127=18,$O$171,IF($D$127=20,$O$172,IF($D$127=22,"",)))))))))</f>
        <v>5,6,18 mm ยางรองกระจก</v>
      </c>
      <c r="C187" s="176" t="str">
        <f aca="false">IF($D$127=5,$P$171,IF($D$127=6,$P$171,IF($D$127=8,$P$173,IF($D$127=10,"",IF($D$127=12,$P$172,IF($D$127=14,"",IF($D$127=18,$P$171,IF($D$127=20,$P$172,IF($D$127=22,"",)))))))))</f>
        <v>5,6,18 mm CAPTIVE WEDGE</v>
      </c>
      <c r="D187" s="176" t="str">
        <f aca="false">IF($D$127=5,$Q$171,IF($D$127=6,$Q$171,IF($D$127=8,$Q$173,IF($D$127=10,"",IF($D$127=12,$Q$172,IF($D$127=14,"",IF($D$127=18,$Q$171,IF($D$127=20,$Q$172,IF($D$127=22,"",)))))))))</f>
        <v>02-022</v>
      </c>
      <c r="E187" s="176" t="n">
        <f aca="false">IF($D$127=5,R172,IF($D$127=6,R172,IF($D$127=8,R174,IF($D$127=10,"",IF($D$127=12,R173,IF($D$127=14,"",IF($D$127=18,R172,IF($D$127=20,R173,IF($D$127=22,"",)))))))))</f>
        <v>0</v>
      </c>
      <c r="F187" s="167" t="str">
        <f aca="false">IF($D$127=5,$S$171,IF($D$127=6,$S$171,IF($D$127=8,$S$173,IF($D$127=10,"",IF($D$127=12,$S$172,IF($D$127=14,"",IF($D$127=18,$S$171,IF($D$127=20,$S$172,IF($D$127=22,"",)))))))))</f>
        <v>02-022</v>
      </c>
      <c r="G187" s="167" t="str">
        <f aca="false">IF($D$127=5,$T$171,IF($D$127=6,$T$171,IF($D$127=8,$T$173,IF($D$127=10,"",IF($D$127=12,$T$172,IF($D$127=14,"",IF($D$127=18,$T$171,IF($D$127=20,$T$172,IF($D$127=22,"",)))))))))</f>
        <v>M</v>
      </c>
      <c r="H187" s="173" t="n">
        <f aca="false">IF($D$127=5,$U$171,IF($D$127=6,$U$171,IF($D$127=8,$U$173,IF($D$127=10,"",IF($D$127=12,$U$172,IF($D$127=14,"",IF($D$127=18,$U$171,IF($D$127=20,$U$172,IF($D$127=22,"")))))))))</f>
        <v>17.078</v>
      </c>
      <c r="I187" s="174" t="n">
        <f aca="false">IF($D$127=5,$V$171,IF($D$127=6,$V$171,IF($D$127=8,$V$173,IF($D$127=10,"",IF($D$127=12,$V$172,IF($D$127=14,"",IF($D$127=18,$V$171,IF($D$127=20,$V$172,IF($D$127=22,"",)))))))))</f>
        <v>100</v>
      </c>
      <c r="J187" s="175" t="n">
        <f aca="false">ROUNDUP((H187)/100,0)</f>
        <v>1</v>
      </c>
    </row>
    <row r="188" s="96" customFormat="true" ht="18" hidden="false" customHeight="true" outlineLevel="0" collapsed="false">
      <c r="A188" s="170" t="str">
        <f aca="false">IF(B188="","",+A187+1)</f>
        <v/>
      </c>
      <c r="B188" s="131"/>
      <c r="C188" s="131"/>
      <c r="D188" s="132"/>
      <c r="E188" s="130"/>
      <c r="F188" s="130"/>
      <c r="G188" s="130"/>
      <c r="H188" s="130"/>
      <c r="I188" s="142"/>
      <c r="J188" s="134" t="n">
        <f aca="false">$J$120*G188</f>
        <v>0</v>
      </c>
    </row>
    <row r="189" s="96" customFormat="true" ht="18" hidden="false" customHeight="true" outlineLevel="0" collapsed="false">
      <c r="A189" s="170" t="str">
        <f aca="false">IF(B189="","",+A188+1)</f>
        <v/>
      </c>
      <c r="B189" s="131"/>
      <c r="C189" s="131"/>
      <c r="D189" s="132"/>
      <c r="E189" s="130"/>
      <c r="F189" s="130"/>
      <c r="G189" s="130"/>
      <c r="H189" s="130"/>
      <c r="I189" s="133"/>
      <c r="J189" s="134" t="n">
        <f aca="false">$J$120*G189</f>
        <v>0</v>
      </c>
    </row>
    <row r="190" s="96" customFormat="true" ht="18" hidden="false" customHeight="true" outlineLevel="0" collapsed="false">
      <c r="A190" s="170" t="str">
        <f aca="false">IF(B190="","",+A189+1)</f>
        <v/>
      </c>
      <c r="B190" s="131"/>
      <c r="C190" s="131"/>
      <c r="D190" s="132"/>
      <c r="E190" s="130"/>
      <c r="F190" s="130"/>
      <c r="G190" s="130"/>
      <c r="H190" s="130"/>
      <c r="I190" s="133"/>
      <c r="J190" s="134" t="n">
        <f aca="false">$J$120*G190</f>
        <v>0</v>
      </c>
    </row>
    <row r="191" customFormat="false" ht="18" hidden="false" customHeight="true" outlineLevel="0" collapsed="false">
      <c r="A191" s="170" t="str">
        <f aca="false">IF(B191="","",+A190+1)</f>
        <v/>
      </c>
      <c r="B191" s="131"/>
      <c r="C191" s="131"/>
      <c r="D191" s="132"/>
      <c r="E191" s="130"/>
      <c r="F191" s="130"/>
      <c r="G191" s="130"/>
      <c r="H191" s="130"/>
      <c r="I191" s="133"/>
      <c r="J191" s="134" t="n">
        <f aca="false">$J$120*G191</f>
        <v>0</v>
      </c>
      <c r="Y191" s="96"/>
      <c r="Z191" s="96"/>
      <c r="AA191" s="96"/>
      <c r="AB191" s="96"/>
      <c r="AC191" s="96"/>
      <c r="AD191" s="96"/>
      <c r="AE191" s="96"/>
      <c r="AF191" s="96"/>
      <c r="AG191" s="96"/>
      <c r="AH191" s="96"/>
      <c r="AI191" s="96"/>
      <c r="AJ191" s="96"/>
    </row>
    <row r="192" s="96" customFormat="true" ht="18" hidden="false" customHeight="true" outlineLevel="0" collapsed="false">
      <c r="A192" s="170" t="str">
        <f aca="false">IF(B192="","",+A191+1)</f>
        <v/>
      </c>
      <c r="B192" s="131"/>
      <c r="C192" s="131"/>
      <c r="D192" s="132"/>
      <c r="E192" s="130"/>
      <c r="F192" s="130"/>
      <c r="G192" s="130"/>
      <c r="H192" s="130"/>
      <c r="I192" s="133"/>
      <c r="J192" s="134" t="n">
        <f aca="false">$J$120*G192</f>
        <v>0</v>
      </c>
    </row>
    <row r="193" s="96" customFormat="true" ht="18" hidden="false" customHeight="true" outlineLevel="0" collapsed="false">
      <c r="A193" s="170" t="str">
        <f aca="false">IF(B193="","",+A192+1)</f>
        <v/>
      </c>
      <c r="B193" s="131"/>
      <c r="C193" s="131"/>
      <c r="D193" s="132"/>
      <c r="E193" s="130"/>
      <c r="F193" s="130"/>
      <c r="G193" s="130"/>
      <c r="H193" s="130"/>
      <c r="I193" s="133"/>
      <c r="J193" s="134" t="n">
        <f aca="false">$J$120*G193</f>
        <v>0</v>
      </c>
    </row>
    <row r="194" s="96" customFormat="true" ht="18" hidden="false" customHeight="true" outlineLevel="0" collapsed="false">
      <c r="A194" s="170" t="str">
        <f aca="false">IF(B194="","",+A193+1)</f>
        <v/>
      </c>
      <c r="B194" s="131"/>
      <c r="C194" s="131"/>
      <c r="D194" s="132"/>
      <c r="E194" s="130"/>
      <c r="F194" s="130"/>
      <c r="G194" s="130"/>
      <c r="H194" s="130"/>
      <c r="I194" s="133"/>
      <c r="J194" s="134" t="n">
        <f aca="false">$J$120*G194</f>
        <v>0</v>
      </c>
    </row>
    <row r="195" s="96" customFormat="true" ht="18" hidden="false" customHeight="true" outlineLevel="0" collapsed="false">
      <c r="A195" s="170" t="str">
        <f aca="false">IF(B195="","",+A194+1)</f>
        <v/>
      </c>
      <c r="B195" s="131"/>
      <c r="C195" s="131"/>
      <c r="D195" s="132"/>
      <c r="E195" s="130"/>
      <c r="F195" s="130"/>
      <c r="G195" s="130"/>
      <c r="H195" s="130"/>
      <c r="I195" s="133"/>
      <c r="J195" s="134" t="n">
        <f aca="false">$J$120*G195</f>
        <v>0</v>
      </c>
    </row>
    <row r="196" s="96" customFormat="true" ht="18" hidden="false" customHeight="true" outlineLevel="0" collapsed="false">
      <c r="A196" s="170"/>
      <c r="B196" s="131"/>
      <c r="C196" s="131"/>
      <c r="D196" s="132"/>
      <c r="E196" s="130"/>
      <c r="F196" s="130"/>
      <c r="G196" s="130"/>
      <c r="H196" s="130"/>
      <c r="I196" s="133"/>
      <c r="J196" s="134"/>
    </row>
    <row r="197" s="96" customFormat="true" ht="18" hidden="false" customHeight="true" outlineLevel="0" collapsed="false">
      <c r="A197" s="170" t="str">
        <f aca="false">IF(B197="","",+""+1)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$J$120*G197</f>
        <v>0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$J$120*G198</f>
        <v>0</v>
      </c>
    </row>
    <row r="199" s="96" customFormat="true" ht="18" hidden="false" customHeight="true" outlineLevel="0" collapsed="false">
      <c r="A199" s="170" t="str">
        <f aca="false">IF(B199="","",+""+1)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$J$120*G199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$J$120*G200</f>
        <v>0</v>
      </c>
    </row>
    <row r="201" s="96" customFormat="true" ht="18" hidden="false" customHeight="true" outlineLevel="0" collapsed="false">
      <c r="A201" s="170" t="str">
        <f aca="false">IF(B201="","",+""+1)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$J$120*G201</f>
        <v>0</v>
      </c>
    </row>
    <row r="202" s="96" customFormat="true" ht="18" hidden="false" customHeight="true" outlineLevel="0" collapsed="false">
      <c r="A202" s="170" t="str">
        <f aca="false">IF(B202="","",+""+1)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$J$120*G202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$J$120*G203</f>
        <v>0</v>
      </c>
    </row>
    <row r="204" s="96" customFormat="true" ht="18" hidden="false" customHeight="true" outlineLevel="0" collapsed="false">
      <c r="A204" s="179" t="str">
        <f aca="false">IF(B204="","",+A203+1)</f>
        <v/>
      </c>
      <c r="B204" s="135"/>
      <c r="C204" s="135"/>
      <c r="D204" s="139"/>
      <c r="E204" s="136"/>
      <c r="F204" s="136"/>
      <c r="G204" s="136"/>
      <c r="H204" s="136"/>
      <c r="I204" s="140"/>
      <c r="J204" s="137" t="n">
        <f aca="false">$J$120*G204</f>
        <v>0</v>
      </c>
    </row>
    <row r="205" s="96" customFormat="true" ht="18" hidden="false" customHeight="true" outlineLevel="0" collapsed="false">
      <c r="A205" s="200"/>
      <c r="D205" s="98"/>
      <c r="E205" s="97"/>
      <c r="F205" s="97"/>
      <c r="G205" s="97"/>
      <c r="H205" s="97"/>
      <c r="I205" s="196"/>
      <c r="J205" s="256"/>
    </row>
    <row r="206" customFormat="false" ht="18" hidden="false" customHeight="true" outlineLevel="0" collapsed="false">
      <c r="A206" s="97"/>
      <c r="B206" s="96"/>
      <c r="C206" s="96"/>
      <c r="D206" s="98"/>
      <c r="E206" s="97"/>
      <c r="F206" s="97"/>
      <c r="G206" s="97"/>
      <c r="H206" s="97"/>
      <c r="J206" s="92" t="str">
        <f aca="false">LEFT($J$111,10)&amp;"-02"</f>
        <v>FG-240-3PR-02</v>
      </c>
    </row>
    <row r="207" customFormat="false" ht="12.75" hidden="false" customHeight="true" outlineLevel="0" collapsed="false">
      <c r="K207" s="78"/>
      <c r="L207" s="78"/>
      <c r="M207" s="79"/>
      <c r="N207" s="79"/>
    </row>
    <row r="208" customFormat="false" ht="30" hidden="false" customHeight="true" outlineLevel="0" collapsed="false">
      <c r="C208" s="75"/>
      <c r="D208" s="76"/>
      <c r="E208" s="76"/>
      <c r="F208" s="76"/>
      <c r="G208" s="76"/>
      <c r="H208" s="76"/>
      <c r="I208" s="76"/>
      <c r="J208" s="77" t="str">
        <f aca="false">$J$2</f>
        <v>HOMELIFE</v>
      </c>
      <c r="K208" s="83"/>
      <c r="L208" s="83"/>
      <c r="M208" s="79"/>
      <c r="N208" s="79"/>
    </row>
    <row r="209" customFormat="false" ht="24.75" hidden="false" customHeight="true" outlineLevel="0" collapsed="false">
      <c r="C209" s="82"/>
      <c r="D209" s="82"/>
      <c r="E209" s="82"/>
      <c r="F209" s="82"/>
      <c r="G209" s="82"/>
      <c r="H209" s="82"/>
      <c r="I209" s="82"/>
      <c r="J209" s="80" t="str">
        <f aca="false">$J$3</f>
        <v>Fabricators Guide</v>
      </c>
      <c r="K209" s="83"/>
      <c r="L209" s="83"/>
      <c r="M209" s="79"/>
      <c r="N209" s="79"/>
    </row>
    <row r="210" customFormat="false" ht="24.75" hidden="false" customHeight="true" outlineLevel="0" collapsed="false">
      <c r="B210" s="81"/>
      <c r="C210" s="82"/>
      <c r="D210" s="82"/>
      <c r="E210" s="82"/>
      <c r="F210" s="82"/>
      <c r="G210" s="82"/>
      <c r="H210" s="82"/>
      <c r="I210" s="82"/>
      <c r="J210" s="80" t="str">
        <f aca="false">$J$4</f>
        <v>240 Series Bi Fold Door </v>
      </c>
      <c r="M210" s="87"/>
      <c r="N210" s="87"/>
    </row>
    <row r="211" s="96" customFormat="true" ht="15" hidden="false" customHeight="true" outlineLevel="0" collapsed="false">
      <c r="A211" s="84"/>
      <c r="B211" s="84"/>
      <c r="C211" s="84"/>
      <c r="D211" s="85"/>
      <c r="E211" s="84"/>
      <c r="F211" s="84"/>
      <c r="G211" s="84"/>
      <c r="H211" s="84"/>
      <c r="I211" s="84"/>
      <c r="J211" s="94"/>
      <c r="K211" s="87"/>
      <c r="L211" s="87"/>
      <c r="M211" s="87"/>
      <c r="N211" s="87"/>
    </row>
    <row r="212" s="96" customFormat="true" ht="24.75" hidden="false" customHeight="true" outlineLevel="0" collapsed="false">
      <c r="A212" s="88" t="s">
        <v>457</v>
      </c>
      <c r="B212" s="88"/>
      <c r="C212" s="88"/>
      <c r="D212" s="88"/>
      <c r="E212" s="88"/>
      <c r="F212" s="88"/>
      <c r="G212" s="88"/>
      <c r="H212" s="88"/>
      <c r="I212" s="88"/>
      <c r="J212" s="88"/>
    </row>
    <row r="214" s="96" customFormat="true" ht="15" hidden="false" customHeight="true" outlineLevel="0" collapsed="false">
      <c r="A214" s="182"/>
      <c r="B214" s="182"/>
      <c r="D214" s="98"/>
      <c r="E214" s="83"/>
      <c r="F214" s="183"/>
      <c r="G214" s="183"/>
      <c r="H214" s="183"/>
      <c r="I214" s="183"/>
      <c r="J214" s="99"/>
    </row>
    <row r="215" s="96" customFormat="true" ht="15" hidden="false" customHeight="true" outlineLevel="0" collapsed="false">
      <c r="A215" s="97"/>
      <c r="C215" s="184"/>
      <c r="D215" s="98"/>
      <c r="E215" s="83"/>
      <c r="F215" s="98"/>
      <c r="J215" s="97"/>
    </row>
    <row r="216" s="96" customFormat="true" ht="15" hidden="false" customHeight="true" outlineLevel="0" collapsed="false">
      <c r="A216" s="97"/>
      <c r="C216" s="181"/>
      <c r="D216" s="98"/>
      <c r="E216" s="83"/>
      <c r="F216" s="98"/>
      <c r="J216" s="97"/>
    </row>
    <row r="217" s="96" customFormat="true" ht="15" hidden="false" customHeight="true" outlineLevel="0" collapsed="false">
      <c r="A217" s="97"/>
      <c r="C217" s="181"/>
      <c r="D217" s="98"/>
      <c r="E217" s="97"/>
      <c r="F217" s="98"/>
      <c r="H217" s="181"/>
      <c r="J217" s="97"/>
    </row>
    <row r="218" s="96" customFormat="true" ht="15" hidden="false" customHeight="true" outlineLevel="0" collapsed="false">
      <c r="A218" s="182"/>
      <c r="B218" s="182"/>
      <c r="D218" s="98"/>
      <c r="E218" s="83"/>
      <c r="F218" s="183"/>
      <c r="H218" s="181"/>
      <c r="I218" s="97"/>
      <c r="J218" s="97"/>
    </row>
    <row r="219" s="96" customFormat="true" ht="15" hidden="false" customHeight="true" outlineLevel="0" collapsed="false">
      <c r="A219" s="97"/>
      <c r="C219" s="184" t="s">
        <v>565</v>
      </c>
      <c r="D219" s="98"/>
      <c r="E219" s="83"/>
      <c r="F219" s="98"/>
      <c r="I219" s="97"/>
      <c r="J219" s="97"/>
    </row>
    <row r="220" s="96" customFormat="true" ht="15" hidden="false" customHeight="true" outlineLevel="0" collapsed="false">
      <c r="A220" s="97"/>
      <c r="C220" s="181" t="s">
        <v>459</v>
      </c>
      <c r="D220" s="98"/>
      <c r="E220" s="83"/>
      <c r="F220" s="98"/>
      <c r="H220" s="184"/>
      <c r="J220" s="97"/>
    </row>
    <row r="221" s="96" customFormat="true" ht="15" hidden="false" customHeight="true" outlineLevel="0" collapsed="false">
      <c r="A221" s="97"/>
      <c r="C221" s="181" t="s">
        <v>460</v>
      </c>
      <c r="D221" s="98"/>
      <c r="E221" s="97"/>
      <c r="F221" s="98"/>
      <c r="J221" s="97"/>
    </row>
    <row r="222" s="96" customFormat="true" ht="15" hidden="false" customHeight="true" outlineLevel="0" collapsed="false">
      <c r="A222" s="97"/>
      <c r="C222" s="185" t="n">
        <f aca="false">$I$133</f>
        <v>2410</v>
      </c>
      <c r="D222" s="98"/>
      <c r="E222" s="83"/>
      <c r="F222" s="98"/>
      <c r="G222" s="186"/>
      <c r="J222" s="97"/>
    </row>
    <row r="223" s="96" customFormat="true" ht="15" hidden="false" customHeight="true" outlineLevel="0" collapsed="false">
      <c r="A223" s="97"/>
      <c r="C223" s="187" t="n">
        <f aca="false">$J$133</f>
        <v>1</v>
      </c>
      <c r="D223" s="98"/>
      <c r="E223" s="83"/>
      <c r="F223" s="98"/>
      <c r="G223" s="110"/>
      <c r="I223" s="97"/>
      <c r="J223" s="97"/>
    </row>
    <row r="224" s="96" customFormat="true" ht="15" hidden="false" customHeight="true" outlineLevel="0" collapsed="false">
      <c r="A224" s="97"/>
      <c r="D224" s="98"/>
      <c r="E224" s="97"/>
      <c r="F224" s="98"/>
      <c r="G224" s="110"/>
      <c r="I224" s="97"/>
      <c r="J224" s="97"/>
    </row>
    <row r="225" s="96" customFormat="true" ht="15.75" hidden="false" customHeight="true" outlineLevel="0" collapsed="false">
      <c r="A225" s="99"/>
      <c r="B225" s="99"/>
      <c r="C225" s="83"/>
      <c r="D225" s="98"/>
      <c r="E225" s="97"/>
      <c r="F225" s="98"/>
      <c r="G225" s="186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H226" s="97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189"/>
      <c r="J227" s="190"/>
    </row>
    <row r="228" s="96" customFormat="true" ht="15.75" hidden="false" customHeight="true" outlineLevel="0" collapsed="false">
      <c r="A228" s="99"/>
      <c r="B228" s="99"/>
      <c r="C228" s="181"/>
      <c r="D228" s="98"/>
      <c r="E228" s="97"/>
      <c r="F228" s="98"/>
      <c r="H228" s="97"/>
      <c r="I228" s="181"/>
      <c r="J228" s="193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566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2384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81"/>
      <c r="J240" s="193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97"/>
      <c r="I241" s="181"/>
      <c r="J241" s="193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197"/>
      <c r="I242" s="196"/>
      <c r="J242" s="196"/>
    </row>
    <row r="243" s="96" customFormat="true" ht="15.75" hidden="false" customHeight="true" outlineLevel="0" collapsed="false">
      <c r="A243" s="97"/>
      <c r="D243" s="98"/>
      <c r="E243" s="97"/>
      <c r="F243" s="98"/>
      <c r="G243" s="97"/>
      <c r="H243" s="97"/>
      <c r="I243" s="97"/>
      <c r="J243" s="196"/>
    </row>
    <row r="244" s="96" customFormat="true" ht="15.75" hidden="false" customHeight="true" outlineLevel="0" collapsed="false">
      <c r="A244" s="97"/>
      <c r="C244" s="184" t="s">
        <v>519</v>
      </c>
      <c r="D244" s="98"/>
      <c r="E244" s="97"/>
      <c r="F244" s="98"/>
      <c r="G244" s="97"/>
      <c r="H244" s="97"/>
      <c r="I244" s="196"/>
      <c r="J244" s="196"/>
    </row>
    <row r="245" s="96" customFormat="true" ht="15.75" hidden="false" customHeight="true" outlineLevel="0" collapsed="false">
      <c r="A245" s="97"/>
      <c r="C245" s="181" t="s">
        <v>459</v>
      </c>
      <c r="D245" s="98"/>
      <c r="E245" s="97"/>
      <c r="F245" s="98"/>
      <c r="G245" s="97"/>
      <c r="H245" s="97"/>
      <c r="I245" s="196"/>
      <c r="J245" s="196"/>
    </row>
    <row r="246" s="96" customFormat="true" ht="15" hidden="false" customHeight="true" outlineLevel="0" collapsed="false">
      <c r="A246" s="97"/>
      <c r="C246" s="181" t="s">
        <v>460</v>
      </c>
      <c r="D246" s="98"/>
      <c r="E246" s="97"/>
      <c r="F246" s="98"/>
      <c r="G246" s="97"/>
      <c r="H246" s="97"/>
      <c r="I246" s="196"/>
      <c r="J246" s="196"/>
    </row>
    <row r="247" s="96" customFormat="true" ht="15.75" hidden="false" customHeight="true" outlineLevel="0" collapsed="false">
      <c r="A247" s="97"/>
      <c r="C247" s="185" t="n">
        <f aca="false">$I$135</f>
        <v>2410</v>
      </c>
      <c r="D247" s="98"/>
      <c r="E247" s="97"/>
      <c r="F247" s="98"/>
      <c r="G247" s="97"/>
      <c r="H247" s="97"/>
      <c r="I247" s="191"/>
      <c r="J247" s="199"/>
    </row>
    <row r="248" s="96" customFormat="true" ht="15.75" hidden="false" customHeight="true" outlineLevel="0" collapsed="false">
      <c r="A248" s="97"/>
      <c r="C248" s="187" t="n">
        <f aca="false">$J$135</f>
        <v>1</v>
      </c>
      <c r="D248" s="98"/>
      <c r="E248" s="97"/>
      <c r="F248" s="98"/>
      <c r="G248" s="97"/>
      <c r="H248" s="97"/>
      <c r="I248" s="189"/>
      <c r="J248" s="190"/>
    </row>
    <row r="249" s="96" customFormat="true" ht="15.75" hidden="false" customHeight="true" outlineLevel="0" collapsed="false">
      <c r="A249" s="97"/>
      <c r="C249" s="98"/>
      <c r="D249" s="98"/>
      <c r="E249" s="97"/>
      <c r="F249" s="98"/>
      <c r="G249" s="97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1"/>
      <c r="H251" s="97"/>
      <c r="J251" s="97"/>
    </row>
    <row r="252" s="96" customFormat="true" ht="15.75" hidden="false" customHeight="true" outlineLevel="0" collapsed="false">
      <c r="A252" s="97"/>
      <c r="D252" s="98"/>
      <c r="E252" s="97"/>
      <c r="F252" s="97"/>
      <c r="G252" s="191"/>
      <c r="H252" s="97"/>
      <c r="J252" s="97"/>
    </row>
    <row r="253" s="96" customFormat="true" ht="15.75" hidden="false" customHeight="true" outlineLevel="0" collapsed="false">
      <c r="A253" s="97"/>
      <c r="D253" s="98"/>
      <c r="E253" s="97"/>
      <c r="F253" s="97"/>
      <c r="G253" s="190"/>
      <c r="H253" s="97"/>
      <c r="I253" s="196"/>
      <c r="J253" s="196"/>
    </row>
    <row r="254" s="96" customFormat="true" ht="15.75" hidden="false" customHeight="true" outlineLevel="0" collapsed="false">
      <c r="A254" s="97"/>
      <c r="D254" s="98"/>
      <c r="E254" s="97"/>
      <c r="F254" s="97"/>
      <c r="G254" s="97"/>
      <c r="H254" s="97"/>
      <c r="I254" s="196"/>
      <c r="J254" s="196"/>
    </row>
    <row r="255" s="96" customFormat="true" ht="15.75" hidden="false" customHeight="true" outlineLevel="0" collapsed="false">
      <c r="A255" s="191"/>
      <c r="B255" s="191"/>
      <c r="D255" s="192"/>
      <c r="E255" s="191"/>
      <c r="F255" s="191"/>
      <c r="G255" s="97"/>
      <c r="H255" s="97"/>
      <c r="I255" s="196"/>
      <c r="J255" s="196"/>
    </row>
    <row r="256" s="96" customFormat="true" ht="15.75" hidden="false" customHeight="true" outlineLevel="0" collapsed="false">
      <c r="A256" s="190"/>
      <c r="B256" s="190"/>
      <c r="C256" s="184" t="s">
        <v>567</v>
      </c>
      <c r="D256" s="194"/>
      <c r="E256" s="190"/>
      <c r="F256" s="189"/>
      <c r="G256" s="97"/>
      <c r="I256" s="196"/>
      <c r="J256" s="196"/>
    </row>
    <row r="257" s="96" customFormat="true" ht="15.75" hidden="false" customHeight="true" outlineLevel="0" collapsed="false">
      <c r="A257" s="200"/>
      <c r="C257" s="181" t="s">
        <v>459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1" t="s">
        <v>460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C259" s="185" t="n">
        <f aca="false">$I$136</f>
        <v>2410</v>
      </c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C260" s="187" t="n">
        <f aca="false">$J$136</f>
        <v>1</v>
      </c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D264" s="98"/>
      <c r="E264" s="97"/>
      <c r="F264" s="97"/>
      <c r="G264" s="97"/>
      <c r="I264" s="196"/>
      <c r="J264" s="196"/>
    </row>
    <row r="265" s="96" customFormat="true" ht="15.75" hidden="false" customHeight="true" outlineLevel="0" collapsed="false">
      <c r="A265" s="200"/>
      <c r="C265" s="98"/>
      <c r="D265" s="98"/>
      <c r="E265" s="97"/>
      <c r="F265" s="97"/>
      <c r="G265" s="97"/>
      <c r="I265" s="196"/>
      <c r="J265" s="196"/>
    </row>
    <row r="266" s="96" customFormat="true" ht="15.75" hidden="false" customHeight="true" outlineLevel="0" collapsed="false">
      <c r="A266" s="200"/>
      <c r="D266" s="98"/>
      <c r="E266" s="97"/>
      <c r="F266" s="97"/>
      <c r="G266" s="97"/>
      <c r="I266" s="196"/>
      <c r="J266" s="196"/>
    </row>
    <row r="267" s="96" customFormat="true" ht="15.75" hidden="false" customHeight="true" outlineLevel="0" collapsed="false">
      <c r="A267" s="200"/>
      <c r="C267" s="184" t="s">
        <v>521</v>
      </c>
      <c r="D267" s="98"/>
      <c r="E267" s="97"/>
      <c r="F267" s="97"/>
      <c r="G267" s="97"/>
      <c r="H267" s="97"/>
      <c r="I267" s="196"/>
      <c r="J267" s="196"/>
    </row>
    <row r="268" s="96" customFormat="true" ht="15.75" hidden="false" customHeight="true" outlineLevel="0" collapsed="false">
      <c r="A268" s="200"/>
      <c r="C268" s="181" t="s">
        <v>522</v>
      </c>
      <c r="D268" s="181"/>
      <c r="E268" s="181"/>
      <c r="F268" s="97"/>
      <c r="G268" s="97"/>
      <c r="H268" s="97"/>
      <c r="I268" s="196"/>
      <c r="J268" s="196"/>
    </row>
    <row r="269" s="96" customFormat="true" ht="15.75" hidden="false" customHeight="true" outlineLevel="0" collapsed="false">
      <c r="A269" s="200"/>
      <c r="C269" s="181" t="s">
        <v>468</v>
      </c>
      <c r="D269" s="181"/>
      <c r="E269" s="181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C270" s="185" t="n">
        <f aca="false">$I$137</f>
        <v>2550</v>
      </c>
      <c r="D270" s="98"/>
      <c r="E270" s="97"/>
      <c r="F270" s="97"/>
      <c r="J270" s="97"/>
    </row>
    <row r="271" s="96" customFormat="true" ht="15.75" hidden="false" customHeight="true" outlineLevel="0" collapsed="false">
      <c r="A271" s="200"/>
      <c r="C271" s="187" t="n">
        <f aca="false">$J$137+$J$138</f>
        <v>2</v>
      </c>
      <c r="D271" s="98"/>
      <c r="E271" s="97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4"/>
      <c r="E272" s="184"/>
      <c r="F272" s="97"/>
      <c r="G272" s="97"/>
      <c r="H272" s="97"/>
      <c r="J272" s="97"/>
    </row>
    <row r="273" s="96" customFormat="true" ht="15.75" hidden="false" customHeight="true" outlineLevel="0" collapsed="false">
      <c r="A273" s="200"/>
      <c r="D273" s="184"/>
      <c r="E273" s="184"/>
      <c r="F273" s="97"/>
      <c r="G273" s="97"/>
      <c r="H273" s="97"/>
      <c r="J273" s="97"/>
    </row>
    <row r="274" s="96" customFormat="true" ht="15.75" hidden="false" customHeight="true" outlineLevel="0" collapsed="false">
      <c r="A274" s="200"/>
      <c r="D274" s="181"/>
      <c r="E274" s="181"/>
      <c r="F274" s="97"/>
      <c r="G274" s="97"/>
      <c r="H274" s="97"/>
      <c r="J274" s="97"/>
    </row>
    <row r="275" s="96" customFormat="true" ht="15.75" hidden="false" customHeight="true" outlineLevel="0" collapsed="false">
      <c r="A275" s="200"/>
      <c r="D275" s="181"/>
      <c r="E275" s="181"/>
      <c r="F275" s="97"/>
      <c r="G275" s="97"/>
      <c r="H275" s="97"/>
      <c r="J275" s="97"/>
    </row>
    <row r="276" s="96" customFormat="true" ht="15.75" hidden="false" customHeight="true" outlineLevel="0" collapsed="false">
      <c r="A276" s="200"/>
      <c r="D276" s="181"/>
      <c r="E276" s="181"/>
      <c r="F276" s="97"/>
      <c r="G276" s="97"/>
      <c r="I276" s="196"/>
      <c r="J276" s="196"/>
    </row>
    <row r="277" s="96" customFormat="true" ht="15.75" hidden="false" customHeight="true" outlineLevel="0" collapsed="false">
      <c r="A277" s="200"/>
      <c r="D277" s="98"/>
      <c r="E277" s="97"/>
      <c r="F277" s="97"/>
      <c r="G277" s="97"/>
      <c r="I277" s="196"/>
      <c r="J277" s="196"/>
    </row>
    <row r="278" s="96" customFormat="true" ht="15.75" hidden="false" customHeight="true" outlineLevel="0" collapsed="false">
      <c r="A278" s="200"/>
      <c r="C278" s="184" t="s">
        <v>523</v>
      </c>
      <c r="D278" s="201"/>
      <c r="E278" s="196"/>
      <c r="F278" s="97"/>
      <c r="G278" s="97"/>
      <c r="I278" s="196"/>
      <c r="J278" s="196"/>
    </row>
    <row r="279" s="96" customFormat="true" ht="15.75" hidden="false" customHeight="true" outlineLevel="0" collapsed="false">
      <c r="A279" s="200"/>
      <c r="C279" s="181" t="s">
        <v>470</v>
      </c>
      <c r="D279" s="181"/>
      <c r="E279" s="181"/>
      <c r="F279" s="97"/>
      <c r="G279" s="97"/>
      <c r="I279" s="97"/>
      <c r="J279" s="196"/>
    </row>
    <row r="280" s="96" customFormat="true" ht="15.75" hidden="false" customHeight="true" outlineLevel="0" collapsed="false">
      <c r="A280" s="200"/>
      <c r="C280" s="181" t="s">
        <v>471</v>
      </c>
      <c r="D280" s="181"/>
      <c r="E280" s="181"/>
      <c r="F280" s="97"/>
      <c r="G280" s="97"/>
      <c r="I280" s="97"/>
      <c r="J280" s="196"/>
    </row>
    <row r="281" s="96" customFormat="true" ht="15.75" hidden="false" customHeight="true" outlineLevel="0" collapsed="false">
      <c r="A281" s="200"/>
      <c r="C281" s="185" t="n">
        <f aca="false">$I$139</f>
        <v>2454</v>
      </c>
      <c r="F281" s="97"/>
      <c r="G281" s="97"/>
      <c r="I281" s="97"/>
      <c r="J281" s="196"/>
    </row>
    <row r="282" s="96" customFormat="true" ht="15.75" hidden="false" customHeight="true" outlineLevel="0" collapsed="false">
      <c r="A282" s="200"/>
      <c r="C282" s="187" t="n">
        <f aca="false">$J$139+$J$140</f>
        <v>2</v>
      </c>
      <c r="F282" s="97"/>
      <c r="G282" s="97"/>
      <c r="I282" s="97"/>
      <c r="J282" s="196"/>
    </row>
    <row r="283" s="96" customFormat="true" ht="15.75" hidden="false" customHeight="true" outlineLevel="0" collapsed="false">
      <c r="A283" s="200"/>
      <c r="F283" s="97"/>
      <c r="G283" s="97"/>
      <c r="H283" s="97"/>
      <c r="J283" s="97"/>
    </row>
    <row r="284" s="96" customFormat="true" ht="15.75" hidden="false" customHeight="true" outlineLevel="0" collapsed="false">
      <c r="A284" s="200"/>
      <c r="F284" s="97"/>
      <c r="G284" s="97"/>
      <c r="H284" s="97"/>
      <c r="J284" s="97"/>
    </row>
    <row r="285" s="96" customFormat="true" ht="15.75" hidden="false" customHeight="true" outlineLevel="0" collapsed="false">
      <c r="A285" s="200"/>
      <c r="D285" s="98"/>
      <c r="E285" s="97"/>
      <c r="F285" s="97"/>
      <c r="G285" s="97"/>
      <c r="H285" s="97"/>
      <c r="J285" s="97"/>
    </row>
    <row r="286" s="96" customFormat="true" ht="15.75" hidden="false" customHeight="true" outlineLevel="0" collapsed="false">
      <c r="A286" s="200"/>
      <c r="F286" s="97"/>
      <c r="G286" s="97"/>
      <c r="H286" s="97"/>
      <c r="J286" s="97"/>
    </row>
    <row r="287" s="96" customFormat="true" ht="15.75" hidden="false" customHeight="true" outlineLevel="0" collapsed="false">
      <c r="A287" s="200"/>
      <c r="F287" s="97"/>
      <c r="G287" s="97"/>
      <c r="H287" s="97"/>
      <c r="I287" s="201"/>
      <c r="J287" s="196"/>
    </row>
    <row r="288" s="96" customFormat="true" ht="15.75" hidden="false" customHeight="true" outlineLevel="0" collapsed="false">
      <c r="A288" s="200"/>
      <c r="C288" s="184" t="s">
        <v>524</v>
      </c>
      <c r="F288" s="97"/>
      <c r="G288" s="97"/>
      <c r="H288" s="97"/>
      <c r="I288" s="97"/>
      <c r="J288" s="196"/>
    </row>
    <row r="289" s="96" customFormat="true" ht="15.75" hidden="false" customHeight="true" outlineLevel="0" collapsed="false">
      <c r="A289" s="200"/>
      <c r="C289" s="83" t="s">
        <v>546</v>
      </c>
      <c r="D289" s="98"/>
      <c r="E289" s="97"/>
      <c r="F289" s="97"/>
      <c r="G289" s="97"/>
      <c r="H289" s="97"/>
      <c r="I289" s="196"/>
      <c r="J289" s="196"/>
    </row>
    <row r="290" s="96" customFormat="true" ht="15.75" hidden="false" customHeight="true" outlineLevel="0" collapsed="false">
      <c r="A290" s="200"/>
      <c r="C290" s="181" t="s">
        <v>568</v>
      </c>
      <c r="D290" s="98"/>
      <c r="E290" s="97"/>
      <c r="F290" s="97"/>
      <c r="G290" s="97"/>
      <c r="H290" s="97"/>
      <c r="I290" s="196"/>
      <c r="J290" s="196"/>
    </row>
    <row r="291" s="96" customFormat="true" ht="15.75" hidden="false" customHeight="true" outlineLevel="0" collapsed="false">
      <c r="A291" s="200"/>
      <c r="C291" s="181" t="s">
        <v>475</v>
      </c>
      <c r="D291" s="181"/>
      <c r="E291" s="181"/>
      <c r="F291" s="97"/>
      <c r="G291" s="97"/>
      <c r="I291" s="196"/>
      <c r="J291" s="196"/>
    </row>
    <row r="292" s="202" customFormat="true" ht="15.75" hidden="false" customHeight="true" outlineLevel="0" collapsed="false">
      <c r="A292" s="200"/>
      <c r="B292" s="96"/>
      <c r="C292" s="181" t="s">
        <v>476</v>
      </c>
      <c r="D292" s="181"/>
      <c r="E292" s="181"/>
      <c r="F292" s="97"/>
      <c r="G292" s="97"/>
      <c r="H292" s="96"/>
      <c r="I292" s="97"/>
      <c r="J292" s="97"/>
    </row>
    <row r="293" s="96" customFormat="true" ht="15.75" hidden="false" customHeight="true" outlineLevel="0" collapsed="false">
      <c r="A293" s="200"/>
      <c r="C293" s="185" t="n">
        <f aca="false">$I$141</f>
        <v>798</v>
      </c>
      <c r="F293" s="97"/>
      <c r="G293" s="97"/>
      <c r="I293" s="191"/>
      <c r="J293" s="199"/>
    </row>
    <row r="294" s="96" customFormat="true" ht="15.75" hidden="false" customHeight="true" outlineLevel="0" collapsed="false">
      <c r="A294" s="200"/>
      <c r="C294" s="187" t="n">
        <f aca="false">$J$141+$J$142</f>
        <v>6</v>
      </c>
      <c r="D294" s="98"/>
      <c r="E294" s="97"/>
      <c r="F294" s="97"/>
      <c r="G294" s="97"/>
      <c r="H294" s="98"/>
      <c r="I294" s="189"/>
      <c r="J294" s="190"/>
    </row>
    <row r="295" s="96" customFormat="true" ht="15.75" hidden="false" customHeight="true" outlineLevel="0" collapsed="false">
      <c r="A295" s="200"/>
      <c r="C295" s="185" t="n">
        <f aca="false">$I$143</f>
        <v>2458</v>
      </c>
      <c r="D295" s="98"/>
      <c r="E295" s="97"/>
      <c r="F295" s="97"/>
      <c r="G295" s="97"/>
      <c r="H295" s="97"/>
      <c r="I295" s="196"/>
      <c r="J295" s="196"/>
    </row>
    <row r="296" s="96" customFormat="true" ht="15.75" hidden="false" customHeight="true" outlineLevel="0" collapsed="false">
      <c r="A296" s="200"/>
      <c r="C296" s="187" t="n">
        <f aca="false">$J$143+$J$144+$J$145</f>
        <v>6</v>
      </c>
      <c r="D296" s="98"/>
      <c r="E296" s="97"/>
      <c r="F296" s="97"/>
      <c r="G296" s="97"/>
      <c r="H296" s="97"/>
      <c r="I296" s="196"/>
      <c r="J296" s="196"/>
    </row>
    <row r="297" s="96" customFormat="true" ht="15.75" hidden="false" customHeight="true" outlineLevel="0" collapsed="false">
      <c r="A297" s="200"/>
      <c r="D297" s="98"/>
      <c r="E297" s="97"/>
      <c r="F297" s="97"/>
      <c r="G297" s="97"/>
      <c r="H297" s="97"/>
      <c r="I297" s="196"/>
      <c r="J297" s="196"/>
    </row>
    <row r="298" s="96" customFormat="true" ht="15.75" hidden="false" customHeight="true" outlineLevel="0" collapsed="false">
      <c r="A298" s="200"/>
      <c r="D298" s="98"/>
      <c r="E298" s="97"/>
      <c r="F298" s="97"/>
      <c r="G298" s="97"/>
      <c r="H298" s="97"/>
      <c r="I298" s="196"/>
      <c r="J298" s="196"/>
    </row>
    <row r="299" s="96" customFormat="true" ht="15.75" hidden="false" customHeight="true" outlineLevel="0" collapsed="false">
      <c r="A299" s="200"/>
      <c r="D299" s="98"/>
      <c r="E299" s="97"/>
      <c r="F299" s="97"/>
      <c r="G299" s="97"/>
      <c r="H299" s="97"/>
      <c r="I299" s="196"/>
      <c r="J299" s="196"/>
    </row>
    <row r="300" s="96" customFormat="true" ht="15.75" hidden="false" customHeight="true" outlineLevel="0" collapsed="false">
      <c r="A300" s="200"/>
      <c r="D300" s="98"/>
      <c r="E300" s="97"/>
      <c r="F300" s="97"/>
      <c r="G300" s="97"/>
      <c r="H300" s="97"/>
      <c r="I300" s="97"/>
      <c r="J300" s="196"/>
    </row>
    <row r="301" s="96" customFormat="true" ht="15.75" hidden="false" customHeight="true" outlineLevel="0" collapsed="false">
      <c r="A301" s="200"/>
      <c r="C301" s="202"/>
      <c r="D301" s="98"/>
      <c r="E301" s="97"/>
      <c r="F301" s="97"/>
      <c r="G301" s="97"/>
      <c r="H301" s="97"/>
      <c r="I301" s="97"/>
      <c r="J301" s="196"/>
    </row>
    <row r="302" s="96" customFormat="true" ht="15.75" hidden="false" customHeight="true" outlineLevel="0" collapsed="false">
      <c r="A302" s="200"/>
      <c r="C302" s="184" t="s">
        <v>525</v>
      </c>
      <c r="D302" s="98"/>
      <c r="E302" s="97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200"/>
      <c r="C303" s="83" t="s">
        <v>546</v>
      </c>
      <c r="D303" s="98"/>
      <c r="E303" s="97"/>
      <c r="F303" s="97"/>
      <c r="G303" s="191"/>
      <c r="H303" s="191"/>
      <c r="I303" s="97"/>
      <c r="J303" s="196"/>
    </row>
    <row r="304" s="96" customFormat="true" ht="15.75" hidden="false" customHeight="true" outlineLevel="0" collapsed="false">
      <c r="A304" s="200"/>
      <c r="C304" s="181" t="s">
        <v>568</v>
      </c>
      <c r="D304" s="181"/>
      <c r="E304" s="181"/>
      <c r="F304" s="97"/>
      <c r="G304" s="190"/>
      <c r="H304" s="189"/>
      <c r="I304" s="97"/>
      <c r="J304" s="196"/>
    </row>
    <row r="305" s="96" customFormat="true" ht="15.75" hidden="false" customHeight="true" outlineLevel="0" collapsed="false">
      <c r="A305" s="107"/>
      <c r="C305" s="181" t="s">
        <v>478</v>
      </c>
      <c r="D305" s="181"/>
      <c r="E305" s="181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191"/>
      <c r="B306" s="191"/>
      <c r="C306" s="181" t="s">
        <v>479</v>
      </c>
      <c r="D306" s="203"/>
      <c r="E306" s="204"/>
      <c r="F306" s="191"/>
      <c r="G306" s="97"/>
      <c r="H306" s="97"/>
      <c r="I306" s="97"/>
      <c r="J306" s="196"/>
    </row>
    <row r="307" s="96" customFormat="true" ht="15.75" hidden="false" customHeight="true" outlineLevel="0" collapsed="false">
      <c r="A307" s="190"/>
      <c r="B307" s="190"/>
      <c r="C307" s="185" t="n">
        <f aca="false">$I$146</f>
        <v>687.166666666667</v>
      </c>
      <c r="D307" s="205"/>
      <c r="E307" s="206"/>
      <c r="F307" s="189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187" t="n">
        <f aca="false">$J$146</f>
        <v>6</v>
      </c>
      <c r="D308" s="98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5" t="n">
        <f aca="false">$I$147</f>
        <v>2308</v>
      </c>
      <c r="D309" s="98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7" t="n">
        <f aca="false">$J$147</f>
        <v>6</v>
      </c>
      <c r="D310" s="98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C311" s="184"/>
      <c r="D311" s="98"/>
      <c r="E311" s="97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C312" s="181"/>
      <c r="D312" s="181"/>
      <c r="E312" s="181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200"/>
      <c r="B313" s="49"/>
      <c r="C313" s="49"/>
      <c r="D313" s="207"/>
      <c r="E313" s="200"/>
      <c r="F313" s="200"/>
      <c r="G313" s="200"/>
      <c r="H313" s="200"/>
      <c r="I313" s="200"/>
      <c r="J313" s="92" t="str">
        <f aca="false">LEFT($J$111,10)&amp;"-03"</f>
        <v>FG-240-3PR-03</v>
      </c>
    </row>
    <row r="314" customFormat="false" ht="12.75" hidden="false" customHeight="true" outlineLevel="0" collapsed="false">
      <c r="A314" s="97"/>
      <c r="B314" s="96"/>
      <c r="C314" s="96"/>
      <c r="D314" s="98"/>
      <c r="E314" s="97"/>
      <c r="F314" s="97"/>
      <c r="G314" s="97"/>
      <c r="H314" s="97"/>
      <c r="I314" s="208"/>
      <c r="J314" s="208"/>
    </row>
    <row r="315" customFormat="false" ht="30" hidden="false" customHeight="true" outlineLevel="0" collapsed="false">
      <c r="C315" s="75"/>
      <c r="D315" s="76"/>
      <c r="E315" s="76"/>
      <c r="F315" s="76"/>
      <c r="G315" s="76"/>
      <c r="H315" s="76"/>
      <c r="I315" s="76"/>
      <c r="J315" s="77" t="str">
        <f aca="false">$J$2</f>
        <v>HOMELIFE</v>
      </c>
      <c r="K315" s="83"/>
      <c r="L315" s="83"/>
      <c r="M315" s="79"/>
      <c r="N315" s="79"/>
    </row>
    <row r="316" customFormat="false" ht="24.75" hidden="false" customHeight="true" outlineLevel="0" collapsed="false">
      <c r="C316" s="82"/>
      <c r="D316" s="82"/>
      <c r="E316" s="82"/>
      <c r="F316" s="82"/>
      <c r="G316" s="82"/>
      <c r="H316" s="82"/>
      <c r="I316" s="82"/>
      <c r="J316" s="80" t="str">
        <f aca="false">$J$3</f>
        <v>Fabricators Guide</v>
      </c>
      <c r="K316" s="83"/>
      <c r="L316" s="83"/>
      <c r="M316" s="79"/>
      <c r="N316" s="79"/>
    </row>
    <row r="317" customFormat="false" ht="24.75" hidden="false" customHeight="true" outlineLevel="0" collapsed="false">
      <c r="B317" s="81"/>
      <c r="C317" s="82"/>
      <c r="D317" s="82"/>
      <c r="E317" s="82"/>
      <c r="F317" s="82"/>
      <c r="G317" s="82"/>
      <c r="H317" s="82"/>
      <c r="I317" s="82"/>
      <c r="J317" s="80" t="str">
        <f aca="false">$J$4</f>
        <v>240 Series Bi Fold Door </v>
      </c>
      <c r="M317" s="87"/>
      <c r="N317" s="87"/>
    </row>
    <row r="318" customFormat="false" ht="15" hidden="false" customHeight="true" outlineLevel="0" collapsed="false"/>
    <row r="319" s="96" customFormat="true" ht="24.75" hidden="false" customHeight="true" outlineLevel="0" collapsed="false">
      <c r="A319" s="88" t="s">
        <v>480</v>
      </c>
      <c r="B319" s="88"/>
      <c r="C319" s="88"/>
      <c r="D319" s="88"/>
      <c r="E319" s="88"/>
      <c r="F319" s="88"/>
      <c r="G319" s="88"/>
      <c r="H319" s="88"/>
      <c r="I319" s="88"/>
      <c r="J319" s="88"/>
    </row>
    <row r="320" s="96" customFormat="true" ht="15" hidden="false" customHeight="true" outlineLevel="0" collapsed="false">
      <c r="A320" s="97"/>
      <c r="D320" s="98"/>
      <c r="E320" s="83"/>
      <c r="F320" s="98"/>
      <c r="G320" s="83"/>
      <c r="H320" s="83"/>
      <c r="I320" s="83"/>
      <c r="J320" s="97"/>
    </row>
    <row r="321" s="96" customFormat="true" ht="15" hidden="false" customHeight="true" outlineLevel="0" collapsed="false">
      <c r="A321" s="97"/>
      <c r="D321" s="98"/>
      <c r="E321" s="83"/>
      <c r="F321" s="98"/>
      <c r="G321" s="83"/>
      <c r="H321" s="83"/>
      <c r="I321" s="83"/>
      <c r="J321" s="97"/>
    </row>
    <row r="322" s="96" customFormat="true" ht="15" hidden="false" customHeight="true" outlineLevel="0" collapsed="false">
      <c r="A322" s="97"/>
      <c r="C322" s="98"/>
      <c r="D322" s="98"/>
      <c r="E322" s="83"/>
      <c r="F322" s="98"/>
      <c r="G322" s="97"/>
      <c r="H322" s="83"/>
      <c r="I322" s="97"/>
      <c r="J322" s="97"/>
    </row>
    <row r="323" s="96" customFormat="true" ht="15" hidden="false" customHeight="true" outlineLevel="0" collapsed="false">
      <c r="A323" s="97"/>
      <c r="C323" s="98"/>
      <c r="D323" s="98"/>
      <c r="E323" s="83"/>
      <c r="F323" s="98"/>
      <c r="G323" s="97"/>
      <c r="H323" s="83"/>
      <c r="I323" s="97"/>
      <c r="J323" s="97"/>
    </row>
    <row r="324" s="96" customFormat="true" ht="15" hidden="false" customHeight="true" outlineLevel="0" collapsed="false">
      <c r="A324" s="97"/>
      <c r="C324" s="98"/>
      <c r="D324" s="98"/>
      <c r="E324" s="83"/>
      <c r="F324" s="98"/>
      <c r="G324" s="97"/>
      <c r="H324" s="83"/>
      <c r="I324" s="97"/>
      <c r="J324" s="97"/>
    </row>
    <row r="325" s="96" customFormat="true" ht="15" hidden="false" customHeight="true" outlineLevel="0" collapsed="false">
      <c r="A325" s="97"/>
      <c r="C325" s="98"/>
      <c r="D325" s="98"/>
      <c r="E325" s="97"/>
      <c r="F325" s="98"/>
      <c r="G325" s="97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83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182"/>
      <c r="D328" s="98"/>
      <c r="E328" s="97"/>
      <c r="F328" s="209"/>
      <c r="G328" s="209"/>
      <c r="H328" s="110"/>
      <c r="I328" s="182"/>
      <c r="J328" s="97"/>
    </row>
    <row r="329" s="96" customFormat="true" ht="15" hidden="false" customHeight="true" outlineLevel="0" collapsed="false">
      <c r="A329" s="81"/>
      <c r="B329" s="81"/>
      <c r="C329" s="98"/>
      <c r="D329" s="98"/>
      <c r="E329" s="97"/>
      <c r="F329" s="210"/>
      <c r="G329" s="210"/>
      <c r="H329" s="110"/>
      <c r="I329" s="98"/>
      <c r="J329" s="97"/>
    </row>
    <row r="330" s="96" customFormat="true" ht="15" hidden="false" customHeight="true" outlineLevel="0" collapsed="false">
      <c r="A330" s="99"/>
      <c r="B330" s="99"/>
      <c r="C330" s="98"/>
      <c r="D330" s="98"/>
      <c r="E330" s="97"/>
      <c r="F330" s="110"/>
      <c r="G330" s="110"/>
      <c r="H330" s="110"/>
      <c r="I330" s="98"/>
      <c r="J330" s="97"/>
    </row>
    <row r="331" s="96" customFormat="true" ht="15" hidden="false" customHeight="true" outlineLevel="0" collapsed="false">
      <c r="A331" s="211" t="str">
        <f aca="false">A18</f>
        <v>240-3 Panel (R)</v>
      </c>
      <c r="B331" s="99"/>
      <c r="C331" s="98"/>
      <c r="D331" s="98"/>
      <c r="E331" s="97"/>
      <c r="F331" s="110"/>
      <c r="G331" s="110"/>
      <c r="H331" s="110"/>
      <c r="I331" s="97"/>
      <c r="J331" s="97"/>
    </row>
    <row r="332" s="96" customFormat="true" ht="15" hidden="false" customHeight="true" outlineLevel="0" collapsed="false">
      <c r="A332" s="90" t="str">
        <f aca="false">A19</f>
        <v>Outside Bi Fold Door </v>
      </c>
      <c r="B332" s="188"/>
      <c r="C332" s="182"/>
      <c r="D332" s="98"/>
      <c r="E332" s="97"/>
      <c r="F332" s="210"/>
      <c r="G332" s="210"/>
      <c r="H332" s="110"/>
      <c r="I332" s="97"/>
      <c r="J332" s="97"/>
    </row>
    <row r="333" s="96" customFormat="true" ht="15.75" hidden="false" customHeight="true" outlineLevel="0" collapsed="false">
      <c r="A333" s="97"/>
      <c r="B333" s="97"/>
      <c r="C333" s="98"/>
      <c r="D333" s="98"/>
      <c r="E333" s="97"/>
      <c r="F333" s="78"/>
      <c r="H333" s="97"/>
      <c r="I333" s="97"/>
      <c r="J333" s="97"/>
    </row>
    <row r="334" s="96" customFormat="true" ht="15.75" hidden="false" customHeight="true" outlineLevel="0" collapsed="false">
      <c r="A334" s="81"/>
      <c r="C334" s="212"/>
      <c r="D334" s="98"/>
      <c r="E334" s="97"/>
      <c r="F334" s="97"/>
      <c r="G334" s="97"/>
      <c r="H334" s="97"/>
      <c r="I334" s="97"/>
      <c r="J334" s="97"/>
    </row>
    <row r="335" s="96" customFormat="true" ht="15.75" hidden="false" customHeight="true" outlineLevel="0" collapsed="false">
      <c r="A335" s="191"/>
      <c r="C335" s="191"/>
      <c r="D335" s="192"/>
      <c r="E335" s="191"/>
      <c r="F335" s="191"/>
      <c r="G335" s="191"/>
      <c r="H335" s="191"/>
      <c r="I335" s="191"/>
      <c r="J335" s="199"/>
    </row>
    <row r="336" s="96" customFormat="true" ht="15.75" hidden="false" customHeight="true" outlineLevel="0" collapsed="false">
      <c r="A336" s="190"/>
      <c r="C336" s="98"/>
      <c r="D336" s="194"/>
      <c r="E336" s="190"/>
      <c r="F336" s="189"/>
      <c r="G336" s="190"/>
      <c r="H336" s="189"/>
      <c r="I336" s="189"/>
      <c r="J336" s="190"/>
    </row>
    <row r="337" s="96" customFormat="true" ht="15.75" hidden="false" customHeight="true" outlineLevel="0" collapsed="false">
      <c r="A337" s="97"/>
      <c r="C337" s="98"/>
      <c r="D337" s="98"/>
      <c r="E337" s="97"/>
      <c r="F337" s="98"/>
      <c r="G337" s="97"/>
      <c r="H337" s="97"/>
      <c r="I337" s="196"/>
      <c r="J337" s="196"/>
    </row>
    <row r="338" s="96" customFormat="true" ht="15.75" hidden="false" customHeight="true" outlineLevel="0" collapsed="false">
      <c r="A338" s="97"/>
      <c r="C338" s="98"/>
      <c r="D338" s="98"/>
      <c r="E338" s="97"/>
      <c r="F338" s="98"/>
      <c r="G338" s="97"/>
      <c r="H338" s="97"/>
      <c r="I338" s="196"/>
      <c r="J338" s="196"/>
    </row>
    <row r="339" s="96" customFormat="true" ht="15.75" hidden="false" customHeight="true" outlineLevel="0" collapsed="false">
      <c r="A339" s="97"/>
      <c r="C339" s="191"/>
      <c r="D339" s="98"/>
      <c r="E339" s="97"/>
      <c r="F339" s="98"/>
      <c r="G339" s="97"/>
      <c r="H339" s="201"/>
      <c r="I339" s="201"/>
      <c r="J339" s="201"/>
    </row>
    <row r="340" s="96" customFormat="true" ht="15.75" hidden="false" customHeight="true" outlineLevel="0" collapsed="false">
      <c r="A340" s="97"/>
      <c r="C340" s="182"/>
      <c r="D340" s="98"/>
      <c r="E340" s="97"/>
      <c r="F340" s="98"/>
      <c r="G340" s="97"/>
      <c r="H340" s="98"/>
      <c r="I340" s="98"/>
      <c r="J340" s="98"/>
    </row>
    <row r="341" s="96" customFormat="true" ht="15.75" hidden="false" customHeight="true" outlineLevel="0" collapsed="false">
      <c r="A341" s="97"/>
      <c r="C341" s="98"/>
      <c r="D341" s="98"/>
      <c r="E341" s="97"/>
      <c r="F341" s="98"/>
      <c r="G341" s="97"/>
      <c r="H341" s="98"/>
      <c r="I341" s="98"/>
      <c r="J341" s="98"/>
    </row>
    <row r="342" s="96" customFormat="true" ht="15.75" hidden="false" customHeight="true" outlineLevel="0" collapsed="false">
      <c r="A342" s="97"/>
      <c r="C342" s="98"/>
      <c r="D342" s="98"/>
      <c r="E342" s="97"/>
      <c r="F342" s="98"/>
      <c r="G342" s="97"/>
      <c r="H342" s="97"/>
      <c r="I342" s="97"/>
      <c r="J342" s="196"/>
    </row>
    <row r="343" s="96" customFormat="true" ht="15.75" hidden="false" customHeight="true" outlineLevel="0" collapsed="false">
      <c r="A343" s="97"/>
      <c r="D343" s="98"/>
      <c r="E343" s="97"/>
      <c r="F343" s="98"/>
      <c r="G343" s="97"/>
      <c r="H343" s="97"/>
      <c r="I343" s="196"/>
      <c r="J343" s="196"/>
    </row>
    <row r="344" s="96" customFormat="true" ht="15.75" hidden="false" customHeight="true" outlineLevel="0" collapsed="false">
      <c r="A344" s="97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C346" s="191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C347" s="98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98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97"/>
      <c r="J349" s="196"/>
    </row>
    <row r="350" s="96" customFormat="true" ht="15.75" hidden="false" customHeight="true" outlineLevel="0" collapsed="false">
      <c r="A350" s="97"/>
      <c r="D350" s="98"/>
      <c r="E350" s="97"/>
      <c r="F350" s="97"/>
      <c r="G350" s="97"/>
      <c r="H350" s="97"/>
      <c r="I350" s="196"/>
      <c r="J350" s="196"/>
    </row>
    <row r="351" s="96" customFormat="true" ht="15.75" hidden="false" customHeight="true" outlineLevel="0" collapsed="false">
      <c r="A351" s="97"/>
      <c r="D351" s="98"/>
      <c r="E351" s="97"/>
      <c r="F351" s="97"/>
      <c r="G351" s="97"/>
      <c r="H351" s="195"/>
      <c r="I351" s="196"/>
      <c r="J351" s="196"/>
    </row>
    <row r="352" s="96" customFormat="true" ht="1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202" customFormat="true" ht="15.75" hidden="false" customHeight="true" outlineLevel="0" collapsed="false">
      <c r="A353" s="97"/>
      <c r="B353" s="96"/>
      <c r="C353" s="96"/>
      <c r="D353" s="98"/>
      <c r="E353" s="97"/>
      <c r="F353" s="97"/>
      <c r="G353" s="97"/>
      <c r="H353" s="97"/>
      <c r="I353" s="97"/>
      <c r="J353" s="97"/>
    </row>
    <row r="354" s="96" customFormat="true" ht="15.75" hidden="false" customHeight="true" outlineLevel="0" collapsed="false">
      <c r="A354" s="191"/>
      <c r="B354" s="191"/>
      <c r="C354" s="191"/>
      <c r="D354" s="192"/>
      <c r="E354" s="191"/>
      <c r="F354" s="191"/>
      <c r="G354" s="191"/>
      <c r="H354" s="191"/>
      <c r="I354" s="191"/>
      <c r="J354" s="199"/>
    </row>
    <row r="355" s="96" customFormat="true" ht="15.75" hidden="false" customHeight="true" outlineLevel="0" collapsed="false">
      <c r="A355" s="190"/>
      <c r="B355" s="190"/>
      <c r="C355" s="191"/>
      <c r="D355" s="194"/>
      <c r="E355" s="190"/>
      <c r="F355" s="189"/>
      <c r="G355" s="190"/>
      <c r="H355" s="189"/>
      <c r="I355" s="189"/>
      <c r="J355" s="190"/>
    </row>
    <row r="356" s="96" customFormat="true" ht="15.75" hidden="false" customHeight="true" outlineLevel="0" collapsed="false">
      <c r="A356" s="200"/>
      <c r="C356" s="182"/>
      <c r="D356" s="98"/>
      <c r="E356" s="97"/>
      <c r="F356" s="97"/>
      <c r="G356" s="97"/>
      <c r="H356" s="182"/>
      <c r="I356" s="196"/>
      <c r="J356" s="196"/>
    </row>
    <row r="357" s="96" customFormat="true" ht="15.75" hidden="false" customHeight="true" outlineLevel="0" collapsed="false">
      <c r="A357" s="200"/>
      <c r="C357" s="98"/>
      <c r="D357" s="98"/>
      <c r="E357" s="97"/>
      <c r="F357" s="97"/>
      <c r="G357" s="97"/>
      <c r="H357" s="98"/>
      <c r="I357" s="98"/>
      <c r="J357" s="98"/>
    </row>
    <row r="358" s="96" customFormat="true" ht="15.75" hidden="false" customHeight="true" outlineLevel="0" collapsed="false">
      <c r="A358" s="200"/>
      <c r="C358" s="98"/>
      <c r="D358" s="98"/>
      <c r="E358" s="97"/>
      <c r="F358" s="97"/>
      <c r="G358" s="97"/>
      <c r="H358" s="98"/>
      <c r="I358" s="98"/>
      <c r="J358" s="98"/>
    </row>
    <row r="359" s="96" customFormat="true" ht="15.75" hidden="false" customHeight="true" outlineLevel="0" collapsed="false">
      <c r="A359" s="200"/>
      <c r="D359" s="98"/>
      <c r="E359" s="97"/>
      <c r="F359" s="97"/>
      <c r="G359" s="97"/>
      <c r="H359" s="97"/>
      <c r="I359" s="196"/>
      <c r="J359" s="196"/>
    </row>
    <row r="360" s="96" customFormat="true" ht="15.75" hidden="false" customHeight="true" outlineLevel="0" collapsed="false">
      <c r="A360" s="200"/>
      <c r="D360" s="98"/>
      <c r="E360" s="97"/>
      <c r="F360" s="97"/>
      <c r="G360" s="97"/>
      <c r="H360" s="97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C362" s="98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G372" s="97"/>
      <c r="H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182"/>
      <c r="I374" s="196"/>
      <c r="J374" s="196"/>
    </row>
    <row r="375" s="96" customFormat="true" ht="15.75" hidden="false" customHeight="true" outlineLevel="0" collapsed="false">
      <c r="A375" s="200"/>
      <c r="C375" s="188"/>
      <c r="D375" s="98"/>
      <c r="E375" s="97"/>
      <c r="F375" s="97"/>
      <c r="G375" s="97"/>
      <c r="H375" s="98"/>
      <c r="I375" s="98"/>
      <c r="J375" s="98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98"/>
      <c r="I376" s="98"/>
      <c r="J376" s="98"/>
    </row>
    <row r="377" s="96" customFormat="true" ht="15.75" hidden="false" customHeight="true" outlineLevel="0" collapsed="false">
      <c r="A377" s="200"/>
      <c r="C377" s="98"/>
      <c r="D377" s="98"/>
      <c r="E377" s="97"/>
      <c r="F377" s="97"/>
      <c r="G377" s="97"/>
      <c r="H377" s="182"/>
      <c r="I377" s="196"/>
      <c r="J377" s="196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98"/>
      <c r="J378" s="98"/>
    </row>
    <row r="379" s="96" customFormat="true" ht="15.75" hidden="false" customHeight="true" outlineLevel="0" collapsed="false">
      <c r="A379" s="200"/>
      <c r="D379" s="98"/>
      <c r="E379" s="97"/>
      <c r="F379" s="97"/>
      <c r="G379" s="97"/>
      <c r="H379" s="98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7"/>
      <c r="I380" s="196"/>
      <c r="J380" s="196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7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97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213"/>
      <c r="I387" s="213"/>
      <c r="J387" s="213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97"/>
      <c r="J388" s="97"/>
    </row>
    <row r="389" s="96" customFormat="true" ht="15.75" hidden="false" customHeight="true" outlineLevel="0" collapsed="false">
      <c r="A389" s="200"/>
      <c r="C389" s="188"/>
      <c r="D389" s="98"/>
      <c r="E389" s="97"/>
      <c r="F389" s="97"/>
      <c r="G389" s="97"/>
      <c r="H389" s="98"/>
      <c r="I389" s="98"/>
      <c r="J389" s="98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196"/>
      <c r="J390" s="196"/>
    </row>
    <row r="391" s="96" customFormat="true" ht="15.75" hidden="false" customHeight="true" outlineLevel="0" collapsed="false">
      <c r="A391" s="200"/>
      <c r="C391" s="98"/>
      <c r="D391" s="98"/>
      <c r="E391" s="97"/>
      <c r="F391" s="97"/>
      <c r="G391" s="97"/>
      <c r="H391" s="97"/>
      <c r="I391" s="97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196"/>
      <c r="J392" s="196"/>
    </row>
    <row r="393" s="96" customFormat="true" ht="15.75" hidden="false" customHeight="true" outlineLevel="0" collapsed="false">
      <c r="A393" s="200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107"/>
      <c r="D395" s="98"/>
      <c r="E395" s="97"/>
      <c r="F395" s="97"/>
      <c r="G395" s="97"/>
      <c r="H395" s="97"/>
      <c r="I395" s="97"/>
      <c r="J395" s="97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202" customFormat="true" ht="15.75" hidden="false" customHeight="true" outlineLevel="0" collapsed="false">
      <c r="A403" s="107"/>
      <c r="B403" s="96"/>
      <c r="C403" s="96"/>
      <c r="D403" s="98"/>
      <c r="E403" s="97"/>
      <c r="F403" s="97"/>
      <c r="G403" s="97"/>
      <c r="H403" s="97"/>
      <c r="I403" s="97"/>
      <c r="J403" s="97"/>
    </row>
    <row r="404" s="96" customFormat="true" ht="15.75" hidden="false" customHeight="true" outlineLevel="0" collapsed="false">
      <c r="A404" s="191"/>
      <c r="B404" s="191"/>
      <c r="C404" s="191"/>
      <c r="D404" s="192"/>
      <c r="E404" s="191"/>
      <c r="F404" s="191"/>
      <c r="G404" s="191"/>
      <c r="H404" s="191"/>
      <c r="I404" s="191"/>
      <c r="J404" s="199"/>
    </row>
    <row r="405" s="96" customFormat="true" ht="15.75" hidden="false" customHeight="true" outlineLevel="0" collapsed="false">
      <c r="A405" s="191"/>
      <c r="B405" s="191"/>
      <c r="C405" s="191"/>
      <c r="D405" s="192"/>
      <c r="E405" s="191"/>
      <c r="F405" s="191"/>
      <c r="G405" s="191"/>
      <c r="H405" s="191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97"/>
      <c r="D418" s="98"/>
      <c r="E418" s="97"/>
      <c r="F418" s="97"/>
      <c r="G418" s="97"/>
      <c r="H418" s="97"/>
      <c r="I418" s="196"/>
      <c r="J418" s="196"/>
      <c r="K418" s="214"/>
    </row>
    <row r="419" s="96" customFormat="true" ht="15.75" hidden="false" customHeight="true" outlineLevel="0" collapsed="false">
      <c r="A419" s="97"/>
      <c r="D419" s="98"/>
      <c r="E419" s="97"/>
      <c r="F419" s="97"/>
      <c r="G419" s="97"/>
      <c r="H419" s="97"/>
      <c r="I419" s="196"/>
    </row>
    <row r="420" customFormat="false" ht="18" hidden="false" customHeight="true" outlineLevel="0" collapsed="false">
      <c r="A420" s="97"/>
      <c r="B420" s="96"/>
      <c r="C420" s="96"/>
      <c r="D420" s="98"/>
      <c r="E420" s="97"/>
      <c r="F420" s="97"/>
      <c r="G420" s="97"/>
      <c r="H420" s="97"/>
      <c r="I420" s="97"/>
      <c r="J420" s="92" t="str">
        <f aca="false">LEFT($J$111,10)&amp;"-04"</f>
        <v>FG-240-3PR-04</v>
      </c>
      <c r="K420" s="78"/>
      <c r="L420" s="78"/>
      <c r="M420" s="79"/>
      <c r="N420" s="79"/>
    </row>
    <row r="421" customFormat="false" ht="12.75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215"/>
      <c r="K421" s="78"/>
      <c r="L421" s="78"/>
      <c r="M421" s="79"/>
      <c r="N421" s="79"/>
    </row>
    <row r="422" customFormat="false" ht="30" hidden="false" customHeight="true" outlineLevel="0" collapsed="false">
      <c r="C422" s="75"/>
      <c r="D422" s="76"/>
      <c r="E422" s="76"/>
      <c r="F422" s="76"/>
      <c r="G422" s="76"/>
      <c r="H422" s="76"/>
      <c r="I422" s="76"/>
      <c r="J422" s="77" t="str">
        <f aca="false">J2</f>
        <v>HOMELIFE</v>
      </c>
      <c r="K422" s="83"/>
      <c r="L422" s="83"/>
      <c r="M422" s="79"/>
      <c r="N422" s="79"/>
    </row>
    <row r="423" customFormat="false" ht="24.75" hidden="false" customHeight="true" outlineLevel="0" collapsed="false">
      <c r="C423" s="82"/>
      <c r="D423" s="82"/>
      <c r="E423" s="82"/>
      <c r="F423" s="82"/>
      <c r="G423" s="82"/>
      <c r="H423" s="82"/>
      <c r="I423" s="82"/>
      <c r="J423" s="80" t="str">
        <f aca="false">J3</f>
        <v>Fabricators Guide</v>
      </c>
      <c r="K423" s="83"/>
      <c r="L423" s="83"/>
      <c r="M423" s="79"/>
      <c r="N423" s="79"/>
    </row>
    <row r="424" customFormat="false" ht="24.75" hidden="false" customHeight="true" outlineLevel="0" collapsed="false">
      <c r="B424" s="81"/>
      <c r="C424" s="82"/>
      <c r="D424" s="82"/>
      <c r="E424" s="82"/>
      <c r="F424" s="82"/>
      <c r="G424" s="82"/>
      <c r="H424" s="82"/>
      <c r="I424" s="82"/>
      <c r="J424" s="80" t="str">
        <f aca="false">J4</f>
        <v>240 Series Bi Fold Door </v>
      </c>
      <c r="M424" s="87"/>
      <c r="N424" s="87"/>
    </row>
    <row r="425" s="96" customFormat="true" ht="15" hidden="false" customHeight="true" outlineLevel="0" collapsed="false">
      <c r="A425" s="84"/>
      <c r="B425" s="84"/>
      <c r="C425" s="84"/>
      <c r="D425" s="85"/>
      <c r="E425" s="84"/>
      <c r="F425" s="84"/>
      <c r="G425" s="84"/>
      <c r="H425" s="84"/>
      <c r="I425" s="84"/>
      <c r="J425" s="86"/>
      <c r="K425" s="87"/>
      <c r="L425" s="87"/>
      <c r="M425" s="87"/>
      <c r="N425" s="87"/>
    </row>
    <row r="426" s="96" customFormat="true" ht="24.75" hidden="false" customHeight="true" outlineLevel="0" collapsed="false">
      <c r="A426" s="88" t="s">
        <v>481</v>
      </c>
      <c r="B426" s="88"/>
      <c r="C426" s="88"/>
      <c r="D426" s="88"/>
      <c r="E426" s="88"/>
      <c r="F426" s="88"/>
      <c r="G426" s="88"/>
      <c r="H426" s="88"/>
      <c r="I426" s="88"/>
      <c r="J426" s="88"/>
    </row>
    <row r="427" s="96" customFormat="true" ht="15" hidden="false" customHeight="true" outlineLevel="0" collapsed="false">
      <c r="A427" s="97"/>
      <c r="D427" s="98"/>
      <c r="E427" s="83"/>
      <c r="F427" s="98"/>
      <c r="H427" s="191"/>
      <c r="I427" s="191"/>
      <c r="J427" s="199"/>
    </row>
    <row r="428" s="96" customFormat="true" ht="15" hidden="false" customHeight="true" outlineLevel="0" collapsed="false">
      <c r="A428" s="97"/>
      <c r="D428" s="98"/>
      <c r="E428" s="83"/>
      <c r="F428" s="98"/>
      <c r="H428" s="191"/>
      <c r="I428" s="191"/>
      <c r="J428" s="199"/>
    </row>
    <row r="429" s="96" customFormat="true" ht="15" hidden="false" customHeight="true" outlineLevel="0" collapsed="false">
      <c r="A429" s="97"/>
      <c r="C429" s="98"/>
      <c r="D429" s="98"/>
      <c r="E429" s="97"/>
      <c r="F429" s="98"/>
      <c r="H429" s="191"/>
      <c r="I429" s="191"/>
      <c r="J429" s="199"/>
    </row>
    <row r="430" s="96" customFormat="true" ht="15" hidden="false" customHeight="true" outlineLevel="0" collapsed="false">
      <c r="A430" s="97"/>
      <c r="C430" s="98"/>
      <c r="D430" s="98"/>
      <c r="E430" s="83"/>
      <c r="F430" s="98"/>
      <c r="H430" s="191"/>
      <c r="I430" s="191"/>
      <c r="J430" s="199"/>
    </row>
    <row r="431" s="96" customFormat="true" ht="15" hidden="false" customHeight="true" outlineLevel="0" collapsed="false">
      <c r="A431" s="97"/>
      <c r="C431" s="98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C432" s="98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182"/>
      <c r="D433" s="98"/>
      <c r="E433" s="97"/>
      <c r="F433" s="216"/>
      <c r="H433" s="191"/>
      <c r="I433" s="191"/>
      <c r="J433" s="199"/>
    </row>
    <row r="434" s="96" customFormat="true" ht="15" hidden="false" customHeight="true" outlineLevel="0" collapsed="false">
      <c r="A434" s="81"/>
      <c r="B434" s="81"/>
      <c r="C434" s="98"/>
      <c r="D434" s="98"/>
      <c r="E434" s="97"/>
      <c r="F434" s="186"/>
      <c r="H434" s="191"/>
      <c r="I434" s="191"/>
      <c r="J434" s="199"/>
    </row>
    <row r="435" s="96" customFormat="true" ht="15" hidden="false" customHeight="true" outlineLevel="0" collapsed="false">
      <c r="A435" s="99"/>
      <c r="B435" s="99"/>
      <c r="C435" s="98"/>
      <c r="D435" s="98"/>
      <c r="E435" s="97"/>
      <c r="F435" s="110"/>
      <c r="H435" s="191"/>
      <c r="I435" s="191"/>
      <c r="J435" s="199"/>
    </row>
    <row r="436" s="96" customFormat="true" ht="15" hidden="false" customHeight="true" outlineLevel="0" collapsed="false">
      <c r="B436" s="99"/>
      <c r="C436" s="98"/>
      <c r="D436" s="98"/>
      <c r="E436" s="97"/>
      <c r="F436" s="110"/>
      <c r="H436" s="191"/>
      <c r="I436" s="191"/>
      <c r="J436" s="199"/>
    </row>
    <row r="437" s="96" customFormat="true" ht="15" hidden="false" customHeight="true" outlineLevel="0" collapsed="false">
      <c r="A437" s="211" t="str">
        <f aca="false">A18</f>
        <v>240-3 Panel (R)</v>
      </c>
      <c r="C437" s="182"/>
      <c r="D437" s="98"/>
      <c r="E437" s="97"/>
      <c r="F437" s="186"/>
      <c r="H437" s="191"/>
      <c r="I437" s="191"/>
      <c r="J437" s="199"/>
    </row>
    <row r="438" s="96" customFormat="true" ht="15.75" hidden="false" customHeight="true" outlineLevel="0" collapsed="false">
      <c r="A438" s="90" t="str">
        <f aca="false">A19</f>
        <v>Outside Bi Fold Door </v>
      </c>
      <c r="C438" s="98"/>
      <c r="D438" s="98"/>
      <c r="E438" s="97"/>
      <c r="F438" s="78"/>
      <c r="H438" s="191"/>
      <c r="I438" s="191"/>
      <c r="J438" s="199"/>
    </row>
    <row r="439" s="96" customFormat="true" ht="15.75" hidden="false" customHeight="true" outlineLevel="0" collapsed="false">
      <c r="A439" s="81"/>
      <c r="C439" s="212"/>
      <c r="D439" s="98"/>
      <c r="E439" s="97"/>
      <c r="F439" s="97"/>
      <c r="H439" s="191"/>
      <c r="I439" s="191"/>
      <c r="J439" s="199"/>
    </row>
    <row r="440" s="96" customFormat="true" ht="15.75" hidden="false" customHeight="true" outlineLevel="0" collapsed="false">
      <c r="A440" s="191"/>
      <c r="C440" s="191"/>
      <c r="D440" s="192"/>
      <c r="E440" s="191"/>
      <c r="F440" s="191"/>
      <c r="H440" s="191"/>
      <c r="I440" s="191"/>
      <c r="J440" s="199"/>
    </row>
    <row r="441" s="96" customFormat="true" ht="15.75" hidden="false" customHeight="true" outlineLevel="0" collapsed="false">
      <c r="A441" s="190"/>
      <c r="C441" s="98"/>
      <c r="D441" s="194"/>
      <c r="E441" s="190"/>
      <c r="F441" s="189"/>
      <c r="H441" s="191"/>
      <c r="I441" s="191"/>
      <c r="J441" s="199"/>
    </row>
    <row r="447" s="96" customFormat="true" ht="15.75" hidden="false" customHeight="true" outlineLevel="0" collapsed="false">
      <c r="A447" s="97"/>
      <c r="D447" s="98"/>
      <c r="E447" s="97"/>
      <c r="F447" s="98"/>
      <c r="G447" s="97"/>
      <c r="H447" s="97"/>
      <c r="I447" s="196"/>
      <c r="J447" s="196"/>
    </row>
    <row r="448" s="96" customFormat="true" ht="15.75" hidden="false" customHeight="true" outlineLevel="0" collapsed="false">
      <c r="A448" s="97"/>
      <c r="D448" s="98"/>
      <c r="E448" s="97"/>
      <c r="F448" s="98"/>
      <c r="G448" s="97"/>
      <c r="H448" s="97"/>
      <c r="I448" s="196"/>
      <c r="J448" s="196"/>
    </row>
    <row r="449" s="96" customFormat="true" ht="15.75" hidden="false" customHeight="true" outlineLevel="0" collapsed="false">
      <c r="A449" s="97"/>
      <c r="D449" s="98"/>
      <c r="E449" s="97"/>
      <c r="F449" s="98"/>
      <c r="G449" s="97"/>
      <c r="H449" s="97"/>
      <c r="I449" s="196"/>
      <c r="J449" s="196"/>
    </row>
    <row r="450" s="96" customFormat="true" ht="15.75" hidden="false" customHeight="true" outlineLevel="0" collapsed="false">
      <c r="A450" s="97"/>
      <c r="C450" s="191"/>
      <c r="D450" s="98"/>
      <c r="E450" s="97"/>
      <c r="F450" s="98"/>
      <c r="G450" s="97"/>
      <c r="H450" s="97"/>
      <c r="I450" s="196"/>
      <c r="J450" s="196"/>
    </row>
    <row r="451" s="96" customFormat="true" ht="15.75" hidden="false" customHeight="true" outlineLevel="0" collapsed="false">
      <c r="A451" s="97"/>
      <c r="C451" s="98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C452" s="98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C453" s="98"/>
      <c r="D453" s="98"/>
      <c r="E453" s="97"/>
      <c r="F453" s="98"/>
      <c r="G453" s="97"/>
      <c r="H453" s="97"/>
      <c r="I453" s="97"/>
      <c r="J453" s="196"/>
    </row>
    <row r="454" s="96" customFormat="true" ht="15.75" hidden="false" customHeight="true" outlineLevel="0" collapsed="false">
      <c r="A454" s="97"/>
      <c r="D454" s="98"/>
      <c r="E454" s="97"/>
      <c r="F454" s="97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D455" s="98"/>
      <c r="E455" s="97"/>
      <c r="F455" s="97"/>
      <c r="G455" s="97"/>
      <c r="H455" s="195"/>
      <c r="I455" s="196"/>
      <c r="J455" s="196"/>
    </row>
    <row r="456" s="96" customFormat="true" ht="15" hidden="false" customHeight="true" outlineLevel="0" collapsed="false">
      <c r="A456" s="97"/>
      <c r="D456" s="98"/>
      <c r="E456" s="97"/>
      <c r="F456" s="97"/>
      <c r="G456" s="97"/>
      <c r="H456" s="97"/>
      <c r="I456" s="196"/>
      <c r="J456" s="196"/>
    </row>
    <row r="457" s="96" customFormat="true" ht="15" hidden="false" customHeight="true" outlineLevel="0" collapsed="false">
      <c r="A457" s="97"/>
      <c r="D457" s="98"/>
      <c r="E457" s="97"/>
      <c r="F457" s="97"/>
      <c r="G457" s="97"/>
      <c r="H457" s="97"/>
      <c r="I457" s="196"/>
      <c r="J457" s="196"/>
    </row>
    <row r="458" s="96" customFormat="true" ht="1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97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202" customFormat="true" ht="15.75" hidden="false" customHeight="true" outlineLevel="0" collapsed="false">
      <c r="A474" s="97"/>
      <c r="B474" s="96"/>
      <c r="C474" s="96"/>
      <c r="D474" s="98"/>
      <c r="E474" s="97"/>
      <c r="F474" s="97"/>
      <c r="G474" s="97"/>
      <c r="H474" s="97"/>
      <c r="I474" s="97"/>
      <c r="J474" s="97"/>
    </row>
    <row r="475" s="96" customFormat="true" ht="15.75" hidden="false" customHeight="true" outlineLevel="0" collapsed="false">
      <c r="A475" s="191"/>
      <c r="B475" s="191"/>
      <c r="C475" s="191"/>
      <c r="D475" s="192"/>
      <c r="E475" s="191"/>
      <c r="F475" s="191"/>
      <c r="G475" s="191"/>
      <c r="H475" s="191"/>
      <c r="I475" s="191"/>
      <c r="J475" s="199"/>
    </row>
    <row r="476" s="96" customFormat="true" ht="15.75" hidden="false" customHeight="true" outlineLevel="0" collapsed="false">
      <c r="A476" s="190"/>
      <c r="B476" s="190"/>
      <c r="C476" s="191"/>
      <c r="D476" s="194"/>
      <c r="E476" s="190"/>
      <c r="F476" s="189"/>
      <c r="G476" s="190"/>
      <c r="H476" s="189"/>
      <c r="I476" s="189"/>
      <c r="J476" s="190"/>
    </row>
    <row r="477" s="96" customFormat="true" ht="15.75" hidden="false" customHeight="true" outlineLevel="0" collapsed="false">
      <c r="A477" s="200"/>
      <c r="C477" s="182"/>
      <c r="D477" s="98"/>
      <c r="E477" s="97"/>
      <c r="F477" s="97"/>
      <c r="G477" s="97"/>
      <c r="H477" s="182"/>
      <c r="I477" s="196"/>
      <c r="J477" s="196"/>
    </row>
    <row r="478" s="96" customFormat="true" ht="15.75" hidden="false" customHeight="true" outlineLevel="0" collapsed="false">
      <c r="A478" s="200"/>
      <c r="C478" s="98"/>
      <c r="D478" s="98"/>
      <c r="E478" s="97"/>
      <c r="F478" s="97"/>
      <c r="G478" s="97"/>
      <c r="J478" s="97"/>
    </row>
    <row r="479" s="96" customFormat="true" ht="15.75" hidden="false" customHeight="true" outlineLevel="0" collapsed="false">
      <c r="A479" s="200"/>
      <c r="C479" s="98"/>
      <c r="D479" s="98"/>
      <c r="E479" s="97"/>
      <c r="F479" s="97"/>
      <c r="G479" s="97"/>
      <c r="J479" s="97"/>
    </row>
    <row r="480" s="96" customFormat="true" ht="15.75" hidden="false" customHeight="true" outlineLevel="0" collapsed="false">
      <c r="A480" s="200"/>
      <c r="D480" s="98"/>
      <c r="E480" s="97"/>
      <c r="F480" s="97"/>
      <c r="G480" s="97"/>
      <c r="H480" s="97"/>
      <c r="I480" s="196"/>
      <c r="J480" s="196"/>
    </row>
    <row r="481" s="96" customFormat="true" ht="15.75" hidden="false" customHeight="true" outlineLevel="0" collapsed="false">
      <c r="A481" s="200"/>
      <c r="D481" s="98"/>
      <c r="E481" s="97"/>
      <c r="F481" s="97"/>
      <c r="G481" s="97"/>
      <c r="H481" s="97"/>
      <c r="I481" s="196"/>
      <c r="J481" s="196"/>
    </row>
    <row r="482" s="96" customFormat="true" ht="15.75" hidden="false" customHeight="true" outlineLevel="0" collapsed="false">
      <c r="A482" s="200"/>
      <c r="D482" s="98"/>
      <c r="E482" s="97"/>
      <c r="F482" s="97"/>
      <c r="G482" s="97"/>
      <c r="H482" s="97"/>
      <c r="I482" s="196"/>
      <c r="J482" s="196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H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G495" s="97"/>
      <c r="H495" s="182"/>
      <c r="I495" s="196"/>
      <c r="J495" s="196"/>
    </row>
    <row r="496" s="96" customFormat="true" ht="15.75" hidden="false" customHeight="true" outlineLevel="0" collapsed="false">
      <c r="A496" s="200"/>
      <c r="C496" s="188"/>
      <c r="D496" s="98"/>
      <c r="E496" s="97"/>
      <c r="F496" s="97"/>
      <c r="G496" s="97"/>
      <c r="J496" s="97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J497" s="97"/>
    </row>
    <row r="498" s="96" customFormat="true" ht="15.75" hidden="false" customHeight="true" outlineLevel="0" collapsed="false">
      <c r="A498" s="200"/>
      <c r="C498" s="98"/>
      <c r="D498" s="98"/>
      <c r="E498" s="97"/>
      <c r="F498" s="97"/>
      <c r="G498" s="97"/>
      <c r="H498" s="182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J499" s="97"/>
    </row>
    <row r="500" s="96" customFormat="true" ht="15.75" hidden="false" customHeight="true" outlineLevel="0" collapsed="false">
      <c r="A500" s="200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H501" s="97"/>
      <c r="I501" s="196"/>
      <c r="J501" s="196"/>
    </row>
    <row r="502" s="96" customFormat="true" ht="15.75" hidden="false" customHeight="true" outlineLevel="0" collapsed="false">
      <c r="A502" s="200"/>
      <c r="D502" s="98"/>
      <c r="E502" s="97"/>
      <c r="F502" s="97"/>
      <c r="G502" s="97"/>
      <c r="H502" s="97"/>
      <c r="I502" s="196"/>
      <c r="J502" s="196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H503" s="97"/>
      <c r="I503" s="196"/>
      <c r="J503" s="196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H504" s="97"/>
      <c r="I504" s="97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97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97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238"/>
      <c r="I511" s="212"/>
      <c r="J511" s="195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J512" s="97"/>
    </row>
    <row r="513" s="96" customFormat="true" ht="15.75" hidden="false" customHeight="true" outlineLevel="0" collapsed="false">
      <c r="A513" s="191"/>
      <c r="B513" s="191"/>
      <c r="C513" s="191"/>
      <c r="D513" s="192"/>
      <c r="E513" s="191"/>
      <c r="F513" s="191"/>
      <c r="G513" s="191"/>
      <c r="H513" s="191"/>
      <c r="I513" s="191"/>
      <c r="J513" s="199"/>
    </row>
    <row r="514" s="96" customFormat="true" ht="15.75" hidden="false" customHeight="true" outlineLevel="0" collapsed="false">
      <c r="A514" s="191"/>
      <c r="B514" s="191"/>
      <c r="C514" s="191"/>
      <c r="D514" s="192"/>
      <c r="E514" s="191"/>
      <c r="F514" s="191"/>
      <c r="G514" s="191"/>
      <c r="H514" s="191"/>
      <c r="I514" s="191"/>
      <c r="J514" s="199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A516" s="191"/>
      <c r="B516" s="191"/>
      <c r="C516" s="191"/>
      <c r="D516" s="192"/>
      <c r="E516" s="191"/>
      <c r="F516" s="191"/>
      <c r="G516" s="191"/>
      <c r="H516" s="191"/>
      <c r="I516" s="191"/>
      <c r="J516" s="199"/>
    </row>
    <row r="517" s="96" customFormat="true" ht="15.75" hidden="false" customHeight="true" outlineLevel="0" collapsed="false"/>
    <row r="518" s="96" customFormat="true" ht="15.75" hidden="false" customHeight="true" outlineLevel="0" collapsed="false"/>
    <row r="519" s="96" customFormat="true" ht="24.75" hidden="false" customHeight="true" outlineLevel="0" collapsed="false">
      <c r="A519" s="88" t="s">
        <v>482</v>
      </c>
      <c r="B519" s="88"/>
      <c r="C519" s="88"/>
      <c r="D519" s="88"/>
      <c r="E519" s="88"/>
      <c r="F519" s="88"/>
      <c r="G519" s="88"/>
      <c r="H519" s="88"/>
      <c r="I519" s="88"/>
      <c r="J519" s="88"/>
    </row>
    <row r="520" s="96" customFormat="true" ht="34.5" hidden="false" customHeight="true" outlineLevel="0" collapsed="false">
      <c r="A520" s="114" t="s">
        <v>319</v>
      </c>
      <c r="B520" s="115" t="s">
        <v>168</v>
      </c>
      <c r="C520" s="115" t="s">
        <v>168</v>
      </c>
      <c r="D520" s="116" t="s">
        <v>483</v>
      </c>
      <c r="E520" s="115" t="s">
        <v>321</v>
      </c>
      <c r="F520" s="239" t="s">
        <v>484</v>
      </c>
      <c r="G520" s="240"/>
      <c r="H520" s="116" t="s">
        <v>484</v>
      </c>
      <c r="I520" s="116" t="s">
        <v>485</v>
      </c>
      <c r="J520" s="117" t="s">
        <v>323</v>
      </c>
      <c r="N520" s="118" t="s">
        <v>168</v>
      </c>
      <c r="O520" s="118" t="s">
        <v>168</v>
      </c>
    </row>
    <row r="521" s="96" customFormat="true" ht="15.75" hidden="false" customHeight="true" outlineLevel="0" collapsed="false">
      <c r="A521" s="120" t="n">
        <f aca="false">IF(C521="","",1)</f>
        <v>1</v>
      </c>
      <c r="B521" s="121" t="str">
        <f aca="false">IF($D$127=5,N521,IF($D$127=6,N522,IF($D$127=8,N523,IF($D$127=10,N524,IF($D$127=12,N525,IF($D$127=14,N526,IF($D$127=18,N527,IF($D$127=20,N528,IF($D$127=22,N529,)))))))))</f>
        <v>กระจก 6 mm (สูง) (กว้าง)</v>
      </c>
      <c r="C521" s="121" t="str">
        <f aca="false">IF($D$127=5,O521,IF($D$127=6,O522,IF($D$127=8,O523,IF($D$127=10,O524,IF($D$127=12,O525,IF($D$127=14,O526,IF($D$127=18,O527,IF($D$127=20,O528,IF($D$127=22,O529,)))))))))</f>
        <v>GLASS thk.6 mm (H) (W)</v>
      </c>
      <c r="D521" s="123" t="n">
        <f aca="false">$J$123-215</f>
        <v>2335</v>
      </c>
      <c r="E521" s="120" t="s">
        <v>486</v>
      </c>
      <c r="F521" s="224" t="s">
        <v>487</v>
      </c>
      <c r="G521" s="224"/>
      <c r="H521" s="120" t="s">
        <v>548</v>
      </c>
      <c r="I521" s="225" t="n">
        <f aca="false">(($J$126-182-(113.25*2))/3)-13</f>
        <v>674.166666666667</v>
      </c>
      <c r="J521" s="226" t="n">
        <f aca="false">$J$120*3</f>
        <v>3</v>
      </c>
      <c r="M521" s="96" t="n">
        <f aca="false">ROW()</f>
        <v>521</v>
      </c>
      <c r="N521" s="62" t="s">
        <v>489</v>
      </c>
      <c r="O521" s="62" t="s">
        <v>490</v>
      </c>
    </row>
    <row r="522" s="96" customFormat="true" ht="15.75" hidden="false" customHeight="true" outlineLevel="0" collapsed="false">
      <c r="A522" s="227"/>
      <c r="B522" s="131"/>
      <c r="C522" s="131"/>
      <c r="D522" s="132" t="s">
        <v>208</v>
      </c>
      <c r="E522" s="130"/>
      <c r="F522" s="233"/>
      <c r="G522" s="234"/>
      <c r="H522" s="131"/>
      <c r="I522" s="133"/>
      <c r="J522" s="235"/>
      <c r="M522" s="96" t="n">
        <f aca="false">ROW()</f>
        <v>522</v>
      </c>
      <c r="N522" s="62" t="s">
        <v>491</v>
      </c>
      <c r="O522" s="62" t="s">
        <v>492</v>
      </c>
    </row>
    <row r="523" s="96" customFormat="true" ht="15.75" hidden="false" customHeight="true" outlineLevel="0" collapsed="false">
      <c r="A523" s="227"/>
      <c r="B523" s="131"/>
      <c r="C523" s="131"/>
      <c r="D523" s="132"/>
      <c r="E523" s="130"/>
      <c r="F523" s="233"/>
      <c r="G523" s="234"/>
      <c r="H523" s="131"/>
      <c r="I523" s="133"/>
      <c r="J523" s="235"/>
      <c r="M523" s="96" t="n">
        <f aca="false">ROW()</f>
        <v>523</v>
      </c>
      <c r="N523" s="62" t="s">
        <v>493</v>
      </c>
      <c r="O523" s="62" t="s">
        <v>494</v>
      </c>
    </row>
    <row r="524" s="96" customFormat="true" ht="15.75" hidden="false" customHeight="true" outlineLevel="0" collapsed="false">
      <c r="A524" s="227"/>
      <c r="B524" s="131"/>
      <c r="C524" s="131"/>
      <c r="D524" s="132"/>
      <c r="E524" s="130"/>
      <c r="F524" s="233"/>
      <c r="G524" s="234"/>
      <c r="H524" s="130"/>
      <c r="I524" s="133"/>
      <c r="J524" s="235"/>
      <c r="M524" s="96" t="n">
        <f aca="false">ROW()</f>
        <v>524</v>
      </c>
      <c r="N524" s="62" t="s">
        <v>495</v>
      </c>
      <c r="O524" s="62" t="s">
        <v>496</v>
      </c>
    </row>
    <row r="525" s="96" customFormat="true" ht="15.75" hidden="false" customHeight="true" outlineLevel="0" collapsed="false">
      <c r="A525" s="136" t="str">
        <f aca="false">IF(B525="","",+A522+1)</f>
        <v/>
      </c>
      <c r="B525" s="135"/>
      <c r="C525" s="135"/>
      <c r="D525" s="139"/>
      <c r="E525" s="136"/>
      <c r="F525" s="236"/>
      <c r="G525" s="237"/>
      <c r="H525" s="136"/>
      <c r="I525" s="180"/>
      <c r="J525" s="140"/>
      <c r="M525" s="96" t="n">
        <f aca="false">ROW()</f>
        <v>525</v>
      </c>
      <c r="N525" s="62" t="s">
        <v>497</v>
      </c>
      <c r="O525" s="62" t="s">
        <v>498</v>
      </c>
    </row>
    <row r="526" customFormat="false" ht="14.25" hidden="false" customHeight="false" outlineLevel="0" collapsed="false">
      <c r="J526" s="92" t="str">
        <f aca="false">LEFT($J$111,10)&amp;"-05"</f>
        <v>FG-240-3PR-05</v>
      </c>
      <c r="M526" s="96" t="n">
        <f aca="false">ROW()</f>
        <v>526</v>
      </c>
      <c r="N526" s="62" t="s">
        <v>499</v>
      </c>
      <c r="O526" s="62" t="s">
        <v>500</v>
      </c>
    </row>
    <row r="527" customFormat="false" ht="14.25" hidden="false" customHeight="false" outlineLevel="0" collapsed="false">
      <c r="M527" s="96" t="n">
        <f aca="false">ROW()</f>
        <v>527</v>
      </c>
      <c r="N527" s="62" t="s">
        <v>501</v>
      </c>
      <c r="O527" s="62" t="s">
        <v>502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503</v>
      </c>
      <c r="O528" s="62" t="s">
        <v>504</v>
      </c>
    </row>
    <row r="529" customFormat="false" ht="14.25" hidden="false" customHeight="false" outlineLevel="0" collapsed="false">
      <c r="M529" s="96" t="n">
        <f aca="false">ROW()</f>
        <v>529</v>
      </c>
      <c r="N529" s="62" t="s">
        <v>505</v>
      </c>
      <c r="O529" s="62" t="s">
        <v>506</v>
      </c>
    </row>
  </sheetData>
  <mergeCells count="44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3:J153"/>
    <mergeCell ref="I154:J154"/>
    <mergeCell ref="I155:J155"/>
    <mergeCell ref="I156:J156"/>
    <mergeCell ref="I157:J157"/>
    <mergeCell ref="D158:D159"/>
    <mergeCell ref="H158:H159"/>
    <mergeCell ref="I158:J159"/>
    <mergeCell ref="D160:D161"/>
    <mergeCell ref="H160:H161"/>
    <mergeCell ref="I160:J160"/>
    <mergeCell ref="I161:J164"/>
    <mergeCell ref="D162:D166"/>
    <mergeCell ref="H162:H166"/>
    <mergeCell ref="I165:J166"/>
    <mergeCell ref="D167:D168"/>
    <mergeCell ref="H167:H168"/>
    <mergeCell ref="I167:J167"/>
    <mergeCell ref="I168:J168"/>
    <mergeCell ref="A169:J169"/>
    <mergeCell ref="A212:J212"/>
    <mergeCell ref="A319:J319"/>
    <mergeCell ref="F328:G328"/>
    <mergeCell ref="F329:G329"/>
    <mergeCell ref="F332:G332"/>
    <mergeCell ref="A426:J426"/>
    <mergeCell ref="A519:J519"/>
    <mergeCell ref="F521:G521"/>
  </mergeCells>
  <dataValidations count="3">
    <dataValidation allowBlank="true" errorStyle="stop" operator="between" showDropDown="false" showErrorMessage="true" showInputMessage="true" sqref="D127:G127" type="list">
      <formula1>$N$120:$N$128</formula1>
      <formula2>0</formula2>
    </dataValidation>
    <dataValidation allowBlank="true" errorStyle="stop" operator="between" showDropDown="false" showErrorMessage="true" showInputMessage="true" sqref="D129:G129" type="list">
      <formula1>$O$120</formula1>
      <formula2>0</formula2>
    </dataValidation>
    <dataValidation allowBlank="true" errorStyle="stop" operator="between" showDropDown="false" showErrorMessage="true" showInputMessage="true" sqref="D123:G123" type="list">
      <formula1>$P$119:$P$128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6" man="true" max="16383" min="0"/>
    <brk id="313" man="true" max="16383" min="0"/>
    <brk id="420" man="true" max="16383" min="0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AI529"/>
  <sheetViews>
    <sheetView showFormulas="false" showGridLines="false" showRowColHeaders="true" showZeros="true" rightToLeft="false" tabSelected="false" showOutlineSymbols="true" defaultGridColor="true" view="pageBreakPreview" topLeftCell="A1" colorId="64" zoomScale="75" zoomScaleNormal="75" zoomScalePageLayoutView="75" workbookViewId="0">
      <selection pane="topLeft" activeCell="C15" activeCellId="0" sqref="C15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34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6.67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3.44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569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>
      <c r="G45" s="91"/>
    </row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570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257" customFormat="true" ht="24.75" hidden="false" customHeight="true" outlineLevel="0" collapsed="false">
      <c r="A117" s="246" t="s">
        <v>285</v>
      </c>
      <c r="B117" s="246"/>
      <c r="C117" s="246"/>
      <c r="D117" s="246"/>
      <c r="E117" s="246"/>
      <c r="F117" s="246"/>
      <c r="G117" s="246"/>
      <c r="H117" s="246"/>
      <c r="I117" s="246"/>
      <c r="J117" s="246"/>
    </row>
    <row r="118" s="96" customFormat="true" ht="15" hidden="false" customHeight="true" outlineLevel="0" collapsed="false">
      <c r="A118" s="97"/>
      <c r="C118" s="81"/>
      <c r="D118" s="98"/>
      <c r="E118" s="83"/>
      <c r="J118" s="99"/>
      <c r="K118" s="83"/>
    </row>
    <row r="119" s="96" customFormat="true" ht="15" hidden="false" customHeight="true" outlineLevel="0" collapsed="false">
      <c r="A119" s="97"/>
      <c r="C119" s="100" t="s">
        <v>286</v>
      </c>
      <c r="D119" s="101" t="s">
        <v>571</v>
      </c>
      <c r="E119" s="101"/>
      <c r="F119" s="101"/>
      <c r="G119" s="101"/>
      <c r="I119" s="83"/>
      <c r="J119" s="97"/>
      <c r="N119" s="258" t="s">
        <v>288</v>
      </c>
      <c r="O119" s="97" t="s">
        <v>289</v>
      </c>
      <c r="P119" s="102" t="s">
        <v>290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5</v>
      </c>
      <c r="O120" s="97" t="s">
        <v>509</v>
      </c>
      <c r="P120" s="106" t="s">
        <v>294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6</v>
      </c>
      <c r="O121" s="97" t="s">
        <v>296</v>
      </c>
      <c r="P121" s="106" t="s">
        <v>297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8</v>
      </c>
      <c r="P122" s="106" t="s">
        <v>299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299</v>
      </c>
      <c r="E123" s="101"/>
      <c r="F123" s="101"/>
      <c r="G123" s="101"/>
      <c r="H123" s="104" t="s">
        <v>302</v>
      </c>
      <c r="I123" s="104"/>
      <c r="J123" s="105" t="n">
        <v>2525</v>
      </c>
      <c r="N123" s="259" t="n">
        <v>10</v>
      </c>
      <c r="P123" s="106" t="s">
        <v>303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12</v>
      </c>
      <c r="P124" s="106" t="s">
        <v>305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510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14</v>
      </c>
      <c r="P125" s="106" t="s">
        <v>308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3060</v>
      </c>
      <c r="K126" s="110"/>
      <c r="L126" s="110"/>
      <c r="N126" s="259" t="n">
        <v>18</v>
      </c>
      <c r="P126" s="106" t="s">
        <v>311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259" t="n">
        <v>20</v>
      </c>
      <c r="P127" s="106" t="s">
        <v>313</v>
      </c>
    </row>
    <row r="128" s="96" customFormat="true" ht="18.75" hidden="false" customHeight="true" outlineLevel="0" collapsed="false">
      <c r="C128" s="108" t="s">
        <v>314</v>
      </c>
      <c r="I128" s="97"/>
      <c r="J128" s="97"/>
      <c r="N128" s="259" t="n">
        <v>22</v>
      </c>
      <c r="P128" s="106" t="s">
        <v>315</v>
      </c>
    </row>
    <row r="129" s="96" customFormat="true" ht="15" hidden="false" customHeight="true" outlineLevel="0" collapsed="false">
      <c r="A129" s="89" t="str">
        <f aca="false">A18</f>
        <v>240-4 Panel (1L3R)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3000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8</v>
      </c>
      <c r="U133" s="127" t="s">
        <v>572</v>
      </c>
      <c r="V133" s="247" t="n">
        <f aca="false">($J$126-185-(113.25*3))/4</f>
        <v>633.8125</v>
      </c>
      <c r="W133" s="129" t="n">
        <f aca="false">$J$121*T133</f>
        <v>0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2974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8</v>
      </c>
      <c r="U134" s="127" t="s">
        <v>573</v>
      </c>
      <c r="V134" s="247" t="n">
        <f aca="false">($J$126-185-(113.25*3))/4</f>
        <v>633.8125</v>
      </c>
      <c r="W134" s="134" t="n">
        <f aca="false">$J$121*T134</f>
        <v>0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3000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8</v>
      </c>
      <c r="U135" s="127" t="s">
        <v>574</v>
      </c>
      <c r="V135" s="247" t="n">
        <f aca="false">($J$126-185-(113.25*3))/4</f>
        <v>633.8125</v>
      </c>
      <c r="W135" s="137" t="n">
        <f aca="false">$J$121*T135</f>
        <v>0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3000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8</v>
      </c>
      <c r="U136" s="127" t="s">
        <v>360</v>
      </c>
      <c r="V136" s="138" t="n">
        <f aca="false">$J$123-242</f>
        <v>2283</v>
      </c>
      <c r="W136" s="129" t="n">
        <f aca="false">$J$121*T136</f>
        <v>0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2525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8</v>
      </c>
      <c r="U137" s="130" t="s">
        <v>360</v>
      </c>
      <c r="V137" s="133" t="n">
        <f aca="false">$J$123-242</f>
        <v>2283</v>
      </c>
      <c r="W137" s="134" t="n">
        <f aca="false">$J$121*T137</f>
        <v>0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2525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8</v>
      </c>
      <c r="U138" s="136" t="s">
        <v>360</v>
      </c>
      <c r="V138" s="140" t="n">
        <f aca="false">$J$123-242</f>
        <v>2283</v>
      </c>
      <c r="W138" s="137" t="n">
        <f aca="false">$J$121*T138</f>
        <v>0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2429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2429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4</v>
      </c>
      <c r="H141" s="130" t="s">
        <v>575</v>
      </c>
      <c r="I141" s="141" t="n">
        <f aca="false">($J$126-60-(4+1)*4)/4</f>
        <v>745</v>
      </c>
      <c r="J141" s="134" t="n">
        <f aca="false">$J$120*G141</f>
        <v>4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4</v>
      </c>
      <c r="H142" s="130" t="s">
        <v>575</v>
      </c>
      <c r="I142" s="141" t="n">
        <f aca="false">($J$126-60-(4+1)*4)/4</f>
        <v>745</v>
      </c>
      <c r="J142" s="134" t="n">
        <f aca="false">$J$120*G142</f>
        <v>4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6</v>
      </c>
      <c r="H143" s="130" t="s">
        <v>389</v>
      </c>
      <c r="I143" s="133" t="n">
        <f aca="false">$J$123-92</f>
        <v>2433</v>
      </c>
      <c r="J143" s="134" t="n">
        <f aca="false">$J$120*G143</f>
        <v>6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563</v>
      </c>
      <c r="G144" s="130" t="n">
        <v>1</v>
      </c>
      <c r="H144" s="130" t="s">
        <v>389</v>
      </c>
      <c r="I144" s="133" t="n">
        <f aca="false">$J$123-92</f>
        <v>2433</v>
      </c>
      <c r="J144" s="134" t="n">
        <f aca="false">$J$120*G144</f>
        <v>1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531</v>
      </c>
      <c r="C145" s="131" t="s">
        <v>532</v>
      </c>
      <c r="D145" s="132" t="s">
        <v>74</v>
      </c>
      <c r="E145" s="130" t="n">
        <v>1.106</v>
      </c>
      <c r="F145" s="132" t="s">
        <v>533</v>
      </c>
      <c r="G145" s="130" t="n">
        <v>1</v>
      </c>
      <c r="H145" s="130" t="s">
        <v>389</v>
      </c>
      <c r="I145" s="133" t="n">
        <f aca="false">$J$123-92</f>
        <v>2433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6" s="131" t="str">
        <f aca="false">IF($D$127=5,Q133,IF($D$127=6,Q133,IF($D$127=8,Q134,IF($D$127=10,Q134,IF($D$127=12,Q134,IF($D$127=14,Q135,IF($D$127=18,Q135,IF($D$127=20,Q135,IF($D$127=22,Q135,)))))))))</f>
        <v>B24008</v>
      </c>
      <c r="E146" s="131" t="n">
        <f aca="false">IF($D$127=5,R133,IF($D$127=6,R133,IF($D$127=8,R134,IF($D$127=10,R134,IF($D$127=12,R134,IF($D$127=14,R135,IF($D$127=18,R135,IF($D$127=20,R135,IF($D$127=22,R135,)))))))))</f>
        <v>0.231</v>
      </c>
      <c r="F146" s="131" t="str">
        <f aca="false">IF($D$127=5,S133,IF($D$127=6,S133,IF($D$127=8,S134,IF($D$127=10,S134,IF($D$127=12,S134,IF($D$127=14,S135,IF($D$127=18,S135,IF($D$127=20,S135,IF($D$127=22,S135,)))))))))</f>
        <v>B24008-001</v>
      </c>
      <c r="G146" s="130" t="n">
        <f aca="false">IF($D$127=5,T133,IF($D$127=6,T133,IF($D$127=8,T134,IF($D$127=10,T134,IF($D$127=12,T134,IF($D$127=14,T135,IF($D$127=18,T135,IF($D$127=20,T135,IF($D$127=22,T135,)))))))))</f>
        <v>8</v>
      </c>
      <c r="H146" s="130" t="str">
        <f aca="false">IF($D$127=5,U133,IF($D$127=6,U133,IF($D$127=8,U134,IF($D$127=10,U134,IF($D$127=12,U134,IF($D$127=14,U135,IF($D$127=18,U135,IF($D$127=20,U135,IF($D$127=22,U135,)))))))))</f>
        <v>(W-185-(113.25 × 3))/4</v>
      </c>
      <c r="I146" s="141" t="n">
        <f aca="false">IF($D$127=5,V133,IF($D$127=6,V133,IF($D$127=8,V134,IF($D$127=10,V134,IF($D$127=12,V134,IF($D$127=14,V135,IF($D$127=18,V135,IF($D$127=20,V135,IF($D$127=22,V135,)))))))))</f>
        <v>633.8125</v>
      </c>
      <c r="J146" s="134" t="n">
        <f aca="false">$J$120*G146</f>
        <v>8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7" s="131" t="str">
        <f aca="false">IF($D$127=5,Q136,IF($D$127=6,Q136,IF($D$127=8,Q137,IF($D$127=10,Q137,IF($D$127=12,Q137,IF($D$127=14,Q138,IF($D$127=18,Q138,IF($D$127=20,Q138,IF($D$127=22,Q138,)))))))))</f>
        <v>B24008</v>
      </c>
      <c r="E147" s="131" t="n">
        <f aca="false">IF($D$127=5,R136,IF($D$127=6,R136,IF($D$127=8,R137,IF($D$127=10,R137,IF($D$127=12,R137,IF($D$127=14,R138,IF($D$127=18,R138,IF($D$127=20,R138,IF($D$127=22,R138,)))))))))</f>
        <v>0.231</v>
      </c>
      <c r="F147" s="131" t="str">
        <f aca="false">IF($D$127=5,S136,IF($D$127=6,S136,IF($D$127=8,S137,IF($D$127=10,S137,IF($D$127=12,S137,IF($D$127=14,S138,IF($D$127=18,S138,IF($D$127=20,S138,IF($D$127=22,S138,)))))))))</f>
        <v>B24008-002</v>
      </c>
      <c r="G147" s="130" t="n">
        <f aca="false">IF($D$127=5,T136,IF($D$127=6,T136,IF($D$127=8,T137,IF($D$127=10,T137,IF($D$127=12,T137,IF($D$127=14,T138,IF($D$127=18,T138,IF($D$127=20,T138,IF($D$127=22,T138,)))))))))</f>
        <v>8</v>
      </c>
      <c r="H147" s="130" t="str">
        <f aca="false">IF($D$127=5,U136,IF($D$127=6,U136,IF($D$127=8,U137,IF($D$127=10,U137,IF($D$127=12,U137,IF($D$127=14,U138,IF($D$127=18,U138,IF($D$127=20,U138,IF($D$127=22,U138,)))))))))</f>
        <v>H-242</v>
      </c>
      <c r="I147" s="133" t="n">
        <f aca="false">IF($D$127=5,V136,IF($D$127=6,V136,IF($D$127=8,V137,IF($D$127=10,V137,IF($D$127=12,V137,IF($D$127=14,V138,IF($D$127=18,V138,IF($D$127=20,V138,IF($D$127=22,V138,)))))))))</f>
        <v>2283</v>
      </c>
      <c r="J147" s="134" t="n">
        <f aca="false">$J$120*G147</f>
        <v>8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">
        <v>534</v>
      </c>
      <c r="C148" s="131" t="s">
        <v>535</v>
      </c>
      <c r="D148" s="132" t="s">
        <v>536</v>
      </c>
      <c r="E148" s="130"/>
      <c r="F148" s="132" t="s">
        <v>537</v>
      </c>
      <c r="G148" s="130" t="n">
        <v>1</v>
      </c>
      <c r="H148" s="130" t="s">
        <v>389</v>
      </c>
      <c r="I148" s="133" t="n">
        <f aca="false">$J$123-92</f>
        <v>2433</v>
      </c>
      <c r="J148" s="134" t="n">
        <f aca="false">$J$120*G148</f>
        <v>1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535</v>
      </c>
      <c r="D149" s="132" t="s">
        <v>536</v>
      </c>
      <c r="E149" s="130"/>
      <c r="F149" s="132" t="s">
        <v>539</v>
      </c>
      <c r="G149" s="130" t="n">
        <v>1</v>
      </c>
      <c r="H149" s="130" t="s">
        <v>389</v>
      </c>
      <c r="I149" s="133" t="n">
        <f aca="false">$J$123-92</f>
        <v>2433</v>
      </c>
      <c r="J149" s="134" t="n">
        <f aca="false">$J$120*G149</f>
        <v>1</v>
      </c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33"/>
      <c r="J150" s="134"/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33"/>
      <c r="J151" s="134"/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33"/>
      <c r="J152" s="134"/>
    </row>
    <row r="153" s="96" customFormat="true" ht="18" hidden="false" customHeight="true" outlineLevel="0" collapsed="false">
      <c r="A153" s="130" t="str">
        <f aca="false">IF(B153="","",+A152+1)</f>
        <v/>
      </c>
      <c r="B153" s="131"/>
      <c r="C153" s="131"/>
      <c r="D153" s="132"/>
      <c r="E153" s="130"/>
      <c r="F153" s="132"/>
      <c r="G153" s="130"/>
      <c r="H153" s="130"/>
      <c r="I153" s="142"/>
      <c r="J153" s="134" t="n">
        <f aca="false">$J$120*G153</f>
        <v>0</v>
      </c>
    </row>
    <row r="154" s="96" customFormat="true" ht="18" hidden="false" customHeight="true" outlineLevel="0" collapsed="false">
      <c r="A154" s="130" t="str">
        <f aca="false">IF(B154="","",+A153+1)</f>
        <v/>
      </c>
      <c r="B154" s="143"/>
      <c r="C154" s="143"/>
      <c r="D154" s="144"/>
      <c r="E154" s="145"/>
      <c r="F154" s="144"/>
      <c r="G154" s="145"/>
      <c r="H154" s="145"/>
      <c r="I154" s="146"/>
      <c r="J154" s="147" t="n">
        <f aca="false">$J$120*G154</f>
        <v>0</v>
      </c>
    </row>
    <row r="155" s="96" customFormat="true" ht="27" hidden="false" customHeight="true" outlineLevel="1" collapsed="false">
      <c r="A155" s="260" t="s">
        <v>319</v>
      </c>
      <c r="B155" s="261" t="s">
        <v>320</v>
      </c>
      <c r="C155" s="148" t="s">
        <v>168</v>
      </c>
      <c r="D155" s="148" t="s">
        <v>166</v>
      </c>
      <c r="E155" s="148" t="s">
        <v>321</v>
      </c>
      <c r="F155" s="149" t="s">
        <v>393</v>
      </c>
      <c r="G155" s="148" t="s">
        <v>394</v>
      </c>
      <c r="H155" s="150" t="s">
        <v>395</v>
      </c>
      <c r="I155" s="151"/>
      <c r="J155" s="151"/>
    </row>
    <row r="156" s="96" customFormat="true" ht="15" hidden="false" customHeight="true" outlineLevel="1" collapsed="false">
      <c r="A156" s="262" t="n">
        <f aca="false">IF(B133="","",1)</f>
        <v>1</v>
      </c>
      <c r="B156" s="153" t="str">
        <f aca="false">B133</f>
        <v>เฟรมบน</v>
      </c>
      <c r="C156" s="153" t="str">
        <f aca="false">C133</f>
        <v>HEAD</v>
      </c>
      <c r="D156" s="154" t="str">
        <f aca="false">VLOOKUP(C156,$C$133:$H$154,2,0)</f>
        <v>B24001</v>
      </c>
      <c r="E156" s="155" t="n">
        <f aca="false">VLOOKUP(C156,$C$133:$H$154,3,0)</f>
        <v>1.603</v>
      </c>
      <c r="F156" s="263" t="n">
        <f aca="false">VLOOKUP(C156,$C$133:$J$154,7,0)</f>
        <v>3000</v>
      </c>
      <c r="G156" s="155" t="n">
        <f aca="false">VLOOKUP(C156,$C$133:$J$154,8,0)</f>
        <v>1</v>
      </c>
      <c r="H156" s="264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2</v>
      </c>
      <c r="B157" s="153" t="str">
        <f aca="false">B134</f>
        <v>บังใบบน</v>
      </c>
      <c r="C157" s="153" t="str">
        <f aca="false">C134</f>
        <v>DOOR STOP HEAD</v>
      </c>
      <c r="D157" s="154" t="str">
        <f aca="false">VLOOKUP(C157,$C$133:$H$154,2,0)</f>
        <v>B24002</v>
      </c>
      <c r="E157" s="155" t="n">
        <f aca="false">VLOOKUP(C157,$C$133:$H$154,3,0)</f>
        <v>0.278</v>
      </c>
      <c r="F157" s="263" t="n">
        <f aca="false">VLOOKUP(C157,$C$133:$I$154,7,0)</f>
        <v>2974</v>
      </c>
      <c r="G157" s="155" t="n">
        <f aca="false">VLOOKUP(C157,$C$133:$J$154,8,0)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3</v>
      </c>
      <c r="B158" s="153" t="str">
        <f aca="false">B135</f>
        <v>เฟรมล่าง </v>
      </c>
      <c r="C158" s="153" t="str">
        <f aca="false">C135</f>
        <v>SILL</v>
      </c>
      <c r="D158" s="154" t="str">
        <f aca="false">VLOOKUP(C158,$C$133:$H$154,2,0)</f>
        <v>B24003</v>
      </c>
      <c r="E158" s="155" t="n">
        <f aca="false">VLOOKUP(C158,$C$133:$H$154,3,0)</f>
        <v>1.603</v>
      </c>
      <c r="F158" s="263" t="n">
        <f aca="false">VLOOKUP(C158,$C$133:$I$154,7,0)</f>
        <v>3000</v>
      </c>
      <c r="G158" s="155" t="n">
        <f aca="false">VLOOKUP(C158,$C$133:$J$154,8,0)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4</v>
      </c>
      <c r="B159" s="153" t="str">
        <f aca="false">B136</f>
        <v>ตัวตับธรณี</v>
      </c>
      <c r="C159" s="153" t="str">
        <f aca="false">C136</f>
        <v>DOOR STOP SILL</v>
      </c>
      <c r="D159" s="154" t="str">
        <f aca="false">VLOOKUP(C159,$C$133:$H$154,2,0)</f>
        <v>B24004</v>
      </c>
      <c r="E159" s="155" t="n">
        <f aca="false">VLOOKUP(C159,$C$133:$H$154,3,0)</f>
        <v>0.516</v>
      </c>
      <c r="F159" s="263" t="n">
        <f aca="false">VLOOKUP(C159,$C$133:$I$154,7,0)</f>
        <v>3000</v>
      </c>
      <c r="G159" s="155" t="n">
        <f aca="false">VLOOKUP(C159,$C$133:$J$154,8,0)</f>
        <v>1</v>
      </c>
      <c r="H159" s="266" t="n">
        <f aca="false">ROUNDUP((F159*G159)/6400,0)</f>
        <v>1</v>
      </c>
      <c r="I159" s="265"/>
      <c r="J159" s="265"/>
    </row>
    <row r="160" s="96" customFormat="true" ht="15" hidden="false" customHeight="true" outlineLevel="1" collapsed="false">
      <c r="A160" s="158" t="n">
        <f aca="false">IF(B160="","",+A159+1)</f>
        <v>5</v>
      </c>
      <c r="B160" s="153" t="str">
        <f aca="false">B137</f>
        <v>เฟรมข้าง (ซ้าย)</v>
      </c>
      <c r="C160" s="153" t="str">
        <f aca="false">C137</f>
        <v>JAMB (L)</v>
      </c>
      <c r="D160" s="159" t="str">
        <f aca="false">VLOOKUP(C160,$C$133:$H$154,2,0)</f>
        <v>B24005</v>
      </c>
      <c r="E160" s="155" t="n">
        <f aca="false">VLOOKUP(C160,$C$133:$H$154,3,0)</f>
        <v>0.893</v>
      </c>
      <c r="F160" s="263" t="n">
        <f aca="false">VLOOKUP(C160,$C$133:$I$154,7,0)</f>
        <v>2525</v>
      </c>
      <c r="G160" s="155" t="n">
        <f aca="false">VLOOKUP(C160,$C$133:$J$154,8,0)</f>
        <v>1</v>
      </c>
      <c r="H160" s="160" t="n">
        <f aca="false">ROUNDUP(((F160*G160)+(F161*G161))/6400,0)</f>
        <v>1</v>
      </c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6</v>
      </c>
      <c r="B161" s="153" t="str">
        <f aca="false">B138</f>
        <v>เฟรมข้าง (ขวา)</v>
      </c>
      <c r="C161" s="153" t="str">
        <f aca="false">C138</f>
        <v>JAMB (R)</v>
      </c>
      <c r="D161" s="159"/>
      <c r="E161" s="155" t="n">
        <f aca="false">VLOOKUP(C161,$C$133:$H$154,3,0)</f>
        <v>0.893</v>
      </c>
      <c r="F161" s="263" t="n">
        <f aca="false">VLOOKUP(C161,$C$133:$I$154,7,0)</f>
        <v>2525</v>
      </c>
      <c r="G161" s="155" t="n">
        <f aca="false">VLOOKUP(C161,$C$133:$J$154,8,0)</f>
        <v>1</v>
      </c>
      <c r="H161" s="160"/>
      <c r="I161" s="161"/>
      <c r="J161" s="161"/>
    </row>
    <row r="162" s="96" customFormat="true" ht="15" hidden="false" customHeight="true" outlineLevel="1" collapsed="false">
      <c r="A162" s="158" t="n">
        <f aca="false">IF(B162="","",+A161+1)</f>
        <v>7</v>
      </c>
      <c r="B162" s="153" t="str">
        <f aca="false">B139</f>
        <v>บังใบข้าง (ซ้าย)</v>
      </c>
      <c r="C162" s="153" t="str">
        <f aca="false">C139</f>
        <v>DOOR STOP JAMB (L)</v>
      </c>
      <c r="D162" s="159" t="str">
        <f aca="false">VLOOKUP(C162,$C$133:$H$154,2,0)</f>
        <v>B24006</v>
      </c>
      <c r="E162" s="155" t="n">
        <f aca="false">VLOOKUP(C162,$C$133:$H$154,3,0)</f>
        <v>0.235</v>
      </c>
      <c r="F162" s="263" t="n">
        <f aca="false">VLOOKUP(C162,$C$133:$I$154,7,0)</f>
        <v>2429</v>
      </c>
      <c r="G162" s="155" t="n">
        <f aca="false">VLOOKUP(C162,$C$133:$J$154,8,0)</f>
        <v>1</v>
      </c>
      <c r="H162" s="160" t="n">
        <f aca="false">ROUNDUP(((F162*G162)+(F163*G163))/6400,0)</f>
        <v>1</v>
      </c>
      <c r="I162" s="265"/>
      <c r="J162" s="265"/>
    </row>
    <row r="163" s="96" customFormat="true" ht="15" hidden="false" customHeight="true" outlineLevel="1" collapsed="false">
      <c r="A163" s="158" t="n">
        <f aca="false">IF(B163="","",+A162+1)</f>
        <v>8</v>
      </c>
      <c r="B163" s="153" t="str">
        <f aca="false">B140</f>
        <v>บังใบข้าง (ขวา)</v>
      </c>
      <c r="C163" s="153" t="str">
        <f aca="false">C140</f>
        <v>DOOR STOP JAMB (R)</v>
      </c>
      <c r="D163" s="159"/>
      <c r="E163" s="155" t="n">
        <f aca="false">VLOOKUP(C163,$C$133:$H$154,3,0)</f>
        <v>0.235</v>
      </c>
      <c r="F163" s="263" t="n">
        <f aca="false">VLOOKUP(C163,$C$133:$I$154,7,0)</f>
        <v>2429</v>
      </c>
      <c r="G163" s="155" t="n">
        <f aca="false">VLOOKUP(C163,$C$133:$J$154,8,0)</f>
        <v>1</v>
      </c>
      <c r="H163" s="160"/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9</v>
      </c>
      <c r="B164" s="153" t="str">
        <f aca="false">B141</f>
        <v>ขวางบน</v>
      </c>
      <c r="C164" s="153" t="str">
        <f aca="false">C141</f>
        <v>SASH (Hor) (T)</v>
      </c>
      <c r="D164" s="159" t="str">
        <f aca="false">VLOOKUP(C164,$C$133:$H$154,2,0)</f>
        <v>B24007</v>
      </c>
      <c r="E164" s="155" t="n">
        <f aca="false">VLOOKUP(C164,$C$133:$H$154,3,0)</f>
        <v>1.106</v>
      </c>
      <c r="F164" s="263" t="n">
        <f aca="false">VLOOKUP(C164,$C$133:$I$154,7,0)</f>
        <v>745</v>
      </c>
      <c r="G164" s="155" t="n">
        <f aca="false">VLOOKUP(C164,$C$133:$J$154,8,0)</f>
        <v>4</v>
      </c>
      <c r="H164" s="160" t="n">
        <f aca="false">ROUNDUP(((F164*G164)+(F165*G165)+(F166*G166)+(F167*G167)+(F168*G168))/6400,0)</f>
        <v>4</v>
      </c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10</v>
      </c>
      <c r="B165" s="153" t="str">
        <f aca="false">B142</f>
        <v>ขวางล่าง</v>
      </c>
      <c r="C165" s="153" t="str">
        <f aca="false">C142</f>
        <v>SASH (Hor) (B)</v>
      </c>
      <c r="D165" s="159"/>
      <c r="E165" s="155" t="n">
        <f aca="false">VLOOKUP(C165,$C$133:$H$154,3,0)</f>
        <v>1.106</v>
      </c>
      <c r="F165" s="263" t="n">
        <f aca="false">VLOOKUP(C165,$C$133:$I$154,7,0)</f>
        <v>745</v>
      </c>
      <c r="G165" s="155" t="n">
        <f aca="false">VLOOKUP(C165,$C$133:$J$154,8,0)</f>
        <v>4</v>
      </c>
      <c r="H165" s="160"/>
      <c r="I165" s="161"/>
      <c r="J165" s="161"/>
    </row>
    <row r="166" s="96" customFormat="true" ht="13.5" hidden="false" customHeight="true" outlineLevel="1" collapsed="false">
      <c r="A166" s="158" t="n">
        <f aca="false">IF(B166="","",+A165+1)</f>
        <v>11</v>
      </c>
      <c r="B166" s="153" t="str">
        <f aca="false">B143</f>
        <v>เสา</v>
      </c>
      <c r="C166" s="153" t="str">
        <f aca="false">C143</f>
        <v>SASH (Ver) </v>
      </c>
      <c r="D166" s="159"/>
      <c r="E166" s="155" t="n">
        <f aca="false">VLOOKUP(C166,$C$133:$H$154,3,0)</f>
        <v>1.106</v>
      </c>
      <c r="F166" s="263" t="n">
        <f aca="false">VLOOKUP(C166,$C$133:$I$154,7,0)</f>
        <v>2433</v>
      </c>
      <c r="G166" s="155" t="n">
        <f aca="false">VLOOKUP(C166,$C$133:$J$154,8,0)</f>
        <v>6</v>
      </c>
      <c r="H166" s="160"/>
      <c r="I166" s="161"/>
      <c r="J166" s="161"/>
    </row>
    <row r="167" s="96" customFormat="true" ht="13.5" hidden="false" customHeight="true" outlineLevel="1" collapsed="false">
      <c r="A167" s="158" t="n">
        <f aca="false">IF(B167="","",+A166+1)</f>
        <v>12</v>
      </c>
      <c r="B167" s="153" t="str">
        <f aca="false">B144</f>
        <v>เสากุญแจ</v>
      </c>
      <c r="C167" s="153" t="str">
        <f aca="false">C144</f>
        <v>SASH (Ver) LOCK </v>
      </c>
      <c r="D167" s="159"/>
      <c r="E167" s="155" t="n">
        <f aca="false">VLOOKUP(C167,$C$133:$H$154,3,0)</f>
        <v>1.106</v>
      </c>
      <c r="F167" s="263" t="n">
        <f aca="false">VLOOKUP(C167,$C$133:$I$154,7,0)</f>
        <v>2433</v>
      </c>
      <c r="G167" s="155" t="n">
        <f aca="false">VLOOKUP(C167,$C$133:$J$154,8,0)</f>
        <v>1</v>
      </c>
      <c r="H167" s="160"/>
      <c r="I167" s="161"/>
      <c r="J167" s="161"/>
    </row>
    <row r="168" s="96" customFormat="true" ht="13.5" hidden="false" customHeight="true" outlineLevel="1" collapsed="false">
      <c r="A168" s="158" t="n">
        <f aca="false">IF(B168="","",+A167+1)</f>
        <v>13</v>
      </c>
      <c r="B168" s="153" t="str">
        <f aca="false">B145</f>
        <v>เสากุญแจมือจับ</v>
      </c>
      <c r="C168" s="153" t="str">
        <f aca="false">C145</f>
        <v>SASH (Ver) LOCK HANDLE</v>
      </c>
      <c r="D168" s="159"/>
      <c r="E168" s="155" t="n">
        <f aca="false">VLOOKUP(C168,$C$133:$H$154,3,0)</f>
        <v>1.106</v>
      </c>
      <c r="F168" s="263" t="n">
        <f aca="false">VLOOKUP(C168,$C$133:$I$154,7,0)</f>
        <v>2433</v>
      </c>
      <c r="G168" s="155" t="n">
        <f aca="false">VLOOKUP(C168,$C$133:$J$154,8,0)</f>
        <v>1</v>
      </c>
      <c r="H168" s="160"/>
      <c r="I168" s="265"/>
      <c r="J168" s="265"/>
    </row>
    <row r="169" s="96" customFormat="true" ht="13.5" hidden="false" customHeight="true" outlineLevel="1" collapsed="false">
      <c r="A169" s="158" t="n">
        <f aca="false">IF(B169="","",+A168+1)</f>
        <v>14</v>
      </c>
      <c r="B169" s="153" t="str">
        <f aca="false">B146</f>
        <v>5-6mm คิ้วตบกระจกแนวนอน</v>
      </c>
      <c r="C169" s="153" t="str">
        <f aca="false">C146</f>
        <v>5-6mm GLAZING BEAD HORIZONTAL</v>
      </c>
      <c r="D169" s="159" t="str">
        <f aca="false">VLOOKUP(C169,$C$133:$H$154,2,0)</f>
        <v>B24008</v>
      </c>
      <c r="E169" s="155" t="n">
        <f aca="false">VLOOKUP(C169,$C$133:$H$154,3,0)</f>
        <v>0.231</v>
      </c>
      <c r="F169" s="267" t="n">
        <f aca="false">VLOOKUP(C169,$C$133:$I$154,7,0)</f>
        <v>633.8125</v>
      </c>
      <c r="G169" s="155" t="n">
        <f aca="false">VLOOKUP(C169,$C$133:$J$154,8,0)</f>
        <v>8</v>
      </c>
      <c r="H169" s="160" t="n">
        <f aca="false">ROUNDUP(((F169*G169)+(F170*G170))/6400,0)</f>
        <v>4</v>
      </c>
      <c r="I169" s="196"/>
      <c r="J169" s="196"/>
    </row>
    <row r="170" s="96" customFormat="true" ht="13.5" hidden="false" customHeight="true" outlineLevel="1" collapsed="false">
      <c r="A170" s="158" t="n">
        <f aca="false">IF(B170="","",+A169+1)</f>
        <v>15</v>
      </c>
      <c r="B170" s="153" t="str">
        <f aca="false">B147</f>
        <v>5-6mm คิ้วตบกระจกแนวตั้ง</v>
      </c>
      <c r="C170" s="153" t="str">
        <f aca="false">C147</f>
        <v>5-6mm GLAZING BEAD VERTICAL</v>
      </c>
      <c r="D170" s="159"/>
      <c r="E170" s="155" t="n">
        <f aca="false">VLOOKUP(C170,$C$133:$H$154,3,0)</f>
        <v>0.231</v>
      </c>
      <c r="F170" s="263" t="n">
        <f aca="false">VLOOKUP(C170,$C$133:$I$154,7,0)</f>
        <v>2283</v>
      </c>
      <c r="G170" s="155" t="n">
        <f aca="false">VLOOKUP(C170,$C$133:$J$154,8,0)</f>
        <v>8</v>
      </c>
      <c r="H170" s="160"/>
      <c r="I170" s="196"/>
      <c r="J170" s="196"/>
    </row>
    <row r="171" s="96" customFormat="true" ht="13.5" hidden="false" customHeight="true" outlineLevel="1" collapsed="false">
      <c r="A171" s="158" t="n">
        <f aca="false">IF(B171="","",+A170+1)</f>
        <v>16</v>
      </c>
      <c r="B171" s="153" t="str">
        <f aca="false">B148</f>
        <v>บังใบ</v>
      </c>
      <c r="C171" s="153" t="str">
        <f aca="false">C148</f>
        <v>SASH STOP</v>
      </c>
      <c r="D171" s="163" t="str">
        <f aca="false">VLOOKUP(C171,$C$133:$H$154,2,0)</f>
        <v>B24009</v>
      </c>
      <c r="E171" s="155" t="n">
        <f aca="false">VLOOKUP(C171,$C$133:$H$154,3,0)</f>
        <v>0</v>
      </c>
      <c r="F171" s="263" t="n">
        <f aca="false">VLOOKUP(C171,$C$133:$I$154,7,0)</f>
        <v>2433</v>
      </c>
      <c r="G171" s="155" t="n">
        <f aca="false">VLOOKUP(C171,$C$133:$J$154,8,0)</f>
        <v>1</v>
      </c>
      <c r="H171" s="160" t="n">
        <f aca="false">ROUNDUP(((F171*G171)+(F172*G172))/6400,0)</f>
        <v>1</v>
      </c>
      <c r="I171" s="196"/>
      <c r="J171" s="196"/>
    </row>
    <row r="172" s="96" customFormat="true" ht="14.25" hidden="false" customHeight="false" outlineLevel="1" collapsed="false">
      <c r="A172" s="158" t="n">
        <f aca="false">IF(B172="","",+A171+1)</f>
        <v>17</v>
      </c>
      <c r="B172" s="153" t="str">
        <f aca="false">B149</f>
        <v>บังใบ</v>
      </c>
      <c r="C172" s="153" t="str">
        <f aca="false">C149</f>
        <v>SASH STOP</v>
      </c>
      <c r="D172" s="163"/>
      <c r="E172" s="155" t="n">
        <f aca="false">VLOOKUP(C172,$C$133:$H$154,3,0)</f>
        <v>0</v>
      </c>
      <c r="F172" s="263" t="n">
        <f aca="false">VLOOKUP(C172,$C$133:$I$154,7,0)</f>
        <v>2433</v>
      </c>
      <c r="G172" s="155" t="n">
        <f aca="false">VLOOKUP(C172,$C$133:$J$154,8,0)</f>
        <v>1</v>
      </c>
      <c r="H172" s="160"/>
      <c r="I172" s="196"/>
      <c r="J172" s="196"/>
    </row>
    <row r="173" s="96" customFormat="true" ht="24.75" hidden="false" customHeight="true" outlineLevel="0" collapsed="false">
      <c r="A173" s="113" t="s">
        <v>396</v>
      </c>
      <c r="B173" s="113"/>
      <c r="C173" s="113"/>
      <c r="D173" s="113"/>
      <c r="E173" s="113"/>
      <c r="F173" s="113"/>
      <c r="G173" s="113"/>
      <c r="H173" s="113"/>
      <c r="I173" s="113"/>
      <c r="J173" s="113"/>
    </row>
    <row r="174" s="96" customFormat="true" ht="34.5" hidden="false" customHeight="true" outlineLevel="0" collapsed="false">
      <c r="A174" s="114" t="s">
        <v>319</v>
      </c>
      <c r="B174" s="115" t="s">
        <v>320</v>
      </c>
      <c r="C174" s="115" t="s">
        <v>168</v>
      </c>
      <c r="D174" s="115" t="s">
        <v>397</v>
      </c>
      <c r="E174" s="115" t="s">
        <v>321</v>
      </c>
      <c r="F174" s="116" t="s">
        <v>398</v>
      </c>
      <c r="G174" s="115" t="s">
        <v>399</v>
      </c>
      <c r="H174" s="116" t="s">
        <v>400</v>
      </c>
      <c r="I174" s="116" t="s">
        <v>401</v>
      </c>
      <c r="J174" s="117" t="s">
        <v>402</v>
      </c>
      <c r="N174" s="107" t="s">
        <v>288</v>
      </c>
      <c r="O174" s="165" t="s">
        <v>320</v>
      </c>
      <c r="P174" s="165" t="s">
        <v>168</v>
      </c>
      <c r="Q174" s="165" t="s">
        <v>397</v>
      </c>
      <c r="R174" s="165" t="s">
        <v>321</v>
      </c>
      <c r="S174" s="165" t="s">
        <v>398</v>
      </c>
      <c r="T174" s="165" t="s">
        <v>399</v>
      </c>
      <c r="U174" s="165" t="s">
        <v>400</v>
      </c>
      <c r="V174" s="165" t="s">
        <v>401</v>
      </c>
      <c r="W174" s="165" t="s">
        <v>402</v>
      </c>
    </row>
    <row r="175" s="96" customFormat="true" ht="18" hidden="false" customHeight="true" outlineLevel="0" collapsed="false">
      <c r="A175" s="166" t="n">
        <f aca="false">IF(B175="","",1)</f>
        <v>1</v>
      </c>
      <c r="B175" s="131" t="s">
        <v>403</v>
      </c>
      <c r="C175" s="131" t="s">
        <v>404</v>
      </c>
      <c r="D175" s="132" t="s">
        <v>576</v>
      </c>
      <c r="E175" s="130"/>
      <c r="F175" s="130" t="s">
        <v>576</v>
      </c>
      <c r="G175" s="130" t="s">
        <v>405</v>
      </c>
      <c r="H175" s="130" t="n">
        <v>1</v>
      </c>
      <c r="I175" s="133"/>
      <c r="J175" s="134" t="n">
        <f aca="false">$J$120*H175</f>
        <v>1</v>
      </c>
      <c r="N175" s="107" t="s">
        <v>406</v>
      </c>
      <c r="O175" s="55" t="s">
        <v>407</v>
      </c>
      <c r="P175" s="62" t="s">
        <v>408</v>
      </c>
      <c r="Q175" s="55" t="s">
        <v>227</v>
      </c>
      <c r="R175" s="158"/>
      <c r="S175" s="158" t="s">
        <v>227</v>
      </c>
      <c r="T175" s="158" t="s">
        <v>409</v>
      </c>
      <c r="U175" s="168" t="n">
        <f aca="false">((($I$141*$G$141)+($I$142*$G$142)+($I$143*$G$143)+($I$144*$G$144)+($I$145*$G$145))/1000)*$J$120</f>
        <v>25.424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2</v>
      </c>
      <c r="B176" s="131" t="s">
        <v>403</v>
      </c>
      <c r="C176" s="131" t="s">
        <v>404</v>
      </c>
      <c r="D176" s="132" t="s">
        <v>276</v>
      </c>
      <c r="E176" s="130"/>
      <c r="F176" s="130" t="s">
        <v>276</v>
      </c>
      <c r="G176" s="130" t="s">
        <v>405</v>
      </c>
      <c r="H176" s="130" t="n">
        <v>1</v>
      </c>
      <c r="I176" s="133"/>
      <c r="J176" s="134" t="n">
        <f aca="false">$J$120*H176</f>
        <v>1</v>
      </c>
      <c r="N176" s="107" t="s">
        <v>412</v>
      </c>
      <c r="O176" s="55" t="s">
        <v>413</v>
      </c>
      <c r="P176" s="62" t="s">
        <v>414</v>
      </c>
      <c r="Q176" s="55" t="s">
        <v>234</v>
      </c>
      <c r="R176" s="158"/>
      <c r="S176" s="158" t="s">
        <v>234</v>
      </c>
      <c r="T176" s="158" t="s">
        <v>409</v>
      </c>
      <c r="U176" s="168" t="n">
        <f aca="false">((($I$141*$G$141)+($I$142*$G$142)+($I$143*$G$143)+($I$144*$G$144)+($I$145*$G$145))/1000)*$J$120</f>
        <v>25.424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3</v>
      </c>
      <c r="B177" s="131" t="s">
        <v>410</v>
      </c>
      <c r="C177" s="131" t="s">
        <v>411</v>
      </c>
      <c r="D177" s="132" t="s">
        <v>267</v>
      </c>
      <c r="E177" s="130"/>
      <c r="F177" s="130" t="s">
        <v>267</v>
      </c>
      <c r="G177" s="130" t="s">
        <v>405</v>
      </c>
      <c r="H177" s="130" t="n">
        <v>8</v>
      </c>
      <c r="I177" s="133"/>
      <c r="J177" s="134" t="n">
        <f aca="false">$J$120*H177</f>
        <v>8</v>
      </c>
      <c r="N177" s="107" t="s">
        <v>417</v>
      </c>
      <c r="O177" s="62" t="s">
        <v>418</v>
      </c>
      <c r="P177" s="62" t="s">
        <v>419</v>
      </c>
      <c r="Q177" s="55" t="s">
        <v>236</v>
      </c>
      <c r="R177" s="158"/>
      <c r="S177" s="158" t="s">
        <v>236</v>
      </c>
      <c r="T177" s="158" t="s">
        <v>409</v>
      </c>
      <c r="U177" s="168" t="n">
        <f aca="false">((($I$141*$G$141)+($I$142*$G$142)+($I$143*$G$143)+($I$144*$G$144)+($I$145*$G$145))/1000)*$J$120</f>
        <v>25.424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4</v>
      </c>
      <c r="B178" s="131" t="s">
        <v>415</v>
      </c>
      <c r="C178" s="131" t="s">
        <v>416</v>
      </c>
      <c r="D178" s="132" t="s">
        <v>222</v>
      </c>
      <c r="E178" s="130"/>
      <c r="F178" s="130" t="s">
        <v>222</v>
      </c>
      <c r="G178" s="130" t="s">
        <v>405</v>
      </c>
      <c r="H178" s="130" t="n">
        <v>2</v>
      </c>
      <c r="I178" s="133"/>
      <c r="J178" s="134" t="n">
        <f aca="false">$J$120*H178</f>
        <v>2</v>
      </c>
      <c r="N178" s="107" t="s">
        <v>422</v>
      </c>
      <c r="O178" s="62" t="s">
        <v>423</v>
      </c>
      <c r="P178" s="62" t="s">
        <v>424</v>
      </c>
      <c r="Q178" s="55" t="s">
        <v>238</v>
      </c>
      <c r="R178" s="158"/>
      <c r="S178" s="158" t="s">
        <v>238</v>
      </c>
      <c r="T178" s="158" t="s">
        <v>409</v>
      </c>
      <c r="U178" s="168" t="n">
        <f aca="false">((($I$141*$G$141)+($I$142*$G$142)+($I$143*$G$143)+($I$144*$G$144)+($I$145*$G$145))/1000)*$J$120</f>
        <v>25.424</v>
      </c>
      <c r="V178" s="168" t="n">
        <v>100</v>
      </c>
      <c r="W178" s="169" t="n">
        <f aca="false">ROUNDUP((U178)/100,0)</f>
        <v>1</v>
      </c>
    </row>
    <row r="179" s="96" customFormat="true" ht="18" hidden="false" customHeight="true" outlineLevel="0" collapsed="false">
      <c r="A179" s="170" t="n">
        <f aca="false">IF(B179="","",+A178+1)</f>
        <v>5</v>
      </c>
      <c r="B179" s="131" t="s">
        <v>420</v>
      </c>
      <c r="C179" s="131" t="s">
        <v>421</v>
      </c>
      <c r="D179" s="132" t="s">
        <v>225</v>
      </c>
      <c r="E179" s="130"/>
      <c r="F179" s="130" t="s">
        <v>225</v>
      </c>
      <c r="G179" s="130" t="s">
        <v>405</v>
      </c>
      <c r="H179" s="130" t="n">
        <v>2</v>
      </c>
      <c r="I179" s="133"/>
      <c r="J179" s="134" t="n">
        <f aca="false">$J$120*H179</f>
        <v>2</v>
      </c>
      <c r="N179" s="107" t="s">
        <v>427</v>
      </c>
      <c r="O179" s="62" t="s">
        <v>428</v>
      </c>
      <c r="P179" s="62" t="s">
        <v>429</v>
      </c>
      <c r="Q179" s="55" t="s">
        <v>240</v>
      </c>
      <c r="R179" s="158"/>
      <c r="S179" s="158" t="s">
        <v>240</v>
      </c>
      <c r="T179" s="158" t="s">
        <v>409</v>
      </c>
      <c r="U179" s="168" t="n">
        <f aca="false">((($I$141*$G$141)+($I$142*$G$142)+($I$143*$G$143)+($I$144*$G$144)+($I$145*$G$145))/1000)*$J$120</f>
        <v>25.424</v>
      </c>
      <c r="V179" s="168" t="n">
        <v>100</v>
      </c>
      <c r="W179" s="169" t="n">
        <f aca="false">ROUNDUP((U179)/100,0)</f>
        <v>1</v>
      </c>
    </row>
    <row r="180" s="96" customFormat="true" ht="18" hidden="false" customHeight="true" outlineLevel="0" collapsed="false">
      <c r="A180" s="170" t="n">
        <f aca="false">IF(B180="","",+A179+1)</f>
        <v>6</v>
      </c>
      <c r="B180" s="131" t="s">
        <v>425</v>
      </c>
      <c r="C180" s="131" t="s">
        <v>426</v>
      </c>
      <c r="D180" s="132" t="n">
        <v>9</v>
      </c>
      <c r="E180" s="130"/>
      <c r="F180" s="130" t="n">
        <v>9</v>
      </c>
      <c r="G180" s="130" t="s">
        <v>405</v>
      </c>
      <c r="H180" s="130" t="n">
        <v>8</v>
      </c>
      <c r="I180" s="133"/>
      <c r="J180" s="134" t="n">
        <f aca="false">$J$120*H180</f>
        <v>8</v>
      </c>
    </row>
    <row r="181" s="96" customFormat="true" ht="18" hidden="false" customHeight="true" outlineLevel="0" collapsed="false">
      <c r="A181" s="170" t="n">
        <f aca="false">IF(B181="","",+A180+1)</f>
        <v>7</v>
      </c>
      <c r="B181" s="131" t="s">
        <v>430</v>
      </c>
      <c r="C181" s="131" t="s">
        <v>431</v>
      </c>
      <c r="D181" s="132" t="n">
        <v>9</v>
      </c>
      <c r="E181" s="130"/>
      <c r="F181" s="130" t="n">
        <v>9</v>
      </c>
      <c r="G181" s="130" t="s">
        <v>405</v>
      </c>
      <c r="H181" s="130" t="n">
        <v>110</v>
      </c>
      <c r="I181" s="133"/>
      <c r="J181" s="134" t="n">
        <f aca="false">$J$120*H181</f>
        <v>110</v>
      </c>
    </row>
    <row r="182" s="96" customFormat="true" ht="18" hidden="false" customHeight="true" outlineLevel="0" collapsed="false">
      <c r="A182" s="170" t="n">
        <f aca="false">IF(B182="","",+A181+1)</f>
        <v>8</v>
      </c>
      <c r="B182" s="131" t="s">
        <v>432</v>
      </c>
      <c r="C182" s="131" t="s">
        <v>433</v>
      </c>
      <c r="D182" s="132" t="s">
        <v>6</v>
      </c>
      <c r="E182" s="130"/>
      <c r="F182" s="130" t="s">
        <v>6</v>
      </c>
      <c r="G182" s="130" t="s">
        <v>434</v>
      </c>
      <c r="H182" s="130" t="n">
        <v>1</v>
      </c>
      <c r="I182" s="133"/>
      <c r="J182" s="134" t="n">
        <f aca="false">$J$120*H182</f>
        <v>1</v>
      </c>
    </row>
    <row r="183" s="96" customFormat="true" ht="18" hidden="false" customHeight="true" outlineLevel="0" collapsed="false">
      <c r="A183" s="170" t="n">
        <f aca="false">IF(B183="","",+A182+1)</f>
        <v>9</v>
      </c>
      <c r="B183" s="131" t="s">
        <v>512</v>
      </c>
      <c r="C183" s="131" t="s">
        <v>513</v>
      </c>
      <c r="D183" s="132" t="s">
        <v>7</v>
      </c>
      <c r="E183" s="130"/>
      <c r="F183" s="130" t="s">
        <v>7</v>
      </c>
      <c r="G183" s="130" t="s">
        <v>434</v>
      </c>
      <c r="H183" s="130" t="n">
        <v>1</v>
      </c>
      <c r="I183" s="142"/>
      <c r="J183" s="134" t="n">
        <f aca="false">$J$120*H183</f>
        <v>1</v>
      </c>
    </row>
    <row r="184" s="96" customFormat="true" ht="18" hidden="false" customHeight="true" outlineLevel="0" collapsed="false">
      <c r="A184" s="170" t="n">
        <f aca="false">IF(B184="","",+A183+1)</f>
        <v>10</v>
      </c>
      <c r="B184" s="131" t="s">
        <v>554</v>
      </c>
      <c r="C184" s="131" t="s">
        <v>555</v>
      </c>
      <c r="D184" s="132" t="s">
        <v>11</v>
      </c>
      <c r="E184" s="130"/>
      <c r="F184" s="130" t="s">
        <v>11</v>
      </c>
      <c r="G184" s="130" t="s">
        <v>434</v>
      </c>
      <c r="H184" s="130" t="n">
        <v>1</v>
      </c>
      <c r="I184" s="142"/>
      <c r="J184" s="134" t="n">
        <f aca="false">$J$120*H184</f>
        <v>1</v>
      </c>
      <c r="Q184" s="172"/>
      <c r="R184" s="172"/>
      <c r="S184" s="172"/>
      <c r="T184" s="97"/>
      <c r="U184" s="97"/>
      <c r="V184" s="97"/>
    </row>
    <row r="185" s="96" customFormat="true" ht="18" hidden="false" customHeight="true" outlineLevel="0" collapsed="false">
      <c r="A185" s="170" t="n">
        <f aca="false">IF(B185="","",+A184+1)</f>
        <v>11</v>
      </c>
      <c r="B185" s="131" t="s">
        <v>556</v>
      </c>
      <c r="C185" s="131" t="s">
        <v>557</v>
      </c>
      <c r="D185" s="132" t="s">
        <v>5</v>
      </c>
      <c r="E185" s="130"/>
      <c r="F185" s="130" t="s">
        <v>5</v>
      </c>
      <c r="G185" s="130" t="s">
        <v>434</v>
      </c>
      <c r="H185" s="130" t="n">
        <v>1</v>
      </c>
      <c r="I185" s="142"/>
      <c r="J185" s="134" t="n">
        <f aca="false">$J$120*H185</f>
        <v>1</v>
      </c>
      <c r="N185" s="107" t="s">
        <v>289</v>
      </c>
      <c r="O185" s="165" t="s">
        <v>320</v>
      </c>
      <c r="P185" s="165" t="s">
        <v>168</v>
      </c>
      <c r="Q185" s="165" t="s">
        <v>397</v>
      </c>
      <c r="R185" s="165" t="s">
        <v>321</v>
      </c>
      <c r="S185" s="165" t="s">
        <v>398</v>
      </c>
      <c r="T185" s="165" t="s">
        <v>399</v>
      </c>
      <c r="U185" s="165" t="s">
        <v>400</v>
      </c>
      <c r="V185" s="165" t="s">
        <v>401</v>
      </c>
      <c r="W185" s="165" t="s">
        <v>402</v>
      </c>
    </row>
    <row r="186" s="96" customFormat="true" ht="18" hidden="false" customHeight="true" outlineLevel="0" collapsed="false">
      <c r="A186" s="170" t="n">
        <f aca="false">IF(B186="","",+A185+1)</f>
        <v>12</v>
      </c>
      <c r="B186" s="131" t="s">
        <v>439</v>
      </c>
      <c r="C186" s="131" t="s">
        <v>440</v>
      </c>
      <c r="D186" s="132" t="s">
        <v>12</v>
      </c>
      <c r="E186" s="130"/>
      <c r="F186" s="130" t="s">
        <v>12</v>
      </c>
      <c r="G186" s="130" t="s">
        <v>434</v>
      </c>
      <c r="H186" s="130" t="n">
        <v>1</v>
      </c>
      <c r="I186" s="142"/>
      <c r="J186" s="134" t="n">
        <f aca="false">$J$120*H186</f>
        <v>1</v>
      </c>
      <c r="N186" s="107" t="s">
        <v>445</v>
      </c>
      <c r="O186" s="62" t="s">
        <v>446</v>
      </c>
      <c r="P186" s="62" t="s">
        <v>447</v>
      </c>
      <c r="Q186" s="55" t="s">
        <v>230</v>
      </c>
      <c r="R186" s="158"/>
      <c r="S186" s="158" t="s">
        <v>230</v>
      </c>
      <c r="T186" s="158" t="s">
        <v>409</v>
      </c>
      <c r="U186" s="168" t="n">
        <f aca="false">((($I$134*$G$134)+($I$136*$G$136)+($I$139*$G$139))/1000)*$J$120</f>
        <v>8.403</v>
      </c>
      <c r="V186" s="168" t="n">
        <v>300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13</v>
      </c>
      <c r="B187" s="131" t="s">
        <v>540</v>
      </c>
      <c r="C187" s="131" t="s">
        <v>541</v>
      </c>
      <c r="D187" s="132" t="s">
        <v>542</v>
      </c>
      <c r="E187" s="130"/>
      <c r="F187" s="130" t="s">
        <v>542</v>
      </c>
      <c r="G187" s="130" t="s">
        <v>434</v>
      </c>
      <c r="H187" s="130" t="n">
        <v>1</v>
      </c>
      <c r="I187" s="133"/>
      <c r="J187" s="134" t="n">
        <f aca="false">$J$120*H187</f>
        <v>1</v>
      </c>
      <c r="N187" s="107" t="s">
        <v>448</v>
      </c>
      <c r="O187" s="62" t="s">
        <v>449</v>
      </c>
      <c r="P187" s="62" t="s">
        <v>450</v>
      </c>
      <c r="Q187" s="55" t="s">
        <v>451</v>
      </c>
      <c r="R187" s="158"/>
      <c r="S187" s="158" t="s">
        <v>451</v>
      </c>
      <c r="T187" s="158" t="s">
        <v>409</v>
      </c>
      <c r="U187" s="168" t="n">
        <f aca="false">((($I$134*$G$134)+($I$136*$G$136)+($I$139*$G$139))/1000)*$J$120</f>
        <v>8.403</v>
      </c>
      <c r="V187" s="168" t="n">
        <v>100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14</v>
      </c>
      <c r="B188" s="131" t="s">
        <v>577</v>
      </c>
      <c r="C188" s="131" t="s">
        <v>578</v>
      </c>
      <c r="D188" s="132" t="s">
        <v>215</v>
      </c>
      <c r="E188" s="130"/>
      <c r="F188" s="130" t="s">
        <v>215</v>
      </c>
      <c r="G188" s="130" t="s">
        <v>434</v>
      </c>
      <c r="H188" s="130" t="n">
        <v>1</v>
      </c>
      <c r="I188" s="133"/>
      <c r="J188" s="134" t="n">
        <f aca="false">$J$120*H188</f>
        <v>1</v>
      </c>
      <c r="N188" s="107" t="s">
        <v>445</v>
      </c>
      <c r="O188" s="62" t="s">
        <v>452</v>
      </c>
      <c r="P188" s="62" t="s">
        <v>453</v>
      </c>
      <c r="Q188" s="55" t="s">
        <v>232</v>
      </c>
      <c r="R188" s="158"/>
      <c r="S188" s="158" t="s">
        <v>232</v>
      </c>
      <c r="T188" s="158" t="s">
        <v>409</v>
      </c>
      <c r="U188" s="168" t="n">
        <f aca="false">((($I$141*$G$141*2)+($I$143*$G$143*2))/1000)*$J$120</f>
        <v>35.156</v>
      </c>
      <c r="V188" s="168" t="n">
        <v>350</v>
      </c>
      <c r="W188" s="169" t="n">
        <f aca="false">ROUNDUP((U188)/V188,0)</f>
        <v>1</v>
      </c>
    </row>
    <row r="189" s="96" customFormat="true" ht="18" hidden="false" customHeight="true" outlineLevel="0" collapsed="false">
      <c r="A189" s="170" t="n">
        <f aca="false">IF(B189="","",+A191+1)</f>
        <v>17</v>
      </c>
      <c r="B189" s="131" t="s">
        <v>579</v>
      </c>
      <c r="C189" s="131" t="s">
        <v>578</v>
      </c>
      <c r="D189" s="132" t="s">
        <v>220</v>
      </c>
      <c r="E189" s="130"/>
      <c r="F189" s="130" t="s">
        <v>220</v>
      </c>
      <c r="G189" s="130" t="s">
        <v>434</v>
      </c>
      <c r="H189" s="130" t="n">
        <v>1</v>
      </c>
      <c r="I189" s="133"/>
      <c r="J189" s="134" t="n">
        <f aca="false">$J$120*H189</f>
        <v>1</v>
      </c>
      <c r="N189" s="107" t="s">
        <v>448</v>
      </c>
      <c r="O189" s="62" t="s">
        <v>454</v>
      </c>
      <c r="P189" s="62" t="s">
        <v>455</v>
      </c>
      <c r="Q189" s="55" t="s">
        <v>456</v>
      </c>
      <c r="R189" s="158"/>
      <c r="S189" s="158" t="s">
        <v>456</v>
      </c>
      <c r="T189" s="158" t="s">
        <v>409</v>
      </c>
      <c r="U189" s="168" t="n">
        <f aca="false">((($I$141*$G$141*2)+($I$143*$G$143*2))/1000)*$J$120</f>
        <v>35.156</v>
      </c>
      <c r="V189" s="168" t="n">
        <v>100</v>
      </c>
      <c r="W189" s="169" t="n">
        <f aca="false">ROUNDUP((U189)/V189,0)</f>
        <v>1</v>
      </c>
    </row>
    <row r="190" s="96" customFormat="true" ht="18" hidden="false" customHeight="true" outlineLevel="0" collapsed="false">
      <c r="A190" s="170" t="n">
        <f aca="false">IF(B190="","",+A188+1)</f>
        <v>15</v>
      </c>
      <c r="B190" s="131" t="s">
        <v>441</v>
      </c>
      <c r="C190" s="131" t="s">
        <v>442</v>
      </c>
      <c r="D190" s="132" t="s">
        <v>274</v>
      </c>
      <c r="E190" s="130"/>
      <c r="F190" s="130" t="s">
        <v>274</v>
      </c>
      <c r="G190" s="130" t="s">
        <v>405</v>
      </c>
      <c r="H190" s="130" t="n">
        <v>4</v>
      </c>
      <c r="I190" s="133"/>
      <c r="J190" s="134" t="n">
        <f aca="false">$J$120*H190</f>
        <v>4</v>
      </c>
    </row>
    <row r="191" s="96" customFormat="true" ht="18" hidden="false" customHeight="true" outlineLevel="0" collapsed="false">
      <c r="A191" s="170" t="n">
        <f aca="false">IF(B191="","",+A190+1)</f>
        <v>16</v>
      </c>
      <c r="B191" s="131" t="s">
        <v>443</v>
      </c>
      <c r="C191" s="131" t="s">
        <v>444</v>
      </c>
      <c r="D191" s="132" t="s">
        <v>272</v>
      </c>
      <c r="E191" s="130"/>
      <c r="F191" s="130" t="s">
        <v>272</v>
      </c>
      <c r="G191" s="130" t="s">
        <v>405</v>
      </c>
      <c r="H191" s="130" t="n">
        <v>1</v>
      </c>
      <c r="I191" s="133"/>
      <c r="J191" s="134" t="n">
        <f aca="false">$J$120*H191</f>
        <v>1</v>
      </c>
    </row>
    <row r="192" s="96" customFormat="true" ht="18" hidden="false" customHeight="true" outlineLevel="0" collapsed="false">
      <c r="A192" s="170" t="n">
        <f aca="false">IF(B192="","",+A189+1)</f>
        <v>18</v>
      </c>
      <c r="B192" s="131" t="s">
        <v>580</v>
      </c>
      <c r="C192" s="131" t="s">
        <v>581</v>
      </c>
      <c r="D192" s="132" t="s">
        <v>582</v>
      </c>
      <c r="E192" s="130"/>
      <c r="F192" s="130" t="s">
        <v>582</v>
      </c>
      <c r="G192" s="130" t="s">
        <v>409</v>
      </c>
      <c r="H192" s="173" t="n">
        <f aca="false">((($I$148*$G$148)+($I$149*$G$149))/1000)*$J$120</f>
        <v>4.866</v>
      </c>
      <c r="I192" s="174" t="n">
        <v>100</v>
      </c>
      <c r="J192" s="175" t="n">
        <f aca="false">ROUNDUP((H192)/100,0)</f>
        <v>1</v>
      </c>
    </row>
    <row r="193" s="96" customFormat="true" ht="18" hidden="false" customHeight="true" outlineLevel="0" collapsed="false">
      <c r="A193" s="170" t="n">
        <f aca="false">IF(B193="","",+A192+1)</f>
        <v>19</v>
      </c>
      <c r="B193" s="131" t="s">
        <v>583</v>
      </c>
      <c r="C193" s="131" t="s">
        <v>584</v>
      </c>
      <c r="D193" s="132" t="s">
        <v>585</v>
      </c>
      <c r="E193" s="130"/>
      <c r="F193" s="130" t="s">
        <v>585</v>
      </c>
      <c r="G193" s="130" t="s">
        <v>409</v>
      </c>
      <c r="H193" s="173" t="n">
        <f aca="false">((($I$144*$G$144)+($I$145*$G$145))/1000)*$J$120</f>
        <v>4.866</v>
      </c>
      <c r="I193" s="174" t="n">
        <v>100</v>
      </c>
      <c r="J193" s="175" t="n">
        <f aca="false">ROUNDUP((H193)/100,0)</f>
        <v>1</v>
      </c>
    </row>
    <row r="194" s="96" customFormat="true" ht="18" hidden="false" customHeight="true" outlineLevel="0" collapsed="false">
      <c r="A194" s="170" t="n">
        <f aca="false">IF(B194="","",+A193+1)</f>
        <v>20</v>
      </c>
      <c r="B194" s="132" t="str">
        <f aca="false">IF($D$129="Standard",$O$186,IF($D$129="Soumdproof",$O$187,))</f>
        <v>ยางเฟรมกันน้ำ (ธรรมดา)</v>
      </c>
      <c r="C194" s="132" t="str">
        <f aca="false">IF($D$129="Standard",$P$186,IF($D$129="Soumdproof",$P$187,))</f>
        <v>FRAME SEAL (Standard)</v>
      </c>
      <c r="D194" s="132" t="str">
        <f aca="false">IF($D$129="Standard",$Q$186,IF($D$129="Soumdproof",$Q$187,))</f>
        <v>02-026</v>
      </c>
      <c r="E194" s="130" t="n">
        <f aca="false">IF($D$129="Standard",R192,IF($D$129="Soumdproof",R193,))</f>
        <v>0</v>
      </c>
      <c r="F194" s="130" t="str">
        <f aca="false">IF($D$129="Standard",$S$186,IF($D$129="Soumdproof",$S$187,))</f>
        <v>02-026</v>
      </c>
      <c r="G194" s="130" t="str">
        <f aca="false">IF($D$129="Standard",$T$186,IF($D$129="Soumdproof",$T$187,))</f>
        <v>M</v>
      </c>
      <c r="H194" s="173" t="n">
        <f aca="false">IF($D$129="Standard",$U$186,IF($D$129="Soumdproof",$U$187,))</f>
        <v>8.403</v>
      </c>
      <c r="I194" s="174" t="n">
        <f aca="false">IF($D$129="Standard",$V$186,IF($D$129="Soumdproof",$V$187,))</f>
        <v>300</v>
      </c>
      <c r="J194" s="175" t="n">
        <f aca="false">ROUNDUP((H194)/100,0)</f>
        <v>1</v>
      </c>
    </row>
    <row r="195" customFormat="false" ht="18" hidden="false" customHeight="true" outlineLevel="0" collapsed="false">
      <c r="A195" s="170" t="n">
        <f aca="false">IF(B195="","",+A194+1)</f>
        <v>21</v>
      </c>
      <c r="B195" s="132" t="str">
        <f aca="false">IF($D$129="Standard",$O$188,IF($D$129="Soumdproof",$O$189,))</f>
        <v>ยางแซชกันน้ำ (ธรรมดา)</v>
      </c>
      <c r="C195" s="132" t="str">
        <f aca="false">IF($D$129="Standard",$P$188,IF($D$129="Soumdproof",$P$189,))</f>
        <v>SASH SEAL FOAM (Standard)</v>
      </c>
      <c r="D195" s="132" t="str">
        <f aca="false">IF($D$129="Standard",$Q$188,IF($D$129="Soumdproof",$Q$189,))</f>
        <v>02-031</v>
      </c>
      <c r="E195" s="130" t="n">
        <f aca="false">IF($D$129="Standard",R194,IF($D$129="Soumdproof",R195,))</f>
        <v>0</v>
      </c>
      <c r="F195" s="130" t="str">
        <f aca="false">IF($D$129="Standard",$S$188,IF($D$129="Soumdproof",$S$189,))</f>
        <v>02-031</v>
      </c>
      <c r="G195" s="130" t="str">
        <f aca="false">IF($D$129="Standard",$T$188,IF($D$129="Soumdproof",$T$189,))</f>
        <v>M</v>
      </c>
      <c r="H195" s="173" t="n">
        <f aca="false">IF($D$129="Standard",$U$188,IF($D$129="Soumdproof",$U$189,))</f>
        <v>35.156</v>
      </c>
      <c r="I195" s="174" t="n">
        <f aca="false">IF($D$129="Standard",$V$188,IF($D$129="Soumdproof",$V$189,))</f>
        <v>350</v>
      </c>
      <c r="J195" s="175" t="n">
        <f aca="false">ROUNDUP((H195)/100,0)</f>
        <v>1</v>
      </c>
      <c r="Y195" s="96"/>
      <c r="Z195" s="96"/>
      <c r="AA195" s="96"/>
      <c r="AB195" s="96"/>
      <c r="AC195" s="96"/>
      <c r="AD195" s="96"/>
      <c r="AE195" s="96"/>
      <c r="AF195" s="96"/>
      <c r="AG195" s="96"/>
      <c r="AH195" s="96"/>
      <c r="AI195" s="96"/>
    </row>
    <row r="196" s="96" customFormat="true" ht="18" hidden="false" customHeight="true" outlineLevel="0" collapsed="false">
      <c r="A196" s="170" t="n">
        <f aca="false">IF(B196="","",+A195+1)</f>
        <v>22</v>
      </c>
      <c r="B196" s="176" t="str">
        <f aca="false">IF($D$127=5,$O$177,IF($D$127=6,$O$178,IF($D$127=8,$O$179,IF($D$127=10,$O$177,IF($D$127=12,$O$177,IF($D$127=14,$O$179,IF($D$127=18,$O$177,IF($D$127=20,$O$178,IF($D$127=22,"")))))))))</f>
        <v>6,20 mm ยางอัดกระจก</v>
      </c>
      <c r="C196" s="176" t="str">
        <f aca="false">IF($D$127=5,$P$177,IF($D$127=6,$P$178,IF($D$127=8,$P$179,IF($D$127=10,$P$177,IF($D$127=12,$P$177,IF($D$127=14,$P$179,IF($D$127=18,$P$177,IF($D$127=20,$P$178,IF($D$127=22,"")))))))))</f>
        <v>6,20 mm ROLL IN WEDGE</v>
      </c>
      <c r="D196" s="176" t="str">
        <f aca="false">IF($D$127=5,$Q$177,IF($D$127=6,$Q$178,IF($D$127=8,$Q$179,IF($D$127=10,$Q$177,IF($D$127=12,$Q$177,IF($D$127=14,$Q$179,IF($D$127=18,$Q$177,IF($D$127=20,$Q$178,IF($D$127=22,"")))))))))</f>
        <v>02-034</v>
      </c>
      <c r="E196" s="176" t="n">
        <f aca="false">IF($D$127=5,R183,IF($D$127=6,R184,IF($D$127=8,R185,IF($D$127=10,R183,IF($D$127=12,R183,IF($D$127=14,R185,IF($D$127=18,R183,IF($D$127=20,R184,IF($D$127=22,"",)))))))))</f>
        <v>0</v>
      </c>
      <c r="F196" s="167" t="str">
        <f aca="false">IF($D$127=5,$S$177,IF($D$127=6,$S$178,IF($D$127=8,$S$179,IF($D$127=10,$S$177,IF($D$127=12,$S$177,IF($D$127=14,$S$179,IF($D$127=18,$S$177,IF($D$127=20,$S$178,IF($D$127=22,"")))))))))</f>
        <v>02-034</v>
      </c>
      <c r="G196" s="167" t="str">
        <f aca="false">IF($D$127=5,$T$177,IF($D$127=6,$T$178,IF($D$127=8,$T$179,IF($D$127=10,$T$177,IF($D$127=12,$T$177,IF($D$127=14,$T$179,IF($D$127=18,$T$177,IF($D$127=20,$T$178,IF($D$127=22,"")))))))))</f>
        <v>M</v>
      </c>
      <c r="H196" s="173" t="n">
        <f aca="false">IF($D$127=5,$U$177,IF($D$127=6,$U$178,IF($D$127=8,$U$179,IF($D$127=10,$U$177*2,IF($D$127=12,$U$177,IF($D$127=14,$U$179*2,IF($D$127=18,$U$177,IF($D$127=20,$U$178,IF($D$127=22,"")))))))))</f>
        <v>25.424</v>
      </c>
      <c r="I196" s="174" t="n">
        <f aca="false">IF($D$127=5,$V$177,IF($D$127=6,$V$178,IF($D$127=8,$V$179,IF($D$127=10,$V$177,IF($D$127=12,$V$177,IF($D$127=14,$V$179,IF($D$127=18,$V$177,IF($D$127=20,$V$178,IF($D$127=22,"")))))))))</f>
        <v>100</v>
      </c>
      <c r="J196" s="175" t="n">
        <f aca="false">ROUNDUP((H196)/100,0)</f>
        <v>1</v>
      </c>
    </row>
    <row r="197" s="96" customFormat="true" ht="18" hidden="false" customHeight="true" outlineLevel="0" collapsed="false">
      <c r="A197" s="170" t="n">
        <f aca="false">IF(B197="","",+A196+1)</f>
        <v>23</v>
      </c>
      <c r="B197" s="176" t="str">
        <f aca="false">IF($D$127=5,$O$175,IF($D$127=6,$O$175,IF($D$127=8,$O$177,IF($D$127=10,"",IF($D$127=12,$O$176,IF($D$127=14,"",IF($D$127=18,$O$175,IF($D$127=20,$O$176,IF($D$127=22,"",)))))))))</f>
        <v>5,6,18 mm ยางรองกระจก</v>
      </c>
      <c r="C197" s="176" t="str">
        <f aca="false">IF($D$127=5,$P$175,IF($D$127=6,$P$175,IF($D$127=8,$P$177,IF($D$127=10,"",IF($D$127=12,$P$176,IF($D$127=14,"",IF($D$127=18,$P$175,IF($D$127=20,$P$176,IF($D$127=22,"",)))))))))</f>
        <v>5,6,18 mm CAPTIVE WEDGE</v>
      </c>
      <c r="D197" s="176" t="str">
        <f aca="false">IF($D$127=5,$Q$175,IF($D$127=6,$Q$175,IF($D$127=8,$Q$177,IF($D$127=10,"",IF($D$127=12,$Q$176,IF($D$127=14,"",IF($D$127=18,$Q$175,IF($D$127=20,$Q$176,IF($D$127=22,"",)))))))))</f>
        <v>02-022</v>
      </c>
      <c r="E197" s="176" t="str">
        <f aca="false">IF($D$127=5,"",IF($D$127=6,"",IF($D$127=8,R183,IF($D$127=10,"",IF($D$127=12,R182,IF($D$127=14,"",IF($D$127=18,"",IF($D$127=20,R182,IF($D$127=22,"",)))))))))</f>
        <v/>
      </c>
      <c r="F197" s="167" t="str">
        <f aca="false">IF($D$127=5,$S$175,IF($D$127=6,$S$175,IF($D$127=8,$S$177,IF($D$127=10,"",IF($D$127=12,$S$176,IF($D$127=14,"",IF($D$127=18,$S$175,IF($D$127=20,$S$176,IF($D$127=22,"",)))))))))</f>
        <v>02-022</v>
      </c>
      <c r="G197" s="167" t="str">
        <f aca="false">IF($D$127=5,$T$175,IF($D$127=6,$T$175,IF($D$127=8,$T$177,IF($D$127=10,"",IF($D$127=12,$T$176,IF($D$127=14,"",IF($D$127=18,$T$175,IF($D$127=20,$T$176,IF($D$127=22,"",)))))))))</f>
        <v>M</v>
      </c>
      <c r="H197" s="173" t="n">
        <f aca="false">IF($D$127=5,$U$175,IF($D$127=6,$U$175,IF($D$127=8,$U$177,IF($D$127=10,"",IF($D$127=12,$U$176,IF($D$127=14,"",IF($D$127=18,$U$175,IF($D$127=20,$U$176,IF($D$127=22,"")))))))))</f>
        <v>25.424</v>
      </c>
      <c r="I197" s="174" t="n">
        <f aca="false">IF($D$127=5,$V$175,IF($D$127=6,$V$175,IF($D$127=8,$V$177,IF($D$127=10,"",IF($D$127=12,$V$176,IF($D$127=14,"",IF($D$127=18,$V$175,IF($D$127=20,$V$176,IF($D$127=22,"",)))))))))</f>
        <v>100</v>
      </c>
      <c r="J197" s="175" t="n">
        <f aca="false">ROUNDUP((H197)/100,0)</f>
        <v>1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$J$120*G198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$J$120*G199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$J$120*G200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$J$120*G201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$J$120*G202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$J$120*G203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$J$120*G204</f>
        <v>0</v>
      </c>
    </row>
    <row r="205" s="96" customFormat="true" ht="18" hidden="false" customHeight="true" outlineLevel="0" collapsed="false">
      <c r="A205" s="179" t="str">
        <f aca="false">IF(B205="","",+""+1)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$J$120*G205</f>
        <v>0</v>
      </c>
    </row>
    <row r="206" s="96" customFormat="true" ht="18" hidden="false" customHeight="true" outlineLevel="0" collapsed="false">
      <c r="A206" s="200"/>
      <c r="D206" s="98"/>
      <c r="E206" s="97"/>
      <c r="F206" s="97"/>
      <c r="G206" s="97"/>
      <c r="H206" s="97"/>
      <c r="I206" s="196"/>
      <c r="J206" s="256"/>
    </row>
    <row r="207" customFormat="false" ht="18" hidden="false" customHeight="true" outlineLevel="0" collapsed="false">
      <c r="A207" s="97"/>
      <c r="J207" s="92" t="str">
        <f aca="false">LEFT($J$111,13)&amp;"-02"</f>
        <v>FG-240-4P1L3R-02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B215" s="182"/>
      <c r="D215" s="98"/>
      <c r="E215" s="83"/>
      <c r="F215" s="183"/>
      <c r="I215" s="183"/>
      <c r="J215" s="99"/>
    </row>
    <row r="216" s="96" customFormat="true" ht="15" hidden="false" customHeight="true" outlineLevel="0" collapsed="false">
      <c r="A216" s="97"/>
      <c r="C216" s="184"/>
      <c r="D216" s="98"/>
      <c r="E216" s="83"/>
      <c r="F216" s="98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516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3000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97"/>
      <c r="J228" s="97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9"/>
      <c r="J229" s="190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517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I234" s="181"/>
      <c r="J234" s="193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J235" s="97"/>
    </row>
    <row r="236" s="96" customFormat="true" ht="15.75" hidden="false" customHeight="true" outlineLevel="0" collapsed="false">
      <c r="A236" s="97"/>
      <c r="C236" s="185" t="n">
        <f aca="false">$I$134</f>
        <v>2974</v>
      </c>
      <c r="D236" s="98"/>
      <c r="E236" s="97"/>
      <c r="F236" s="98"/>
      <c r="G236" s="97"/>
      <c r="H236" s="97"/>
      <c r="I236" s="97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96"/>
      <c r="J237" s="196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96"/>
      <c r="J238" s="196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4"/>
      <c r="J239" s="198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81"/>
      <c r="J240" s="193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81"/>
      <c r="J241" s="193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196"/>
      <c r="J242" s="196"/>
    </row>
    <row r="243" s="96" customFormat="true" ht="15.75" hidden="false" customHeight="true" outlineLevel="0" collapsed="false">
      <c r="A243" s="97"/>
      <c r="C243" s="184" t="s">
        <v>519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97"/>
      <c r="J244" s="196"/>
    </row>
    <row r="245" s="96" customFormat="true" ht="15.7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3000</v>
      </c>
      <c r="D246" s="98"/>
      <c r="E246" s="97"/>
      <c r="F246" s="98"/>
      <c r="G246" s="97"/>
      <c r="H246" s="97"/>
      <c r="I246" s="196"/>
      <c r="J246" s="196"/>
    </row>
    <row r="247" s="96" customFormat="true" ht="1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96"/>
      <c r="J247" s="196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I248" s="191"/>
      <c r="J248" s="199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I249" s="189"/>
      <c r="J249" s="190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I250" s="189"/>
      <c r="J250" s="190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J251" s="97"/>
    </row>
    <row r="252" s="96" customFormat="true" ht="15.75" hidden="false" customHeight="true" outlineLevel="0" collapsed="false">
      <c r="A252" s="97"/>
      <c r="D252" s="98"/>
      <c r="E252" s="97"/>
      <c r="F252" s="97"/>
      <c r="G252" s="97"/>
      <c r="H252" s="97"/>
      <c r="J252" s="97"/>
    </row>
    <row r="253" s="96" customFormat="true" ht="15.75" hidden="false" customHeight="true" outlineLevel="0" collapsed="false">
      <c r="A253" s="191"/>
      <c r="B253" s="191"/>
      <c r="D253" s="192"/>
      <c r="E253" s="191"/>
      <c r="F253" s="191"/>
      <c r="G253" s="97"/>
      <c r="H253" s="97"/>
      <c r="J253" s="97"/>
    </row>
    <row r="254" s="96" customFormat="true" ht="15.75" hidden="false" customHeight="true" outlineLevel="0" collapsed="false">
      <c r="A254" s="190"/>
      <c r="B254" s="190"/>
      <c r="C254" s="184" t="s">
        <v>567</v>
      </c>
      <c r="D254" s="194"/>
      <c r="E254" s="190"/>
      <c r="F254" s="189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459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460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5" t="n">
        <f aca="false">$I$136</f>
        <v>3000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7" t="n">
        <f aca="false">$J$136</f>
        <v>1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C262" s="98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184" t="s">
        <v>586</v>
      </c>
      <c r="D264" s="98"/>
      <c r="E264" s="97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587</v>
      </c>
      <c r="D265" s="181"/>
      <c r="E265" s="181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468</v>
      </c>
      <c r="D266" s="181"/>
      <c r="E266" s="181"/>
      <c r="F266" s="97"/>
      <c r="G266" s="97"/>
      <c r="H266" s="97"/>
      <c r="I266" s="196"/>
      <c r="J266" s="196"/>
    </row>
    <row r="267" s="96" customFormat="true" ht="15.75" hidden="false" customHeight="true" outlineLevel="0" collapsed="false">
      <c r="A267" s="200"/>
      <c r="C267" s="185" t="n">
        <f aca="false">$I$137</f>
        <v>2525</v>
      </c>
      <c r="D267" s="98"/>
      <c r="E267" s="97"/>
      <c r="F267" s="97"/>
      <c r="I267" s="196"/>
      <c r="J267" s="196"/>
    </row>
    <row r="268" s="96" customFormat="true" ht="15.75" hidden="false" customHeight="true" outlineLevel="0" collapsed="false">
      <c r="A268" s="200"/>
      <c r="C268" s="187" t="n">
        <f aca="false">$J$137+$J$138</f>
        <v>2</v>
      </c>
      <c r="D268" s="98"/>
      <c r="E268" s="97"/>
      <c r="F268" s="97"/>
      <c r="G268" s="97"/>
      <c r="H268" s="97"/>
      <c r="I268" s="196"/>
      <c r="J268" s="196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I269" s="196"/>
      <c r="J269" s="196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I270" s="196"/>
      <c r="J270" s="196"/>
    </row>
    <row r="271" s="96" customFormat="true" ht="15.75" hidden="false" customHeight="true" outlineLevel="0" collapsed="false">
      <c r="A271" s="200"/>
      <c r="D271" s="184"/>
      <c r="E271" s="184"/>
      <c r="F271" s="97"/>
      <c r="G271" s="97"/>
      <c r="H271" s="97"/>
      <c r="I271" s="196"/>
      <c r="J271" s="196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H272" s="97"/>
      <c r="J272" s="97"/>
    </row>
    <row r="273" s="96" customFormat="true" ht="15.75" hidden="false" customHeight="true" outlineLevel="0" collapsed="false">
      <c r="A273" s="200"/>
      <c r="D273" s="181"/>
      <c r="E273" s="181"/>
      <c r="F273" s="97"/>
      <c r="G273" s="97"/>
      <c r="J273" s="97"/>
    </row>
    <row r="274" s="96" customFormat="true" ht="15.75" hidden="false" customHeight="true" outlineLevel="0" collapsed="false">
      <c r="A274" s="200"/>
      <c r="D274" s="98"/>
      <c r="E274" s="97"/>
      <c r="F274" s="97"/>
      <c r="G274" s="97"/>
      <c r="J274" s="97"/>
    </row>
    <row r="275" s="96" customFormat="true" ht="15.75" hidden="false" customHeight="true" outlineLevel="0" collapsed="false">
      <c r="A275" s="200"/>
      <c r="C275" s="184" t="s">
        <v>588</v>
      </c>
      <c r="D275" s="201"/>
      <c r="E275" s="196"/>
      <c r="F275" s="97"/>
      <c r="G275" s="97"/>
      <c r="J275" s="97"/>
    </row>
    <row r="276" s="96" customFormat="true" ht="15.75" hidden="false" customHeight="true" outlineLevel="0" collapsed="false">
      <c r="A276" s="200"/>
      <c r="C276" s="181" t="s">
        <v>470</v>
      </c>
      <c r="D276" s="181"/>
      <c r="E276" s="181"/>
      <c r="F276" s="97"/>
      <c r="G276" s="97"/>
      <c r="J276" s="97"/>
    </row>
    <row r="277" s="96" customFormat="true" ht="15.75" hidden="false" customHeight="true" outlineLevel="0" collapsed="false">
      <c r="A277" s="200"/>
      <c r="C277" s="181" t="s">
        <v>471</v>
      </c>
      <c r="D277" s="181"/>
      <c r="E277" s="181"/>
      <c r="F277" s="97"/>
      <c r="G277" s="97"/>
      <c r="J277" s="97"/>
    </row>
    <row r="278" s="96" customFormat="true" ht="15.75" hidden="false" customHeight="true" outlineLevel="0" collapsed="false">
      <c r="A278" s="200"/>
      <c r="C278" s="185" t="n">
        <f aca="false">$I$139</f>
        <v>2429</v>
      </c>
      <c r="F278" s="97"/>
      <c r="G278" s="97"/>
      <c r="I278" s="196"/>
      <c r="J278" s="196"/>
    </row>
    <row r="279" s="96" customFormat="true" ht="15.75" hidden="false" customHeight="true" outlineLevel="0" collapsed="false">
      <c r="A279" s="200"/>
      <c r="C279" s="187" t="n">
        <f aca="false">$J$139+$J$140</f>
        <v>2</v>
      </c>
      <c r="F279" s="97"/>
      <c r="G279" s="97"/>
      <c r="I279" s="196"/>
      <c r="J279" s="196"/>
    </row>
    <row r="280" s="96" customFormat="true" ht="15.75" hidden="false" customHeight="true" outlineLevel="0" collapsed="false">
      <c r="A280" s="200"/>
      <c r="F280" s="97"/>
      <c r="G280" s="97"/>
      <c r="H280" s="97"/>
      <c r="I280" s="196"/>
      <c r="J280" s="196"/>
    </row>
    <row r="281" s="96" customFormat="true" ht="15.75" hidden="false" customHeight="true" outlineLevel="0" collapsed="false">
      <c r="A281" s="200"/>
      <c r="F281" s="97"/>
      <c r="G281" s="97"/>
      <c r="H281" s="97"/>
      <c r="I281" s="196"/>
      <c r="J281" s="196"/>
    </row>
    <row r="282" s="96" customFormat="true" ht="15.75" hidden="false" customHeight="true" outlineLevel="0" collapsed="false">
      <c r="A282" s="200"/>
      <c r="D282" s="98"/>
      <c r="E282" s="97"/>
      <c r="F282" s="97"/>
      <c r="G282" s="97"/>
      <c r="H282" s="97"/>
      <c r="I282" s="196"/>
      <c r="J282" s="196"/>
    </row>
    <row r="283" s="96" customFormat="true" ht="15.75" hidden="false" customHeight="true" outlineLevel="0" collapsed="false">
      <c r="A283" s="200"/>
      <c r="F283" s="97"/>
      <c r="G283" s="97"/>
      <c r="H283" s="97"/>
      <c r="I283" s="97"/>
      <c r="J283" s="196"/>
    </row>
    <row r="284" s="96" customFormat="true" ht="15.75" hidden="false" customHeight="true" outlineLevel="0" collapsed="false">
      <c r="A284" s="200"/>
      <c r="F284" s="97"/>
      <c r="G284" s="97"/>
      <c r="H284" s="97"/>
      <c r="I284" s="97"/>
      <c r="J284" s="196"/>
    </row>
    <row r="285" s="96" customFormat="true" ht="15.75" hidden="false" customHeight="true" outlineLevel="0" collapsed="false">
      <c r="A285" s="200"/>
      <c r="C285" s="184" t="s">
        <v>524</v>
      </c>
      <c r="F285" s="97"/>
      <c r="G285" s="97"/>
      <c r="H285" s="97"/>
      <c r="I285" s="97"/>
      <c r="J285" s="196"/>
    </row>
    <row r="286" s="96" customFormat="true" ht="15.75" hidden="false" customHeight="true" outlineLevel="0" collapsed="false">
      <c r="A286" s="200"/>
      <c r="C286" s="83" t="s">
        <v>589</v>
      </c>
      <c r="D286" s="98"/>
      <c r="E286" s="97"/>
      <c r="F286" s="97"/>
      <c r="G286" s="97"/>
      <c r="H286" s="97"/>
      <c r="I286" s="97"/>
      <c r="J286" s="196"/>
    </row>
    <row r="287" s="96" customFormat="true" ht="15.75" hidden="false" customHeight="true" outlineLevel="0" collapsed="false">
      <c r="A287" s="200"/>
      <c r="C287" s="181" t="s">
        <v>590</v>
      </c>
      <c r="D287" s="98"/>
      <c r="E287" s="97"/>
      <c r="F287" s="97"/>
      <c r="G287" s="97"/>
      <c r="H287" s="97"/>
      <c r="J287" s="97"/>
    </row>
    <row r="288" s="96" customFormat="true" ht="15.75" hidden="false" customHeight="true" outlineLevel="0" collapsed="false">
      <c r="A288" s="200"/>
      <c r="C288" s="181" t="s">
        <v>475</v>
      </c>
      <c r="D288" s="181"/>
      <c r="E288" s="181"/>
      <c r="F288" s="97"/>
      <c r="G288" s="97"/>
      <c r="J288" s="97"/>
    </row>
    <row r="289" s="96" customFormat="true" ht="15.75" hidden="false" customHeight="true" outlineLevel="0" collapsed="false">
      <c r="A289" s="200"/>
      <c r="C289" s="181" t="s">
        <v>476</v>
      </c>
      <c r="D289" s="181"/>
      <c r="E289" s="181"/>
      <c r="F289" s="97"/>
      <c r="G289" s="97"/>
      <c r="J289" s="97"/>
    </row>
    <row r="290" s="96" customFormat="true" ht="15.75" hidden="false" customHeight="true" outlineLevel="0" collapsed="false">
      <c r="A290" s="200"/>
      <c r="C290" s="185" t="n">
        <f aca="false">$I$141</f>
        <v>745</v>
      </c>
      <c r="F290" s="97"/>
      <c r="G290" s="97"/>
      <c r="I290" s="201"/>
      <c r="J290" s="196"/>
    </row>
    <row r="291" s="96" customFormat="true" ht="15.75" hidden="false" customHeight="true" outlineLevel="0" collapsed="false">
      <c r="A291" s="200"/>
      <c r="C291" s="187" t="n">
        <f aca="false">$J$141+$J$142</f>
        <v>8</v>
      </c>
      <c r="D291" s="98"/>
      <c r="E291" s="97"/>
      <c r="F291" s="97"/>
      <c r="G291" s="97"/>
      <c r="H291" s="98"/>
      <c r="I291" s="97"/>
      <c r="J291" s="196"/>
    </row>
    <row r="292" s="96" customFormat="true" ht="15.75" hidden="false" customHeight="true" outlineLevel="0" collapsed="false">
      <c r="A292" s="200"/>
      <c r="C292" s="185" t="n">
        <f aca="false">$I$143</f>
        <v>2433</v>
      </c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C293" s="187" t="n">
        <f aca="false">$J$143+$J$144+$J$145</f>
        <v>8</v>
      </c>
      <c r="D293" s="98"/>
      <c r="E293" s="97"/>
      <c r="F293" s="97"/>
      <c r="G293" s="97"/>
      <c r="H293" s="97"/>
      <c r="I293" s="196"/>
      <c r="J293" s="196"/>
    </row>
    <row r="294" s="96" customFormat="true" ht="15.75" hidden="false" customHeight="true" outlineLevel="0" collapsed="false">
      <c r="A294" s="200"/>
      <c r="D294" s="98"/>
      <c r="E294" s="97"/>
      <c r="F294" s="97"/>
      <c r="G294" s="97"/>
      <c r="H294" s="97"/>
      <c r="I294" s="196"/>
      <c r="J294" s="196"/>
    </row>
    <row r="295" s="96" customFormat="true" ht="15.75" hidden="false" customHeight="true" outlineLevel="0" collapsed="false">
      <c r="A295" s="200"/>
      <c r="D295" s="98"/>
      <c r="E295" s="97"/>
      <c r="F295" s="97"/>
      <c r="G295" s="97"/>
      <c r="H295" s="97"/>
      <c r="I295" s="196"/>
      <c r="J295" s="196"/>
    </row>
    <row r="296" s="202" customFormat="true" ht="15.75" hidden="false" customHeight="true" outlineLevel="0" collapsed="false">
      <c r="A296" s="200"/>
      <c r="B296" s="96"/>
      <c r="D296" s="98"/>
      <c r="E296" s="97"/>
      <c r="F296" s="97"/>
      <c r="G296" s="97"/>
      <c r="H296" s="97"/>
      <c r="I296" s="97"/>
      <c r="J296" s="97"/>
    </row>
    <row r="297" s="96" customFormat="true" ht="15.75" hidden="false" customHeight="true" outlineLevel="0" collapsed="false">
      <c r="A297" s="200"/>
      <c r="C297" s="184" t="s">
        <v>525</v>
      </c>
      <c r="D297" s="98"/>
      <c r="E297" s="97"/>
      <c r="F297" s="97"/>
      <c r="G297" s="97"/>
      <c r="H297" s="97"/>
      <c r="I297" s="191"/>
      <c r="J297" s="199"/>
    </row>
    <row r="298" s="96" customFormat="true" ht="15.75" hidden="false" customHeight="true" outlineLevel="0" collapsed="false">
      <c r="A298" s="200"/>
      <c r="C298" s="83" t="s">
        <v>589</v>
      </c>
      <c r="D298" s="98"/>
      <c r="E298" s="97"/>
      <c r="F298" s="97"/>
      <c r="G298" s="191"/>
      <c r="H298" s="191"/>
      <c r="I298" s="189"/>
      <c r="J298" s="190"/>
    </row>
    <row r="299" s="96" customFormat="true" ht="15.75" hidden="false" customHeight="true" outlineLevel="0" collapsed="false">
      <c r="A299" s="200"/>
      <c r="C299" s="181" t="s">
        <v>590</v>
      </c>
      <c r="D299" s="181"/>
      <c r="E299" s="181"/>
      <c r="F299" s="97"/>
      <c r="G299" s="190"/>
      <c r="H299" s="189"/>
      <c r="I299" s="196"/>
      <c r="J299" s="196"/>
    </row>
    <row r="300" s="96" customFormat="true" ht="15.75" hidden="false" customHeight="true" outlineLevel="0" collapsed="false">
      <c r="A300" s="107"/>
      <c r="C300" s="181" t="s">
        <v>478</v>
      </c>
      <c r="D300" s="181"/>
      <c r="E300" s="181"/>
      <c r="F300" s="97"/>
      <c r="G300" s="97"/>
      <c r="H300" s="97"/>
      <c r="I300" s="196"/>
      <c r="J300" s="196"/>
    </row>
    <row r="301" s="96" customFormat="true" ht="15.75" hidden="false" customHeight="true" outlineLevel="0" collapsed="false">
      <c r="A301" s="191"/>
      <c r="B301" s="191"/>
      <c r="C301" s="181" t="s">
        <v>479</v>
      </c>
      <c r="D301" s="203"/>
      <c r="E301" s="204"/>
      <c r="F301" s="191"/>
      <c r="G301" s="97"/>
      <c r="H301" s="97"/>
      <c r="I301" s="97"/>
      <c r="J301" s="196"/>
    </row>
    <row r="302" s="96" customFormat="true" ht="15.75" hidden="false" customHeight="true" outlineLevel="0" collapsed="false">
      <c r="A302" s="190"/>
      <c r="B302" s="190"/>
      <c r="C302" s="185" t="n">
        <f aca="false">$I$146</f>
        <v>633.8125</v>
      </c>
      <c r="D302" s="185"/>
      <c r="E302" s="206"/>
      <c r="F302" s="189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7" t="n">
        <f aca="false">$J$146</f>
        <v>8</v>
      </c>
      <c r="D303" s="187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C304" s="185" t="n">
        <f aca="false">$I$147</f>
        <v>2283</v>
      </c>
      <c r="D304" s="185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C305" s="187" t="n">
        <f aca="false">$J$147</f>
        <v>8</v>
      </c>
      <c r="D305" s="187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C306" s="184" t="s">
        <v>591</v>
      </c>
      <c r="D306" s="98"/>
      <c r="E306" s="97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1" t="s">
        <v>475</v>
      </c>
      <c r="D307" s="181"/>
      <c r="E307" s="181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249" t="s">
        <v>476</v>
      </c>
      <c r="D308" s="249"/>
      <c r="E308" s="249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5" t="n">
        <f aca="false">$I$148</f>
        <v>2433</v>
      </c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7" t="n">
        <f aca="false">$J$148+$J$149</f>
        <v>2</v>
      </c>
      <c r="D310" s="181"/>
      <c r="E310" s="181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LEFT($J$111,13)&amp;"-03"</f>
        <v>FG-240-4P1L3R-03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A316" s="97"/>
      <c r="B316" s="49"/>
      <c r="C316" s="49"/>
      <c r="D316" s="207"/>
      <c r="E316" s="200"/>
      <c r="F316" s="200"/>
      <c r="G316" s="200"/>
      <c r="H316" s="200"/>
      <c r="I316" s="208"/>
      <c r="J316" s="77" t="str">
        <f aca="false">$J$2</f>
        <v>HOMELIFE</v>
      </c>
    </row>
    <row r="317" customFormat="false" ht="24.75" hidden="false" customHeight="true" outlineLevel="0" collapsed="false">
      <c r="B317" s="96"/>
      <c r="C317" s="96"/>
      <c r="D317" s="98"/>
      <c r="E317" s="97"/>
      <c r="F317" s="97"/>
      <c r="G317" s="97"/>
      <c r="H317" s="97"/>
      <c r="J317" s="80" t="str">
        <f aca="false">$J$3</f>
        <v>Fabricators Guide</v>
      </c>
      <c r="K317" s="78"/>
      <c r="L317" s="78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188"/>
      <c r="D323" s="73"/>
      <c r="I323" s="183"/>
      <c r="J323" s="99"/>
    </row>
    <row r="324" s="96" customFormat="true" ht="15" hidden="false" customHeight="true" outlineLevel="0" collapsed="false">
      <c r="A324" s="97"/>
      <c r="B324" s="81"/>
      <c r="D324" s="98"/>
      <c r="E324" s="83"/>
      <c r="F324" s="183"/>
      <c r="G324" s="183"/>
      <c r="H324" s="183"/>
      <c r="I324" s="83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240-4 Panel (1L3R)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195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91"/>
      <c r="D405" s="98"/>
      <c r="E405" s="97"/>
      <c r="F405" s="97"/>
      <c r="G405" s="97"/>
      <c r="H405" s="97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LEFT($J$111,13)&amp;"-04"</f>
        <v>FG-240-4P1L3R-04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77" t="str">
        <f aca="false">$J$2</f>
        <v>HOMELIFE</v>
      </c>
      <c r="K423" s="78"/>
      <c r="L423" s="78"/>
      <c r="M423" s="79"/>
      <c r="N423" s="79"/>
    </row>
    <row r="424" customFormat="false" ht="24.75" hidden="false" customHeight="true" outlineLevel="0" collapsed="false">
      <c r="A424" s="97"/>
      <c r="B424" s="96"/>
      <c r="C424" s="96"/>
      <c r="D424" s="98"/>
      <c r="E424" s="97"/>
      <c r="F424" s="97"/>
      <c r="G424" s="97"/>
      <c r="H424" s="97"/>
      <c r="I424" s="97"/>
      <c r="J424" s="80" t="str">
        <f aca="false">$J$3</f>
        <v>Fabricators Guide</v>
      </c>
      <c r="K424" s="78"/>
      <c r="L424" s="78"/>
      <c r="M424" s="79"/>
      <c r="N424" s="79"/>
    </row>
    <row r="425" customFormat="false" ht="30" hidden="false" customHeight="true" outlineLevel="0" collapsed="false">
      <c r="B425" s="96"/>
      <c r="C425" s="96"/>
      <c r="D425" s="98"/>
      <c r="E425" s="97"/>
      <c r="F425" s="97"/>
      <c r="G425" s="97"/>
      <c r="H425" s="97"/>
      <c r="I425" s="76"/>
      <c r="J425" s="80" t="str">
        <f aca="false">$J$4</f>
        <v>240 Series Bi Fold Door </v>
      </c>
      <c r="K425" s="83"/>
      <c r="L425" s="83"/>
      <c r="M425" s="79"/>
      <c r="N425" s="79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240-4 Panel (1L3R)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90"/>
      <c r="C441" s="182"/>
      <c r="D441" s="98"/>
      <c r="E441" s="97"/>
      <c r="F441" s="186"/>
      <c r="H441" s="191"/>
      <c r="I441" s="191"/>
      <c r="J441" s="199"/>
    </row>
    <row r="442" s="96" customFormat="true" ht="15.75" hidden="false" customHeight="true" outlineLevel="0" collapsed="false">
      <c r="A442" s="90"/>
      <c r="C442" s="182"/>
      <c r="D442" s="98"/>
      <c r="E442" s="97"/>
      <c r="F442" s="186"/>
      <c r="H442" s="191"/>
      <c r="I442" s="191"/>
      <c r="J442" s="199"/>
    </row>
    <row r="443" s="96" customFormat="true" ht="15.75" hidden="false" customHeight="true" outlineLevel="0" collapsed="false">
      <c r="A443" s="81"/>
      <c r="C443" s="98"/>
      <c r="D443" s="98"/>
      <c r="E443" s="97"/>
      <c r="F443" s="78"/>
      <c r="H443" s="191"/>
      <c r="I443" s="191"/>
      <c r="J443" s="199"/>
    </row>
    <row r="444" s="96" customFormat="true" ht="15.75" hidden="false" customHeight="true" outlineLevel="0" collapsed="false">
      <c r="A444" s="191"/>
      <c r="C444" s="212"/>
      <c r="D444" s="98"/>
      <c r="E444" s="97"/>
      <c r="F444" s="97"/>
      <c r="H444" s="191"/>
      <c r="I444" s="191"/>
      <c r="J444" s="199"/>
    </row>
    <row r="445" s="96" customFormat="true" ht="15.75" hidden="false" customHeight="true" outlineLevel="0" collapsed="false">
      <c r="A445" s="190"/>
      <c r="C445" s="191"/>
      <c r="D445" s="192"/>
      <c r="E445" s="191"/>
      <c r="F445" s="191"/>
      <c r="H445" s="191"/>
      <c r="I445" s="191"/>
      <c r="J445" s="199"/>
    </row>
    <row r="446" customFormat="false" ht="15" hidden="false" customHeight="true" outlineLevel="0" collapsed="false">
      <c r="B446" s="211"/>
      <c r="C446" s="98"/>
      <c r="D446" s="98"/>
      <c r="E446" s="97"/>
      <c r="F446" s="98"/>
      <c r="G446" s="97"/>
      <c r="H446" s="97"/>
    </row>
    <row r="451" s="96" customFormat="true" ht="15.75" hidden="false" customHeight="true" outlineLevel="0" collapsed="false">
      <c r="A451" s="97"/>
      <c r="D451" s="73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191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196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97"/>
      <c r="J457" s="196"/>
    </row>
    <row r="458" s="96" customFormat="true" ht="15.75" hidden="false" customHeight="true" outlineLevel="0" collapsed="false">
      <c r="A458" s="97"/>
      <c r="C458" s="98"/>
      <c r="D458" s="98"/>
      <c r="E458" s="97"/>
      <c r="F458" s="98"/>
      <c r="G458" s="97"/>
      <c r="H458" s="97"/>
      <c r="I458" s="196"/>
      <c r="J458" s="196"/>
    </row>
    <row r="459" s="96" customFormat="true" ht="15.75" hidden="false" customHeight="true" outlineLevel="0" collapsed="false">
      <c r="A459" s="97"/>
      <c r="D459" s="98"/>
      <c r="E459" s="97"/>
      <c r="F459" s="97"/>
      <c r="G459" s="97"/>
      <c r="H459" s="97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195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96" customFormat="true" ht="15" hidden="false" customHeight="true" outlineLevel="0" collapsed="false">
      <c r="A477" s="97"/>
      <c r="D477" s="98"/>
      <c r="E477" s="97"/>
      <c r="F477" s="97"/>
      <c r="G477" s="97"/>
      <c r="H477" s="97"/>
      <c r="I477" s="196"/>
      <c r="J477" s="196"/>
    </row>
    <row r="478" s="202" customFormat="true" ht="15.75" hidden="false" customHeight="true" outlineLevel="0" collapsed="false">
      <c r="A478" s="97"/>
      <c r="B478" s="96"/>
      <c r="C478" s="96"/>
      <c r="D478" s="98"/>
      <c r="E478" s="97"/>
      <c r="F478" s="97"/>
      <c r="G478" s="97"/>
      <c r="H478" s="97"/>
      <c r="I478" s="97"/>
      <c r="J478" s="97"/>
    </row>
    <row r="479" s="96" customFormat="true" ht="15.75" hidden="false" customHeight="true" outlineLevel="0" collapsed="false">
      <c r="A479" s="191"/>
      <c r="D479" s="98"/>
      <c r="E479" s="97"/>
      <c r="F479" s="97"/>
      <c r="G479" s="97"/>
      <c r="H479" s="97"/>
      <c r="I479" s="191"/>
      <c r="J479" s="199"/>
    </row>
    <row r="480" s="96" customFormat="true" ht="15.75" hidden="false" customHeight="true" outlineLevel="0" collapsed="false">
      <c r="A480" s="190"/>
      <c r="B480" s="191"/>
      <c r="C480" s="191"/>
      <c r="D480" s="192"/>
      <c r="E480" s="191"/>
      <c r="F480" s="191"/>
      <c r="G480" s="191"/>
      <c r="H480" s="191"/>
      <c r="I480" s="189"/>
      <c r="J480" s="190"/>
    </row>
    <row r="481" s="96" customFormat="true" ht="15.75" hidden="false" customHeight="true" outlineLevel="0" collapsed="false">
      <c r="A481" s="200"/>
      <c r="B481" s="190"/>
      <c r="C481" s="191"/>
      <c r="D481" s="194"/>
      <c r="E481" s="190"/>
      <c r="F481" s="189"/>
      <c r="G481" s="190"/>
      <c r="H481" s="189"/>
      <c r="I481" s="196"/>
      <c r="J481" s="196"/>
    </row>
    <row r="482" s="96" customFormat="true" ht="15.75" hidden="false" customHeight="true" outlineLevel="0" collapsed="false">
      <c r="A482" s="200"/>
      <c r="C482" s="182"/>
      <c r="D482" s="98"/>
      <c r="E482" s="97"/>
      <c r="F482" s="97"/>
      <c r="G482" s="97"/>
      <c r="H482" s="182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J483" s="97"/>
    </row>
    <row r="484" s="96" customFormat="true" ht="15.75" hidden="false" customHeight="true" outlineLevel="0" collapsed="false">
      <c r="A484" s="200"/>
      <c r="C484" s="98"/>
      <c r="D484" s="98"/>
      <c r="E484" s="97"/>
      <c r="F484" s="97"/>
      <c r="G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C488" s="98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G495" s="97"/>
      <c r="H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97"/>
      <c r="I499" s="196"/>
      <c r="J499" s="196"/>
    </row>
    <row r="500" s="96" customFormat="true" ht="15.75" hidden="false" customHeight="true" outlineLevel="0" collapsed="false">
      <c r="A500" s="200"/>
      <c r="D500" s="98"/>
      <c r="E500" s="97"/>
      <c r="F500" s="97"/>
      <c r="G500" s="97"/>
      <c r="H500" s="182"/>
      <c r="J500" s="97"/>
    </row>
    <row r="501" s="96" customFormat="true" ht="15.75" hidden="false" customHeight="true" outlineLevel="0" collapsed="false">
      <c r="A501" s="200"/>
      <c r="C501" s="188"/>
      <c r="D501" s="98"/>
      <c r="E501" s="97"/>
      <c r="F501" s="97"/>
      <c r="G501" s="97"/>
      <c r="J501" s="97"/>
    </row>
    <row r="502" s="96" customFormat="true" ht="15.75" hidden="false" customHeight="true" outlineLevel="0" collapsed="false">
      <c r="A502" s="200"/>
      <c r="D502" s="98"/>
      <c r="E502" s="97"/>
      <c r="F502" s="97"/>
      <c r="G502" s="97"/>
      <c r="I502" s="196"/>
      <c r="J502" s="196"/>
    </row>
    <row r="503" s="96" customFormat="true" ht="15.75" hidden="false" customHeight="true" outlineLevel="0" collapsed="false">
      <c r="A503" s="200"/>
      <c r="C503" s="98"/>
      <c r="D503" s="98"/>
      <c r="E503" s="97"/>
      <c r="F503" s="97"/>
      <c r="G503" s="97"/>
      <c r="H503" s="182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J504" s="97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196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212"/>
      <c r="J511" s="195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212"/>
      <c r="J512" s="195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238"/>
      <c r="J513" s="97"/>
    </row>
    <row r="514" s="96" customFormat="true" ht="15.75" hidden="false" customHeight="true" outlineLevel="0" collapsed="false">
      <c r="A514" s="191"/>
      <c r="D514" s="98"/>
      <c r="E514" s="97"/>
      <c r="F514" s="97"/>
      <c r="G514" s="97"/>
      <c r="I514" s="191"/>
      <c r="J514" s="199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A516" s="191"/>
      <c r="B516" s="191"/>
      <c r="C516" s="191"/>
      <c r="D516" s="192"/>
      <c r="E516" s="191"/>
      <c r="F516" s="191"/>
      <c r="G516" s="191"/>
      <c r="H516" s="191"/>
      <c r="I516" s="191"/>
      <c r="J516" s="199"/>
    </row>
    <row r="517" s="96" customFormat="true" ht="15.75" hidden="false" customHeight="true" outlineLevel="0" collapsed="false">
      <c r="B517" s="191"/>
      <c r="C517" s="191"/>
      <c r="D517" s="192"/>
      <c r="E517" s="191"/>
      <c r="F517" s="191"/>
      <c r="G517" s="191"/>
      <c r="H517" s="191"/>
    </row>
    <row r="518" s="96" customFormat="true" ht="15.75" hidden="false" customHeight="true" outlineLevel="0" collapsed="false"/>
    <row r="519" s="96" customFormat="true" ht="24.75" hidden="false" customHeight="true" outlineLevel="0" collapsed="false">
      <c r="A519" s="88" t="s">
        <v>482</v>
      </c>
      <c r="B519" s="88"/>
      <c r="C519" s="88"/>
      <c r="D519" s="88"/>
      <c r="E519" s="88"/>
      <c r="F519" s="88"/>
      <c r="G519" s="88"/>
      <c r="H519" s="88"/>
      <c r="I519" s="88"/>
      <c r="J519" s="88"/>
    </row>
    <row r="520" s="96" customFormat="true" ht="34.5" hidden="false" customHeight="true" outlineLevel="0" collapsed="false">
      <c r="A520" s="114" t="s">
        <v>319</v>
      </c>
      <c r="B520" s="115" t="s">
        <v>168</v>
      </c>
      <c r="C520" s="115" t="s">
        <v>168</v>
      </c>
      <c r="D520" s="116" t="s">
        <v>483</v>
      </c>
      <c r="E520" s="115" t="s">
        <v>321</v>
      </c>
      <c r="F520" s="239" t="s">
        <v>484</v>
      </c>
      <c r="G520" s="240"/>
      <c r="H520" s="116" t="s">
        <v>484</v>
      </c>
      <c r="I520" s="116" t="s">
        <v>485</v>
      </c>
      <c r="J520" s="117" t="s">
        <v>323</v>
      </c>
      <c r="N520" s="118" t="s">
        <v>168</v>
      </c>
      <c r="O520" s="118" t="s">
        <v>168</v>
      </c>
    </row>
    <row r="521" s="96" customFormat="true" ht="15.75" hidden="false" customHeight="true" outlineLevel="0" collapsed="false">
      <c r="A521" s="120" t="n">
        <f aca="false">IF(C521="","",1)</f>
        <v>1</v>
      </c>
      <c r="B521" s="121" t="str">
        <f aca="false">IF($D$127=5,N521,IF($D$127=6,N522,IF($D$127=8,N523,IF($D$127=10,N524,IF($D$127=12,N525,IF($D$127=14,N526,IF($D$127=18,N527,IF($D$127=20,N528,IF($D$127=22,N529,)))))))))</f>
        <v>กระจก 6 mm (สูง) (กว้าง)</v>
      </c>
      <c r="C521" s="121" t="str">
        <f aca="false">IF($D$127=5,O521,IF($D$127=6,O522,IF($D$127=8,O523,IF($D$127=10,O524,IF($D$127=12,O525,IF($D$127=14,O526,IF($D$127=18,O527,IF($D$127=20,O528,IF($D$127=22,O529,)))))))))</f>
        <v>GLASS thk.6 mm (H) (W)</v>
      </c>
      <c r="D521" s="123" t="n">
        <f aca="false">$J$123-215</f>
        <v>2310</v>
      </c>
      <c r="E521" s="120" t="s">
        <v>486</v>
      </c>
      <c r="F521" s="224" t="s">
        <v>487</v>
      </c>
      <c r="G521" s="224"/>
      <c r="H521" s="120" t="s">
        <v>592</v>
      </c>
      <c r="I521" s="225" t="n">
        <f aca="false">(($J$126-185-(113.25*3))/4)-13</f>
        <v>620.8125</v>
      </c>
      <c r="J521" s="226" t="n">
        <f aca="false">$J$120*4</f>
        <v>4</v>
      </c>
      <c r="M521" s="96" t="n">
        <f aca="false">ROW()</f>
        <v>521</v>
      </c>
      <c r="N521" s="62" t="s">
        <v>489</v>
      </c>
      <c r="O521" s="62" t="s">
        <v>490</v>
      </c>
    </row>
    <row r="522" s="96" customFormat="true" ht="15.75" hidden="false" customHeight="true" outlineLevel="0" collapsed="false">
      <c r="A522" s="269"/>
      <c r="B522" s="228"/>
      <c r="C522" s="228"/>
      <c r="D522" s="231"/>
      <c r="E522" s="167"/>
      <c r="F522" s="229"/>
      <c r="G522" s="242"/>
      <c r="H522" s="167"/>
      <c r="I522" s="231"/>
      <c r="J522" s="232"/>
      <c r="M522" s="96" t="n">
        <f aca="false">ROW()</f>
        <v>522</v>
      </c>
      <c r="N522" s="62" t="s">
        <v>491</v>
      </c>
      <c r="O522" s="62" t="s">
        <v>492</v>
      </c>
    </row>
    <row r="523" s="96" customFormat="true" ht="15.75" hidden="false" customHeight="true" outlineLevel="0" collapsed="false">
      <c r="A523" s="269"/>
      <c r="B523" s="228"/>
      <c r="C523" s="228"/>
      <c r="D523" s="231"/>
      <c r="E523" s="167"/>
      <c r="F523" s="229"/>
      <c r="G523" s="242"/>
      <c r="H523" s="167"/>
      <c r="I523" s="231"/>
      <c r="J523" s="232"/>
      <c r="M523" s="96" t="n">
        <f aca="false">ROW()</f>
        <v>523</v>
      </c>
      <c r="N523" s="62" t="s">
        <v>493</v>
      </c>
      <c r="O523" s="62" t="s">
        <v>494</v>
      </c>
    </row>
    <row r="524" s="96" customFormat="true" ht="15.75" hidden="false" customHeight="true" outlineLevel="0" collapsed="false">
      <c r="A524" s="130" t="str">
        <f aca="false">IF(B524="","",+""+1)</f>
        <v/>
      </c>
      <c r="B524" s="131"/>
      <c r="C524" s="131"/>
      <c r="D524" s="132"/>
      <c r="E524" s="130"/>
      <c r="F524" s="233"/>
      <c r="G524" s="270"/>
      <c r="H524" s="130"/>
      <c r="I524" s="142"/>
      <c r="J524" s="133"/>
      <c r="M524" s="96" t="n">
        <f aca="false">ROW()</f>
        <v>524</v>
      </c>
      <c r="N524" s="62" t="s">
        <v>495</v>
      </c>
      <c r="O524" s="62" t="s">
        <v>496</v>
      </c>
    </row>
    <row r="525" s="96" customFormat="true" ht="15.75" hidden="false" customHeight="true" outlineLevel="0" collapsed="false">
      <c r="A525" s="136" t="str">
        <f aca="false">IF(B525="","",+A524+1)</f>
        <v/>
      </c>
      <c r="B525" s="135"/>
      <c r="C525" s="135"/>
      <c r="D525" s="139"/>
      <c r="E525" s="136"/>
      <c r="F525" s="236"/>
      <c r="G525" s="237"/>
      <c r="H525" s="136"/>
      <c r="I525" s="180"/>
      <c r="J525" s="140"/>
      <c r="M525" s="96" t="n">
        <f aca="false">ROW()</f>
        <v>525</v>
      </c>
      <c r="N525" s="62" t="s">
        <v>497</v>
      </c>
      <c r="O525" s="62" t="s">
        <v>498</v>
      </c>
    </row>
    <row r="526" s="96" customFormat="true" ht="15.75" hidden="false" customHeight="true" outlineLevel="0" collapsed="false">
      <c r="A526" s="97"/>
      <c r="D526" s="98"/>
      <c r="E526" s="97"/>
      <c r="F526" s="97"/>
      <c r="G526" s="97"/>
      <c r="H526" s="97"/>
      <c r="I526" s="97"/>
      <c r="J526" s="196"/>
      <c r="M526" s="96" t="n">
        <f aca="false">ROW()</f>
        <v>526</v>
      </c>
      <c r="N526" s="62" t="s">
        <v>499</v>
      </c>
      <c r="O526" s="62" t="s">
        <v>500</v>
      </c>
    </row>
    <row r="527" customFormat="false" ht="14.25" hidden="false" customHeight="false" outlineLevel="0" collapsed="false">
      <c r="J527" s="92" t="str">
        <f aca="false">LEFT($J$111,13)&amp;"-05"</f>
        <v>FG-240-4P1L3R-05</v>
      </c>
      <c r="M527" s="96" t="n">
        <f aca="false">ROW()</f>
        <v>527</v>
      </c>
      <c r="N527" s="62" t="s">
        <v>501</v>
      </c>
      <c r="O527" s="62" t="s">
        <v>502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503</v>
      </c>
      <c r="O528" s="62" t="s">
        <v>504</v>
      </c>
    </row>
    <row r="529" customFormat="false" ht="14.25" hidden="false" customHeight="false" outlineLevel="0" collapsed="false">
      <c r="M529" s="96" t="n">
        <f aca="false">ROW()</f>
        <v>529</v>
      </c>
      <c r="N529" s="62" t="s">
        <v>505</v>
      </c>
      <c r="O529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5:J155"/>
    <mergeCell ref="I156:J156"/>
    <mergeCell ref="I157:J157"/>
    <mergeCell ref="I158:J158"/>
    <mergeCell ref="I159:J159"/>
    <mergeCell ref="D160:D161"/>
    <mergeCell ref="H160:H161"/>
    <mergeCell ref="I160:J161"/>
    <mergeCell ref="D162:D163"/>
    <mergeCell ref="H162:H163"/>
    <mergeCell ref="I162:J162"/>
    <mergeCell ref="I163:J166"/>
    <mergeCell ref="D164:D168"/>
    <mergeCell ref="H164:H168"/>
    <mergeCell ref="I167:J167"/>
    <mergeCell ref="I168:J168"/>
    <mergeCell ref="D169:D170"/>
    <mergeCell ref="H169:H170"/>
    <mergeCell ref="D171:D172"/>
    <mergeCell ref="H171:H172"/>
    <mergeCell ref="A173:J173"/>
    <mergeCell ref="A213:J213"/>
    <mergeCell ref="C308:E308"/>
    <mergeCell ref="A320:J320"/>
    <mergeCell ref="F330:G330"/>
    <mergeCell ref="F331:G331"/>
    <mergeCell ref="F334:G334"/>
    <mergeCell ref="A427:J427"/>
    <mergeCell ref="A519:J519"/>
    <mergeCell ref="F521:G521"/>
  </mergeCells>
  <dataValidations count="3">
    <dataValidation allowBlank="true" errorStyle="stop" operator="between" showDropDown="false" showErrorMessage="true" showInputMessage="true" sqref="D127:G127" type="list">
      <formula1>$N$120:$N$128</formula1>
      <formula2>0</formula2>
    </dataValidation>
    <dataValidation allowBlank="true" errorStyle="stop" operator="between" showDropDown="false" showErrorMessage="true" showInputMessage="true" sqref="D129:G129" type="list">
      <formula1>$O$120</formula1>
      <formula2>0</formula2>
    </dataValidation>
    <dataValidation allowBlank="true" errorStyle="stop" operator="between" showDropDown="false" showErrorMessage="true" showInputMessage="true" sqref="D123:G123" type="list">
      <formula1>$P$119:$P$128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AJ528"/>
  <sheetViews>
    <sheetView showFormulas="false" showGridLines="false" showRowColHeaders="true" showZeros="true" rightToLeft="false" tabSelected="false" showOutlineSymbols="true" defaultGridColor="true" view="pageBreakPreview" topLeftCell="A109" colorId="64" zoomScale="75" zoomScaleNormal="75" zoomScalePageLayoutView="75" workbookViewId="0">
      <selection pane="topLeft" activeCell="J128" activeCellId="0" sqref="J128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34"/>
    <col collapsed="false" customWidth="true" hidden="false" outlineLevel="0" max="4" min="4" style="73" width="13.44"/>
    <col collapsed="false" customWidth="true" hidden="true" outlineLevel="1" max="5" min="5" style="0" width="11.89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7.67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false" outlineLevel="0" max="11" min="11" style="0" width="10.66"/>
    <col collapsed="false" customWidth="true" hidden="false" outlineLevel="0" max="12" min="12" style="0" width="10"/>
    <col collapsed="false" customWidth="true" hidden="false" outlineLevel="1" max="14" min="14" style="0" width="22.56"/>
    <col collapsed="false" customWidth="true" hidden="false" outlineLevel="1" max="15" min="15" style="0" width="25.67"/>
    <col collapsed="false" customWidth="true" hidden="false" outlineLevel="1" max="16" min="16" style="0" width="41.56"/>
    <col collapsed="false" customWidth="true" hidden="false" outlineLevel="1" max="17" min="17" style="0" width="9.33"/>
    <col collapsed="false" customWidth="true" hidden="false" outlineLevel="1" max="18" min="18" style="0" width="13.88"/>
    <col collapsed="false" customWidth="true" hidden="false" outlineLevel="1" max="19" min="19" style="0" width="17.67"/>
    <col collapsed="false" customWidth="true" hidden="false" outlineLevel="1" max="20" min="20" style="0" width="15"/>
    <col collapsed="false" customWidth="true" hidden="false" outlineLevel="1" max="21" min="21" style="0" width="23.44"/>
    <col collapsed="false" customWidth="true" hidden="false" outlineLevel="1" max="22" min="22" style="0" width="10.66"/>
    <col collapsed="false" customWidth="true" hidden="false" outlineLevel="1" max="23" min="23" style="0" width="10.56"/>
  </cols>
  <sheetData>
    <row r="1" customFormat="false" ht="12.75" hidden="false" customHeight="true" outlineLevel="0" collapsed="false">
      <c r="A1" s="2" t="s">
        <v>593</v>
      </c>
    </row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594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>
      <c r="G45" s="91"/>
    </row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595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246" t="s">
        <v>285</v>
      </c>
      <c r="B117" s="246"/>
      <c r="C117" s="246"/>
      <c r="D117" s="246"/>
      <c r="E117" s="246"/>
      <c r="F117" s="246"/>
      <c r="G117" s="246"/>
      <c r="H117" s="246"/>
      <c r="I117" s="246"/>
      <c r="J117" s="246"/>
      <c r="K117" s="83"/>
      <c r="L117" s="87"/>
      <c r="M117" s="87"/>
      <c r="N117" s="87"/>
    </row>
    <row r="118" s="96" customFormat="true" ht="15" hidden="false" customHeight="true" outlineLevel="0" collapsed="false">
      <c r="A118" s="97"/>
      <c r="C118" s="81"/>
      <c r="D118" s="98"/>
      <c r="E118" s="83"/>
      <c r="J118" s="99"/>
      <c r="K118" s="83"/>
    </row>
    <row r="119" s="96" customFormat="true" ht="18" hidden="false" customHeight="true" outlineLevel="0" collapsed="false">
      <c r="A119" s="97"/>
      <c r="C119" s="100" t="s">
        <v>286</v>
      </c>
      <c r="D119" s="271" t="s">
        <v>596</v>
      </c>
      <c r="E119" s="271"/>
      <c r="F119" s="271"/>
      <c r="G119" s="271"/>
      <c r="I119" s="83"/>
      <c r="J119" s="97"/>
      <c r="N119" s="258" t="s">
        <v>288</v>
      </c>
      <c r="O119" s="97" t="s">
        <v>289</v>
      </c>
      <c r="P119" s="102" t="s">
        <v>290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5</v>
      </c>
      <c r="O120" s="97" t="s">
        <v>509</v>
      </c>
      <c r="P120" s="106" t="s">
        <v>294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6</v>
      </c>
      <c r="O121" s="97" t="s">
        <v>296</v>
      </c>
      <c r="P121" s="106" t="s">
        <v>297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8</v>
      </c>
      <c r="P122" s="106" t="s">
        <v>299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308</v>
      </c>
      <c r="E123" s="101"/>
      <c r="F123" s="101"/>
      <c r="G123" s="101"/>
      <c r="H123" s="104" t="s">
        <v>302</v>
      </c>
      <c r="I123" s="104"/>
      <c r="J123" s="105" t="n">
        <v>2195</v>
      </c>
      <c r="N123" s="259" t="n">
        <v>10</v>
      </c>
      <c r="P123" s="106" t="s">
        <v>303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12</v>
      </c>
      <c r="P124" s="106" t="s">
        <v>305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272" t="s">
        <v>307</v>
      </c>
      <c r="E125" s="273"/>
      <c r="F125" s="273"/>
      <c r="G125" s="274"/>
      <c r="H125" s="107"/>
      <c r="I125" s="107"/>
      <c r="J125" s="97"/>
      <c r="K125" s="110"/>
      <c r="L125" s="110"/>
      <c r="N125" s="259" t="n">
        <v>14</v>
      </c>
      <c r="P125" s="106" t="s">
        <v>308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3275</v>
      </c>
      <c r="K126" s="110"/>
      <c r="L126" s="110"/>
      <c r="N126" s="259" t="n">
        <v>18</v>
      </c>
      <c r="P126" s="106" t="s">
        <v>311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259" t="n">
        <v>20</v>
      </c>
      <c r="P127" s="106" t="s">
        <v>313</v>
      </c>
    </row>
    <row r="128" s="96" customFormat="true" ht="18.75" hidden="false" customHeight="true" outlineLevel="0" collapsed="false">
      <c r="C128" s="108" t="s">
        <v>314</v>
      </c>
      <c r="I128" s="97"/>
      <c r="J128" s="97"/>
      <c r="N128" s="259" t="n">
        <v>22</v>
      </c>
      <c r="P128" s="106" t="s">
        <v>315</v>
      </c>
    </row>
    <row r="129" s="96" customFormat="true" ht="15" hidden="false" customHeight="true" outlineLevel="0" collapsed="false">
      <c r="A129" s="89" t="str">
        <f aca="false">A18</f>
        <v>240-4 Panel (2L2R)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  <c r="P129" s="97" t="s">
        <v>597</v>
      </c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  <c r="P130" s="97" t="s">
        <v>486</v>
      </c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3215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8</v>
      </c>
      <c r="U133" s="127" t="s">
        <v>572</v>
      </c>
      <c r="V133" s="247" t="n">
        <f aca="false">($J$126-185-(113.25*3))/4</f>
        <v>687.5625</v>
      </c>
      <c r="W133" s="129" t="n">
        <f aca="false">$J$121*T133</f>
        <v>0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3189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8</v>
      </c>
      <c r="U134" s="127" t="s">
        <v>572</v>
      </c>
      <c r="V134" s="247" t="n">
        <f aca="false">($J$126-185-(113.25*3))/4</f>
        <v>687.5625</v>
      </c>
      <c r="W134" s="134" t="n">
        <f aca="false">$J$121*T134</f>
        <v>0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1.377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3215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8</v>
      </c>
      <c r="U135" s="127" t="s">
        <v>572</v>
      </c>
      <c r="V135" s="247" t="n">
        <f aca="false">($J$126-185-(113.25*3))/4</f>
        <v>687.5625</v>
      </c>
      <c r="W135" s="137" t="n">
        <f aca="false">$J$121*T135</f>
        <v>0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3215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8</v>
      </c>
      <c r="U136" s="127" t="s">
        <v>360</v>
      </c>
      <c r="V136" s="138" t="n">
        <f aca="false">$J$123-242</f>
        <v>1953</v>
      </c>
      <c r="W136" s="129" t="n">
        <f aca="false">$J$121*T136</f>
        <v>0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2195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8</v>
      </c>
      <c r="U137" s="130" t="s">
        <v>360</v>
      </c>
      <c r="V137" s="133" t="n">
        <f aca="false">$J$123-242</f>
        <v>1953</v>
      </c>
      <c r="W137" s="134" t="n">
        <f aca="false">$J$121*T137</f>
        <v>0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2195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0.169</v>
      </c>
      <c r="S138" s="135" t="s">
        <v>372</v>
      </c>
      <c r="T138" s="136" t="n">
        <v>8</v>
      </c>
      <c r="U138" s="136" t="s">
        <v>360</v>
      </c>
      <c r="V138" s="140" t="n">
        <f aca="false">$J$123-242</f>
        <v>1953</v>
      </c>
      <c r="W138" s="137" t="n">
        <f aca="false">$J$121*T138</f>
        <v>0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2099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2099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4</v>
      </c>
      <c r="H141" s="130" t="s">
        <v>598</v>
      </c>
      <c r="I141" s="141" t="n">
        <f aca="false">(($J$126/2)-60-(2+1)*4)/2</f>
        <v>782.75</v>
      </c>
      <c r="J141" s="134" t="n">
        <f aca="false">$J$120*G141</f>
        <v>4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4</v>
      </c>
      <c r="H142" s="130" t="s">
        <v>598</v>
      </c>
      <c r="I142" s="141" t="n">
        <f aca="false">(($J$126/2)-60-(2+1)*4)/2</f>
        <v>782.75</v>
      </c>
      <c r="J142" s="134" t="n">
        <f aca="false">$J$120*G142</f>
        <v>4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6</v>
      </c>
      <c r="H143" s="130" t="s">
        <v>389</v>
      </c>
      <c r="I143" s="133" t="n">
        <f aca="false">$J$123-92</f>
        <v>2103</v>
      </c>
      <c r="J143" s="134" t="n">
        <f aca="false">$J$120*G143</f>
        <v>6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1</v>
      </c>
      <c r="H144" s="130" t="s">
        <v>389</v>
      </c>
      <c r="I144" s="133" t="n">
        <f aca="false">$J$123-92</f>
        <v>2103</v>
      </c>
      <c r="J144" s="134" t="n">
        <f aca="false">$J$120*G144</f>
        <v>1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390</v>
      </c>
      <c r="C145" s="131" t="s">
        <v>391</v>
      </c>
      <c r="D145" s="132" t="s">
        <v>74</v>
      </c>
      <c r="E145" s="130" t="n">
        <v>1.106</v>
      </c>
      <c r="F145" s="132" t="s">
        <v>563</v>
      </c>
      <c r="G145" s="130" t="n">
        <v>1</v>
      </c>
      <c r="H145" s="130" t="s">
        <v>389</v>
      </c>
      <c r="I145" s="133" t="n">
        <f aca="false">$J$123-92</f>
        <v>2103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6" s="131" t="str">
        <f aca="false">IF($D$127=5,Q133,IF($D$127=6,Q133,IF($D$127=8,Q134,IF($D$127=10,Q134,IF($D$127=12,Q134,IF($D$127=14,Q135,IF($D$127=18,Q135,IF($D$127=20,Q135,IF($D$127=22,Q135,)))))))))</f>
        <v>B24008</v>
      </c>
      <c r="E146" s="131" t="n">
        <f aca="false">IF($D$127=5,R133,IF($D$127=6,R133,IF($D$127=8,R134,IF($D$127=10,R134,IF($D$127=12,R134,IF($D$127=14,R135,IF($D$127=18,R135,IF($D$127=20,R135,IF($D$127=22,R135,)))))))))</f>
        <v>0.231</v>
      </c>
      <c r="F146" s="131" t="str">
        <f aca="false">IF($D$127=5,S133,IF($D$127=6,S133,IF($D$127=8,S134,IF($D$127=10,S134,IF($D$127=12,S134,IF($D$127=14,S135,IF($D$127=18,S135,IF($D$127=20,S135,IF($D$127=22,S135,)))))))))</f>
        <v>B24008-001</v>
      </c>
      <c r="G146" s="130" t="n">
        <f aca="false">IF($D$127=5,T133,IF($D$127=6,T133,IF($D$127=8,T134,IF($D$127=10,T134,IF($D$127=12,T134,IF($D$127=14,T135,IF($D$127=18,T135,IF($D$127=20,T135,IF($D$127=22,T135,)))))))))</f>
        <v>8</v>
      </c>
      <c r="H146" s="130" t="str">
        <f aca="false">IF($D$127=5,U133,IF($D$127=6,U133,IF($D$127=8,U134,IF($D$127=10,U134,IF($D$127=12,U134,IF($D$127=14,U135,IF($D$127=18,U135,IF($D$127=20,U135,IF($D$127=22,U135,)))))))))</f>
        <v>(W-185-(113.25 × 3))/4</v>
      </c>
      <c r="I146" s="141" t="n">
        <f aca="false">IF($D$127=5,V133,IF($D$127=6,V133,IF($D$127=8,V134,IF($D$127=10,V134,IF($D$127=12,V134,IF($D$127=14,V135,IF($D$127=18,V135,IF($D$127=20,V135,IF($D$127=22,V135,)))))))))</f>
        <v>687.5625</v>
      </c>
      <c r="J146" s="134" t="n">
        <f aca="false">$J$120*G146</f>
        <v>8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7" s="131" t="str">
        <f aca="false">IF($D$127=5,Q136,IF($D$127=6,Q136,IF($D$127=8,Q137,IF($D$127=10,Q137,IF($D$127=12,Q137,IF($D$127=14,Q138,IF($D$127=18,Q138,IF($D$127=20,Q138,IF($D$127=22,Q138,)))))))))</f>
        <v>B24008</v>
      </c>
      <c r="E147" s="131" t="n">
        <f aca="false">IF($D$127=5,R136,IF($D$127=6,R136,IF($D$127=8,R137,IF($D$127=10,R137,IF($D$127=12,R137,IF($D$127=14,R138,IF($D$127=18,R138,IF($D$127=20,R138,IF($D$127=22,R138,)))))))))</f>
        <v>0.231</v>
      </c>
      <c r="F147" s="131" t="str">
        <f aca="false">IF($D$127=5,S136,IF($D$127=6,S136,IF($D$127=8,S137,IF($D$127=10,S137,IF($D$127=12,S137,IF($D$127=14,S138,IF($D$127=18,S138,IF($D$127=20,S138,IF($D$127=22,S138,)))))))))</f>
        <v>B24008-002</v>
      </c>
      <c r="G147" s="130" t="n">
        <f aca="false">IF($D$127=5,T136,IF($D$127=6,T136,IF($D$127=8,T137,IF($D$127=10,T137,IF($D$127=12,T137,IF($D$127=14,T138,IF($D$127=18,T138,IF($D$127=20,T138,IF($D$127=22,T138,)))))))))</f>
        <v>8</v>
      </c>
      <c r="H147" s="130" t="str">
        <f aca="false">IF($D$127=5,U136,IF($D$127=6,U136,IF($D$127=8,U137,IF($D$127=10,U137,IF($D$127=12,U137,IF($D$127=14,U138,IF($D$127=18,U138,IF($D$127=20,U138,IF($D$127=22,U138,)))))))))</f>
        <v>H-242</v>
      </c>
      <c r="I147" s="133" t="n">
        <f aca="false">IF($D$127=5,V136,IF($D$127=6,V136,IF($D$127=8,V137,IF($D$127=10,V137,IF($D$127=12,V137,IF($D$127=14,V138,IF($D$127=18,V138,IF($D$127=20,V138,IF($D$127=22,V138,)))))))))</f>
        <v>1953</v>
      </c>
      <c r="J147" s="134" t="n">
        <f aca="false">$J$120*G147</f>
        <v>8</v>
      </c>
    </row>
    <row r="148" s="96" customFormat="true" ht="18" hidden="false" customHeight="true" outlineLevel="0" collapsed="false">
      <c r="A148" s="130" t="str">
        <f aca="false">IF(B148="","",+A147+1)</f>
        <v/>
      </c>
      <c r="B148" s="131"/>
      <c r="C148" s="131"/>
      <c r="D148" s="132"/>
      <c r="E148" s="130"/>
      <c r="F148" s="132"/>
      <c r="G148" s="130"/>
      <c r="H148" s="130"/>
      <c r="I148" s="133"/>
      <c r="J148" s="134" t="n">
        <f aca="false">$J$120*G148</f>
        <v>0</v>
      </c>
    </row>
    <row r="149" s="96" customFormat="true" ht="18" hidden="false" customHeight="true" outlineLevel="0" collapsed="false">
      <c r="A149" s="130" t="str">
        <f aca="false">IF(B149="","",+A148+1)</f>
        <v/>
      </c>
      <c r="B149" s="131"/>
      <c r="C149" s="131"/>
      <c r="D149" s="132"/>
      <c r="E149" s="130"/>
      <c r="F149" s="132"/>
      <c r="G149" s="130"/>
      <c r="H149" s="130"/>
      <c r="I149" s="133"/>
      <c r="J149" s="134"/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33"/>
      <c r="J150" s="134" t="n">
        <f aca="false">$J$120*G150</f>
        <v>0</v>
      </c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33"/>
      <c r="J151" s="134" t="n">
        <f aca="false">$J$120*G151</f>
        <v>0</v>
      </c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260" t="s">
        <v>319</v>
      </c>
      <c r="B154" s="261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275" t="s">
        <v>599</v>
      </c>
      <c r="J154" s="275"/>
      <c r="K154" s="96" t="n">
        <v>110</v>
      </c>
    </row>
    <row r="155" s="96" customFormat="true" ht="15" hidden="false" customHeight="true" outlineLevel="1" collapsed="false">
      <c r="A155" s="262" t="n">
        <f aca="false">IF(B133="","",1)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276" t="n">
        <f aca="false">VLOOKUP(C155,$C$133:$H$153,3,0)</f>
        <v>1.603</v>
      </c>
      <c r="F155" s="263" t="n">
        <f aca="false">VLOOKUP(C155,$C$133:$J$153,7,0)</f>
        <v>3215</v>
      </c>
      <c r="G155" s="155" t="n">
        <f aca="false">VLOOKUP(C155,$C$133:$J$153,8,0)</f>
        <v>1</v>
      </c>
      <c r="H155" s="277" t="n">
        <f aca="false">ROUNDUP((F155*G155)/6400,0)</f>
        <v>1</v>
      </c>
      <c r="I155" s="278" t="n">
        <f aca="false">$K$154*K155</f>
        <v>566.90095</v>
      </c>
      <c r="J155" s="278"/>
      <c r="K155" s="172" t="n">
        <f aca="false">((F155*G155)/1000)*E155</f>
        <v>5.153645</v>
      </c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276" t="n">
        <f aca="false">VLOOKUP(C156,$C$133:$H$153,3,0)</f>
        <v>0.278</v>
      </c>
      <c r="F156" s="263" t="n">
        <f aca="false">VLOOKUP(C156,$C$133:$I$153,7,0)</f>
        <v>3189</v>
      </c>
      <c r="G156" s="155" t="n">
        <f aca="false">VLOOKUP(C156,$C$133:$J$153,8,0)</f>
        <v>1</v>
      </c>
      <c r="H156" s="155" t="n">
        <f aca="false">ROUNDUP((F156*G156)/6400,0)</f>
        <v>1</v>
      </c>
      <c r="I156" s="279" t="n">
        <f aca="false">$K$154*K156</f>
        <v>97.51962</v>
      </c>
      <c r="J156" s="279"/>
      <c r="K156" s="172" t="n">
        <f aca="false">((F156*G156)/1000)*E156</f>
        <v>0.886542</v>
      </c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276" t="n">
        <f aca="false">VLOOKUP(C157,$C$133:$H$153,3,0)</f>
        <v>1.377</v>
      </c>
      <c r="F157" s="263" t="n">
        <f aca="false">VLOOKUP(C157,$C$133:$I$153,7,0)</f>
        <v>3215</v>
      </c>
      <c r="G157" s="155" t="n">
        <f aca="false">VLOOKUP(C157,$C$133:$J$153,8,0)</f>
        <v>1</v>
      </c>
      <c r="H157" s="155" t="n">
        <f aca="false">ROUNDUP((F157*G157)/6400,0)</f>
        <v>1</v>
      </c>
      <c r="I157" s="279" t="n">
        <f aca="false">$K$154*K157</f>
        <v>486.97605</v>
      </c>
      <c r="J157" s="279"/>
      <c r="K157" s="172" t="n">
        <f aca="false">((F157*G157)/1000)*E157</f>
        <v>4.427055</v>
      </c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276" t="n">
        <f aca="false">VLOOKUP(C158,$C$133:$H$153,3,0)</f>
        <v>0.516</v>
      </c>
      <c r="F158" s="263" t="n">
        <f aca="false">VLOOKUP(C158,$C$133:$I$153,7,0)</f>
        <v>3215</v>
      </c>
      <c r="G158" s="155" t="n">
        <f aca="false">VLOOKUP(C158,$C$133:$J$153,8,0)</f>
        <v>1</v>
      </c>
      <c r="H158" s="155" t="n">
        <f aca="false">ROUNDUP((F158*G158)/6400,0)</f>
        <v>1</v>
      </c>
      <c r="I158" s="279" t="n">
        <f aca="false">$K$154*K158</f>
        <v>182.4834</v>
      </c>
      <c r="J158" s="279"/>
      <c r="K158" s="172" t="n">
        <f aca="false">((F158*G158)/1000)*E158</f>
        <v>1.65894</v>
      </c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276" t="n">
        <f aca="false">VLOOKUP(C159,$C$133:$H$153,3,0)</f>
        <v>0.893</v>
      </c>
      <c r="F159" s="263" t="n">
        <f aca="false">VLOOKUP(C159,$C$133:$I$153,7,0)</f>
        <v>2195</v>
      </c>
      <c r="G159" s="155" t="n">
        <f aca="false">VLOOKUP(C159,$C$133:$J$153,8,0)</f>
        <v>1</v>
      </c>
      <c r="H159" s="280" t="n">
        <f aca="false">ROUNDUP(((F159*G159)+(F160*G160))/6400,0)</f>
        <v>1</v>
      </c>
      <c r="I159" s="279" t="n">
        <f aca="false">$K$154*K159</f>
        <v>215.61485</v>
      </c>
      <c r="J159" s="279"/>
      <c r="K159" s="172" t="n">
        <f aca="false">((F159*G159)/1000)*E159</f>
        <v>1.960135</v>
      </c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276" t="n">
        <f aca="false">VLOOKUP(C160,$C$133:$H$153,3,0)</f>
        <v>0.893</v>
      </c>
      <c r="F160" s="263" t="n">
        <f aca="false">VLOOKUP(C160,$C$133:$I$153,7,0)</f>
        <v>2195</v>
      </c>
      <c r="G160" s="155" t="n">
        <f aca="false">VLOOKUP(C160,$C$133:$J$153,8,0)</f>
        <v>1</v>
      </c>
      <c r="H160" s="280"/>
      <c r="I160" s="279" t="n">
        <f aca="false">$K$154*K160</f>
        <v>215.61485</v>
      </c>
      <c r="J160" s="279"/>
      <c r="K160" s="172" t="n">
        <f aca="false">((F160*G160)/1000)*E160</f>
        <v>1.960135</v>
      </c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276" t="n">
        <f aca="false">VLOOKUP(C161,$C$133:$H$153,3,0)</f>
        <v>0.235</v>
      </c>
      <c r="F161" s="263" t="n">
        <f aca="false">VLOOKUP(C161,$C$133:$I$153,7,0)</f>
        <v>2099</v>
      </c>
      <c r="G161" s="155" t="n">
        <f aca="false">VLOOKUP(C161,$C$133:$J$153,8,0)</f>
        <v>1</v>
      </c>
      <c r="H161" s="280" t="n">
        <f aca="false">ROUNDUP(((F161*G161)+(F162*G162))/6400,0)</f>
        <v>1</v>
      </c>
      <c r="I161" s="279" t="n">
        <f aca="false">$K$154*K161</f>
        <v>54.25915</v>
      </c>
      <c r="J161" s="279"/>
      <c r="K161" s="172" t="n">
        <f aca="false">((F161*G161)/1000)*E161</f>
        <v>0.493265</v>
      </c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276" t="n">
        <f aca="false">VLOOKUP(C162,$C$133:$H$153,3,0)</f>
        <v>0.235</v>
      </c>
      <c r="F162" s="263" t="n">
        <f aca="false">VLOOKUP(C162,$C$133:$I$153,7,0)</f>
        <v>2099</v>
      </c>
      <c r="G162" s="155" t="n">
        <f aca="false">VLOOKUP(C162,$C$133:$J$153,8,0)</f>
        <v>1</v>
      </c>
      <c r="H162" s="280"/>
      <c r="I162" s="279" t="n">
        <f aca="false">$K$154*K162</f>
        <v>54.25915</v>
      </c>
      <c r="J162" s="279"/>
      <c r="K162" s="172" t="n">
        <f aca="false">((F162*G162)/1000)*E162</f>
        <v>0.493265</v>
      </c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276" t="n">
        <f aca="false">VLOOKUP(C163,$C$133:$H$153,3,0)</f>
        <v>1.106</v>
      </c>
      <c r="F163" s="267" t="n">
        <f aca="false">VLOOKUP(C163,$C$133:$I$153,7,0)</f>
        <v>782.75</v>
      </c>
      <c r="G163" s="155" t="n">
        <f aca="false">VLOOKUP(C163,$C$133:$J$153,8,0)</f>
        <v>4</v>
      </c>
      <c r="H163" s="280" t="n">
        <f aca="false">ROUNDUP(((F163*G163)+(F164*G164)+(F165*G165)+(F166*G166)+(F167*G167))/6400,0)</f>
        <v>4</v>
      </c>
      <c r="I163" s="279" t="n">
        <f aca="false">$K$154*K163</f>
        <v>380.91746</v>
      </c>
      <c r="J163" s="279"/>
      <c r="K163" s="172" t="n">
        <f aca="false">((F163*G163)/1000)*E163</f>
        <v>3.462886</v>
      </c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276" t="n">
        <f aca="false">VLOOKUP(C164,$C$133:$H$153,3,0)</f>
        <v>1.106</v>
      </c>
      <c r="F164" s="267" t="n">
        <f aca="false">VLOOKUP(C164,$C$133:$I$153,7,0)</f>
        <v>782.75</v>
      </c>
      <c r="G164" s="155" t="n">
        <f aca="false">VLOOKUP(C164,$C$133:$J$153,8,0)</f>
        <v>4</v>
      </c>
      <c r="H164" s="280"/>
      <c r="I164" s="279" t="n">
        <f aca="false">$K$154*K164</f>
        <v>380.91746</v>
      </c>
      <c r="J164" s="279"/>
      <c r="K164" s="172" t="n">
        <f aca="false">((F164*G164)/1000)*E164</f>
        <v>3.462886</v>
      </c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276" t="n">
        <f aca="false">VLOOKUP(C165,$C$133:$H$153,3,0)</f>
        <v>1.106</v>
      </c>
      <c r="F165" s="263" t="n">
        <f aca="false">VLOOKUP(C165,$C$133:$I$153,7,0)</f>
        <v>2103</v>
      </c>
      <c r="G165" s="155" t="n">
        <f aca="false">VLOOKUP(C165,$C$133:$J$153,8,0)</f>
        <v>6</v>
      </c>
      <c r="H165" s="280"/>
      <c r="I165" s="279" t="n">
        <f aca="false">$K$154*K165</f>
        <v>1535.10588</v>
      </c>
      <c r="J165" s="279"/>
      <c r="K165" s="172" t="n">
        <f aca="false">((F165*G165)/1000)*E165</f>
        <v>13.955508</v>
      </c>
    </row>
    <row r="166" s="96" customFormat="true" ht="13.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276" t="n">
        <f aca="false">VLOOKUP(C166,$C$133:$H$153,3,0)</f>
        <v>1.106</v>
      </c>
      <c r="F166" s="263" t="n">
        <f aca="false">VLOOKUP(C166,$C$133:$I$153,7,0)</f>
        <v>2103</v>
      </c>
      <c r="G166" s="155" t="n">
        <f aca="false">VLOOKUP(C166,$C$133:$J$153,8,0)</f>
        <v>1</v>
      </c>
      <c r="H166" s="280"/>
      <c r="I166" s="279" t="n">
        <f aca="false">$K$154*K166</f>
        <v>255.85098</v>
      </c>
      <c r="J166" s="279"/>
      <c r="K166" s="172" t="n">
        <f aca="false">((F166*G166)/1000)*E166</f>
        <v>2.325918</v>
      </c>
    </row>
    <row r="167" s="96" customFormat="true" ht="15" hidden="false" customHeight="true" outlineLevel="1" collapsed="false">
      <c r="A167" s="158" t="n">
        <f aca="false">IF(B167="","",+A166+1)</f>
        <v>13</v>
      </c>
      <c r="B167" s="153" t="str">
        <f aca="false">B145</f>
        <v>เสากุญแจ</v>
      </c>
      <c r="C167" s="153" t="str">
        <f aca="false">C145</f>
        <v>SASH (Ver) LOCK </v>
      </c>
      <c r="D167" s="159"/>
      <c r="E167" s="276" t="n">
        <f aca="false">VLOOKUP(C167,$C$133:$H$153,3,0)</f>
        <v>1.106</v>
      </c>
      <c r="F167" s="263" t="n">
        <f aca="false">VLOOKUP(C167,$C$133:$I$153,7,0)</f>
        <v>2103</v>
      </c>
      <c r="G167" s="155" t="n">
        <f aca="false">VLOOKUP(C167,$C$133:$J$153,8,0)</f>
        <v>1</v>
      </c>
      <c r="H167" s="280"/>
      <c r="I167" s="279" t="n">
        <f aca="false">$K$154*K167</f>
        <v>255.85098</v>
      </c>
      <c r="J167" s="279"/>
      <c r="K167" s="172" t="n">
        <f aca="false">((F167*G167)/1000)*E167</f>
        <v>2.325918</v>
      </c>
    </row>
    <row r="168" s="96" customFormat="true" ht="13.5" hidden="false" customHeight="true" outlineLevel="1" collapsed="false">
      <c r="A168" s="158" t="n">
        <f aca="false">IF(B168="","",+A167+1)</f>
        <v>14</v>
      </c>
      <c r="B168" s="153" t="str">
        <f aca="false">B146</f>
        <v>5-6mm คิ้วตบกระจกแนวนอน</v>
      </c>
      <c r="C168" s="153" t="str">
        <f aca="false">C146</f>
        <v>5-6mm GLAZING BEAD HORIZONTAL</v>
      </c>
      <c r="D168" s="159" t="str">
        <f aca="false">VLOOKUP(C168,$C$133:$H$153,2,0)</f>
        <v>B24008</v>
      </c>
      <c r="E168" s="276" t="n">
        <f aca="false">VLOOKUP(C168,$C$133:$H$153,3,0)</f>
        <v>0.231</v>
      </c>
      <c r="F168" s="267" t="n">
        <f aca="false">VLOOKUP(C168,$C$133:$I$153,7,0)</f>
        <v>687.5625</v>
      </c>
      <c r="G168" s="155" t="n">
        <f aca="false">VLOOKUP(C168,$C$133:$J$153,8,0)</f>
        <v>8</v>
      </c>
      <c r="H168" s="280" t="n">
        <f aca="false">ROUNDUP(((F168*G168)+(F169*G169))/6400,0)</f>
        <v>4</v>
      </c>
      <c r="I168" s="279" t="n">
        <f aca="false">$K$154*K168</f>
        <v>139.767705</v>
      </c>
      <c r="J168" s="279"/>
      <c r="K168" s="172" t="n">
        <f aca="false">((F168*G168)/1000)*E168</f>
        <v>1.2706155</v>
      </c>
    </row>
    <row r="169" s="96" customFormat="true" ht="13.5" hidden="false" customHeight="true" outlineLevel="1" collapsed="false">
      <c r="A169" s="158" t="n">
        <f aca="false">IF(B169="","",+A168+1)</f>
        <v>15</v>
      </c>
      <c r="B169" s="153" t="str">
        <f aca="false">B147</f>
        <v>5-6mm คิ้วตบกระจกแนวตั้ง</v>
      </c>
      <c r="C169" s="153" t="str">
        <f aca="false">C147</f>
        <v>5-6mm GLAZING BEAD VERTICAL</v>
      </c>
      <c r="D169" s="159"/>
      <c r="E169" s="276" t="n">
        <f aca="false">VLOOKUP(C169,$C$133:$H$153,3,0)</f>
        <v>0.231</v>
      </c>
      <c r="F169" s="263" t="n">
        <f aca="false">VLOOKUP(C169,$C$133:$I$153,7,0)</f>
        <v>1953</v>
      </c>
      <c r="G169" s="155" t="n">
        <f aca="false">VLOOKUP(C169,$C$133:$J$153,8,0)</f>
        <v>8</v>
      </c>
      <c r="H169" s="280"/>
      <c r="I169" s="279" t="n">
        <f aca="false">$K$154*K169</f>
        <v>397.00584</v>
      </c>
      <c r="J169" s="279"/>
      <c r="K169" s="172" t="n">
        <f aca="false">((F169*G169)/1000)*E169</f>
        <v>3.609144</v>
      </c>
    </row>
    <row r="170" s="202" customFormat="true" ht="15" hidden="false" customHeight="true" outlineLevel="1" collapsed="false">
      <c r="A170" s="158"/>
      <c r="B170" s="153" t="n">
        <f aca="false">B148</f>
        <v>0</v>
      </c>
      <c r="C170" s="153" t="n">
        <f aca="false">C148</f>
        <v>0</v>
      </c>
      <c r="D170" s="154" t="str">
        <f aca="false">IFERROR(VLOOKUP(C170,$C$133:$H$153,2,0),"")</f>
        <v/>
      </c>
      <c r="E170" s="155" t="str">
        <f aca="false">IFERROR(VLOOKUP(C170,$C$133:$H$153,3,0),"")</f>
        <v/>
      </c>
      <c r="F170" s="263" t="str">
        <f aca="false">IFERROR(VLOOKUP(C170,$C$133:$I$153,7,0),"")</f>
        <v/>
      </c>
      <c r="G170" s="155" t="str">
        <f aca="false">IFERROR(VLOOKUP(C170,$C$133:$J$153,8,0),"")</f>
        <v/>
      </c>
      <c r="H170" s="281" t="s">
        <v>600</v>
      </c>
      <c r="I170" s="282" t="n">
        <f aca="false">SUM(I155:J169)</f>
        <v>5219.044325</v>
      </c>
      <c r="J170" s="282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Y170" s="96"/>
      <c r="Z170" s="96"/>
      <c r="AA170" s="96"/>
      <c r="AB170" s="96"/>
      <c r="AC170" s="96"/>
      <c r="AD170" s="96"/>
      <c r="AE170" s="96"/>
      <c r="AF170" s="96"/>
      <c r="AG170" s="96"/>
      <c r="AH170" s="96"/>
      <c r="AI170" s="96"/>
      <c r="AJ170" s="96"/>
    </row>
    <row r="171" s="96" customFormat="true" ht="24.75" hidden="false" customHeight="true" outlineLevel="0" collapsed="false">
      <c r="A171" s="113" t="s">
        <v>396</v>
      </c>
      <c r="B171" s="113"/>
      <c r="C171" s="113"/>
      <c r="D171" s="113"/>
      <c r="E171" s="113"/>
      <c r="F171" s="113"/>
      <c r="G171" s="113"/>
      <c r="H171" s="113"/>
      <c r="I171" s="113"/>
      <c r="J171" s="113"/>
    </row>
    <row r="172" s="96" customFormat="true" ht="34.5" hidden="false" customHeight="true" outlineLevel="0" collapsed="false">
      <c r="A172" s="114" t="s">
        <v>319</v>
      </c>
      <c r="B172" s="115" t="s">
        <v>320</v>
      </c>
      <c r="C172" s="115" t="s">
        <v>168</v>
      </c>
      <c r="D172" s="115" t="s">
        <v>397</v>
      </c>
      <c r="E172" s="115" t="s">
        <v>321</v>
      </c>
      <c r="F172" s="116" t="s">
        <v>398</v>
      </c>
      <c r="G172" s="115" t="s">
        <v>399</v>
      </c>
      <c r="H172" s="116" t="s">
        <v>400</v>
      </c>
      <c r="I172" s="275" t="s">
        <v>601</v>
      </c>
      <c r="J172" s="275"/>
      <c r="K172" s="283" t="n">
        <v>0.2</v>
      </c>
      <c r="N172" s="107" t="s">
        <v>288</v>
      </c>
      <c r="O172" s="165" t="s">
        <v>320</v>
      </c>
      <c r="P172" s="165" t="s">
        <v>168</v>
      </c>
      <c r="Q172" s="165" t="s">
        <v>397</v>
      </c>
      <c r="R172" s="165" t="s">
        <v>321</v>
      </c>
      <c r="S172" s="165" t="s">
        <v>398</v>
      </c>
      <c r="T172" s="165" t="s">
        <v>399</v>
      </c>
      <c r="U172" s="165" t="s">
        <v>400</v>
      </c>
      <c r="V172" s="165" t="s">
        <v>401</v>
      </c>
      <c r="W172" s="165" t="s">
        <v>402</v>
      </c>
    </row>
    <row r="173" s="96" customFormat="true" ht="18" hidden="false" customHeight="true" outlineLevel="0" collapsed="false">
      <c r="A173" s="166" t="n">
        <f aca="false">IF(B173="","",1)</f>
        <v>1</v>
      </c>
      <c r="B173" s="131" t="s">
        <v>403</v>
      </c>
      <c r="C173" s="131" t="s">
        <v>404</v>
      </c>
      <c r="D173" s="132" t="s">
        <v>276</v>
      </c>
      <c r="E173" s="130"/>
      <c r="F173" s="130" t="s">
        <v>276</v>
      </c>
      <c r="G173" s="130" t="s">
        <v>405</v>
      </c>
      <c r="H173" s="130" t="n">
        <v>2</v>
      </c>
      <c r="I173" s="284" t="n">
        <f aca="false">(K173+$K$172)*H173</f>
        <v>3.746</v>
      </c>
      <c r="J173" s="284"/>
      <c r="K173" s="285" t="n">
        <v>1.673</v>
      </c>
      <c r="N173" s="107" t="s">
        <v>406</v>
      </c>
      <c r="O173" s="55" t="s">
        <v>407</v>
      </c>
      <c r="P173" s="62" t="s">
        <v>408</v>
      </c>
      <c r="Q173" s="55" t="s">
        <v>227</v>
      </c>
      <c r="R173" s="158"/>
      <c r="S173" s="158" t="s">
        <v>227</v>
      </c>
      <c r="T173" s="158" t="s">
        <v>409</v>
      </c>
      <c r="U173" s="168" t="n">
        <f aca="false">((($I$141*$G$141)+($I$142*$G$142)+($I$143*$G$143)+($I$144*$G$144)+($I$145*$G$145))/1000)*$J$120</f>
        <v>23.086</v>
      </c>
      <c r="V173" s="168" t="n">
        <v>100</v>
      </c>
      <c r="W173" s="169" t="n">
        <f aca="false">ROUNDUP((U173)/100,0)</f>
        <v>1</v>
      </c>
    </row>
    <row r="174" s="96" customFormat="true" ht="18" hidden="false" customHeight="true" outlineLevel="0" collapsed="false">
      <c r="A174" s="170" t="n">
        <f aca="false">IF(B174="","",+A173+1)</f>
        <v>2</v>
      </c>
      <c r="B174" s="131" t="s">
        <v>410</v>
      </c>
      <c r="C174" s="131" t="s">
        <v>411</v>
      </c>
      <c r="D174" s="132" t="s">
        <v>267</v>
      </c>
      <c r="E174" s="130"/>
      <c r="F174" s="130" t="s">
        <v>267</v>
      </c>
      <c r="G174" s="130" t="s">
        <v>405</v>
      </c>
      <c r="H174" s="130" t="n">
        <v>8</v>
      </c>
      <c r="I174" s="286" t="n">
        <f aca="false">(K174+$K$172)*H174</f>
        <v>25.6</v>
      </c>
      <c r="J174" s="286"/>
      <c r="K174" s="285" t="n">
        <v>3</v>
      </c>
      <c r="N174" s="107" t="s">
        <v>412</v>
      </c>
      <c r="O174" s="55" t="s">
        <v>413</v>
      </c>
      <c r="P174" s="62" t="s">
        <v>414</v>
      </c>
      <c r="Q174" s="55" t="s">
        <v>234</v>
      </c>
      <c r="R174" s="158"/>
      <c r="S174" s="158" t="s">
        <v>234</v>
      </c>
      <c r="T174" s="158" t="s">
        <v>409</v>
      </c>
      <c r="U174" s="168" t="n">
        <f aca="false">((($I$141*$G$141)+($I$142*$G$142)+($I$143*$G$143)+($I$144*$G$144)+($I$145*$G$145))/1000)*$J$120</f>
        <v>23.086</v>
      </c>
      <c r="V174" s="168" t="n">
        <v>100</v>
      </c>
      <c r="W174" s="169" t="n">
        <f aca="false">ROUNDUP((U174)/100,0)</f>
        <v>1</v>
      </c>
    </row>
    <row r="175" s="96" customFormat="true" ht="18" hidden="false" customHeight="true" outlineLevel="0" collapsed="false">
      <c r="A175" s="170" t="n">
        <f aca="false">IF(B175="","",+A174+1)</f>
        <v>3</v>
      </c>
      <c r="B175" s="131" t="s">
        <v>415</v>
      </c>
      <c r="C175" s="131" t="s">
        <v>416</v>
      </c>
      <c r="D175" s="132" t="s">
        <v>222</v>
      </c>
      <c r="E175" s="130"/>
      <c r="F175" s="130" t="s">
        <v>222</v>
      </c>
      <c r="G175" s="130" t="s">
        <v>405</v>
      </c>
      <c r="H175" s="130" t="n">
        <v>2</v>
      </c>
      <c r="I175" s="286" t="n">
        <f aca="false">(K175+$K$172)*H175</f>
        <v>6.146</v>
      </c>
      <c r="J175" s="286"/>
      <c r="K175" s="285" t="n">
        <v>2.873</v>
      </c>
      <c r="N175" s="107" t="s">
        <v>417</v>
      </c>
      <c r="O175" s="62" t="s">
        <v>418</v>
      </c>
      <c r="P175" s="62" t="s">
        <v>419</v>
      </c>
      <c r="Q175" s="55" t="s">
        <v>236</v>
      </c>
      <c r="R175" s="158"/>
      <c r="S175" s="158" t="s">
        <v>236</v>
      </c>
      <c r="T175" s="158" t="s">
        <v>409</v>
      </c>
      <c r="U175" s="168" t="n">
        <f aca="false">((($I$141*$G$141)+($I$142*$G$142)+($I$143*$G$143)+($I$144*$G$144)+($I$145*$G$145))/1000)*$J$120</f>
        <v>23.086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4</v>
      </c>
      <c r="B176" s="131" t="s">
        <v>420</v>
      </c>
      <c r="C176" s="131" t="s">
        <v>421</v>
      </c>
      <c r="D176" s="132" t="s">
        <v>225</v>
      </c>
      <c r="E176" s="130"/>
      <c r="F176" s="130" t="s">
        <v>225</v>
      </c>
      <c r="G176" s="130" t="s">
        <v>602</v>
      </c>
      <c r="H176" s="130" t="n">
        <v>1</v>
      </c>
      <c r="I176" s="286" t="n">
        <f aca="false">(K176+$K$172)*H176</f>
        <v>5.5196</v>
      </c>
      <c r="J176" s="286"/>
      <c r="K176" s="285" t="n">
        <v>5.3196</v>
      </c>
      <c r="N176" s="107" t="s">
        <v>422</v>
      </c>
      <c r="O176" s="62" t="s">
        <v>423</v>
      </c>
      <c r="P176" s="62" t="s">
        <v>424</v>
      </c>
      <c r="Q176" s="55" t="s">
        <v>238</v>
      </c>
      <c r="R176" s="158"/>
      <c r="S176" s="158" t="s">
        <v>238</v>
      </c>
      <c r="T176" s="158" t="s">
        <v>409</v>
      </c>
      <c r="U176" s="168" t="n">
        <f aca="false">((($I$141*$G$141)+($I$142*$G$142)+($I$143*$G$143)+($I$144*$G$144)+($I$145*$G$145))/1000)*$J$120</f>
        <v>23.086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5</v>
      </c>
      <c r="B177" s="131" t="s">
        <v>425</v>
      </c>
      <c r="C177" s="131" t="s">
        <v>426</v>
      </c>
      <c r="D177" s="132" t="n">
        <v>9</v>
      </c>
      <c r="E177" s="130"/>
      <c r="F177" s="130" t="n">
        <v>9</v>
      </c>
      <c r="G177" s="130" t="s">
        <v>405</v>
      </c>
      <c r="H177" s="130" t="n">
        <v>32</v>
      </c>
      <c r="I177" s="287" t="n">
        <v>0</v>
      </c>
      <c r="J177" s="287"/>
      <c r="K177" s="285" t="n">
        <v>0</v>
      </c>
      <c r="N177" s="107" t="s">
        <v>427</v>
      </c>
      <c r="O177" s="62" t="s">
        <v>428</v>
      </c>
      <c r="P177" s="62" t="s">
        <v>429</v>
      </c>
      <c r="Q177" s="55" t="s">
        <v>240</v>
      </c>
      <c r="R177" s="158"/>
      <c r="S177" s="158" t="s">
        <v>240</v>
      </c>
      <c r="T177" s="158" t="s">
        <v>409</v>
      </c>
      <c r="U177" s="168" t="n">
        <f aca="false">((($I$141*$G$141)+($I$142*$G$142)+($I$143*$G$143)+($I$144*$G$144)+($I$145*$G$145))/1000)*$J$120</f>
        <v>23.086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6</v>
      </c>
      <c r="B178" s="131" t="s">
        <v>430</v>
      </c>
      <c r="C178" s="131" t="s">
        <v>431</v>
      </c>
      <c r="D178" s="132" t="n">
        <v>9</v>
      </c>
      <c r="E178" s="130"/>
      <c r="F178" s="130" t="n">
        <v>9</v>
      </c>
      <c r="G178" s="130" t="s">
        <v>405</v>
      </c>
      <c r="H178" s="130" t="n">
        <v>64</v>
      </c>
      <c r="I178" s="287" t="n">
        <v>0</v>
      </c>
      <c r="J178" s="287"/>
      <c r="K178" s="285" t="n">
        <v>0</v>
      </c>
    </row>
    <row r="179" s="96" customFormat="true" ht="18" hidden="false" customHeight="true" outlineLevel="0" collapsed="false">
      <c r="A179" s="170" t="n">
        <f aca="false">IF(B179="","",+A178+1)</f>
        <v>7</v>
      </c>
      <c r="B179" s="131" t="s">
        <v>603</v>
      </c>
      <c r="C179" s="131" t="s">
        <v>438</v>
      </c>
      <c r="D179" s="132" t="s">
        <v>4</v>
      </c>
      <c r="E179" s="130"/>
      <c r="F179" s="130" t="s">
        <v>4</v>
      </c>
      <c r="G179" s="130" t="s">
        <v>434</v>
      </c>
      <c r="H179" s="130" t="n">
        <v>2</v>
      </c>
      <c r="I179" s="286" t="n">
        <f aca="false">(K179+$K$172)*H179</f>
        <v>1529.28</v>
      </c>
      <c r="J179" s="286"/>
      <c r="K179" s="288" t="n">
        <v>764.44</v>
      </c>
    </row>
    <row r="180" s="96" customFormat="true" ht="18" hidden="false" customHeight="true" outlineLevel="0" collapsed="false">
      <c r="A180" s="170" t="n">
        <f aca="false">IF(B180="","",+A179+1)</f>
        <v>8</v>
      </c>
      <c r="B180" s="131" t="s">
        <v>432</v>
      </c>
      <c r="C180" s="131" t="s">
        <v>433</v>
      </c>
      <c r="D180" s="132" t="s">
        <v>6</v>
      </c>
      <c r="E180" s="130"/>
      <c r="F180" s="130" t="s">
        <v>6</v>
      </c>
      <c r="G180" s="130" t="s">
        <v>434</v>
      </c>
      <c r="H180" s="130" t="n">
        <v>1</v>
      </c>
      <c r="I180" s="286" t="n">
        <f aca="false">(K180+$K$172)*H180</f>
        <v>1199.67</v>
      </c>
      <c r="J180" s="286"/>
      <c r="K180" s="288" t="n">
        <v>1199.47</v>
      </c>
    </row>
    <row r="181" s="96" customFormat="true" ht="18" hidden="false" customHeight="true" outlineLevel="0" collapsed="false">
      <c r="A181" s="170" t="n">
        <f aca="false">IF(B181="","",+A180+1)</f>
        <v>9</v>
      </c>
      <c r="B181" s="131" t="s">
        <v>512</v>
      </c>
      <c r="C181" s="131" t="s">
        <v>513</v>
      </c>
      <c r="D181" s="132" t="s">
        <v>7</v>
      </c>
      <c r="E181" s="130"/>
      <c r="F181" s="130" t="s">
        <v>7</v>
      </c>
      <c r="G181" s="130" t="s">
        <v>434</v>
      </c>
      <c r="H181" s="130" t="n">
        <v>1</v>
      </c>
      <c r="I181" s="286" t="n">
        <f aca="false">(K181+$K$172)*H181</f>
        <v>1199.67</v>
      </c>
      <c r="J181" s="286"/>
      <c r="K181" s="288" t="n">
        <v>1199.47</v>
      </c>
    </row>
    <row r="182" s="96" customFormat="true" ht="18" hidden="false" customHeight="true" outlineLevel="0" collapsed="false">
      <c r="A182" s="170" t="n">
        <f aca="false">IF(B182="","",+A181+1)</f>
        <v>10</v>
      </c>
      <c r="B182" s="131" t="s">
        <v>554</v>
      </c>
      <c r="C182" s="131" t="s">
        <v>604</v>
      </c>
      <c r="D182" s="132" t="s">
        <v>10</v>
      </c>
      <c r="E182" s="130"/>
      <c r="F182" s="130" t="s">
        <v>10</v>
      </c>
      <c r="G182" s="130" t="s">
        <v>434</v>
      </c>
      <c r="H182" s="130" t="n">
        <v>1</v>
      </c>
      <c r="I182" s="286" t="n">
        <f aca="false">(K182+$K$172)*H182</f>
        <v>1969.48</v>
      </c>
      <c r="J182" s="286"/>
      <c r="K182" s="288" t="n">
        <v>1969.28</v>
      </c>
      <c r="Q182" s="172"/>
      <c r="R182" s="172"/>
      <c r="S182" s="172"/>
      <c r="T182" s="97"/>
      <c r="U182" s="97"/>
      <c r="V182" s="97"/>
    </row>
    <row r="183" s="96" customFormat="true" ht="18" hidden="false" customHeight="true" outlineLevel="0" collapsed="false">
      <c r="A183" s="170" t="n">
        <f aca="false">IF(B183="","",+A182+1)</f>
        <v>11</v>
      </c>
      <c r="B183" s="131" t="s">
        <v>439</v>
      </c>
      <c r="C183" s="131" t="s">
        <v>440</v>
      </c>
      <c r="D183" s="132" t="s">
        <v>12</v>
      </c>
      <c r="E183" s="130"/>
      <c r="F183" s="130" t="s">
        <v>12</v>
      </c>
      <c r="G183" s="130" t="s">
        <v>434</v>
      </c>
      <c r="H183" s="130" t="n">
        <v>2</v>
      </c>
      <c r="I183" s="286" t="n">
        <f aca="false">(K183+$K$172)*H183</f>
        <v>3938.96</v>
      </c>
      <c r="J183" s="286"/>
      <c r="K183" s="288" t="n">
        <v>1969.28</v>
      </c>
      <c r="N183" s="107" t="s">
        <v>289</v>
      </c>
      <c r="O183" s="165" t="s">
        <v>320</v>
      </c>
      <c r="P183" s="165" t="s">
        <v>168</v>
      </c>
      <c r="Q183" s="165" t="s">
        <v>397</v>
      </c>
      <c r="R183" s="165" t="s">
        <v>321</v>
      </c>
      <c r="S183" s="165" t="s">
        <v>398</v>
      </c>
      <c r="T183" s="165" t="s">
        <v>399</v>
      </c>
      <c r="U183" s="165" t="s">
        <v>400</v>
      </c>
      <c r="V183" s="165" t="s">
        <v>401</v>
      </c>
      <c r="W183" s="165" t="s">
        <v>402</v>
      </c>
    </row>
    <row r="184" s="96" customFormat="true" ht="18" hidden="false" customHeight="true" outlineLevel="0" collapsed="false">
      <c r="A184" s="170" t="n">
        <f aca="false">IF(B184="","",+A183+1)</f>
        <v>12</v>
      </c>
      <c r="B184" s="131" t="s">
        <v>441</v>
      </c>
      <c r="C184" s="131" t="s">
        <v>442</v>
      </c>
      <c r="D184" s="132" t="s">
        <v>274</v>
      </c>
      <c r="E184" s="130"/>
      <c r="F184" s="130" t="s">
        <v>274</v>
      </c>
      <c r="G184" s="130" t="s">
        <v>405</v>
      </c>
      <c r="H184" s="130" t="n">
        <v>4</v>
      </c>
      <c r="I184" s="286" t="n">
        <f aca="false">(K184+$K$172)*H184</f>
        <v>31.376</v>
      </c>
      <c r="J184" s="286"/>
      <c r="K184" s="285" t="n">
        <v>7.644</v>
      </c>
      <c r="N184" s="107" t="s">
        <v>445</v>
      </c>
      <c r="O184" s="62" t="s">
        <v>446</v>
      </c>
      <c r="P184" s="62" t="s">
        <v>447</v>
      </c>
      <c r="Q184" s="55" t="s">
        <v>230</v>
      </c>
      <c r="R184" s="158"/>
      <c r="S184" s="158" t="s">
        <v>230</v>
      </c>
      <c r="T184" s="158" t="s">
        <v>409</v>
      </c>
      <c r="U184" s="168" t="n">
        <f aca="false">((($I$134*$G$134)+($I$136*$G$136)+($I$139*$G$139))/1000)*$J$120</f>
        <v>8.503</v>
      </c>
      <c r="V184" s="168" t="n">
        <v>300</v>
      </c>
      <c r="W184" s="169" t="n">
        <f aca="false">ROUNDUP((U184)/V184,0)</f>
        <v>1</v>
      </c>
    </row>
    <row r="185" s="96" customFormat="true" ht="18" hidden="false" customHeight="true" outlineLevel="0" collapsed="false">
      <c r="A185" s="170" t="n">
        <f aca="false">IF(B185="","",+A184+1)</f>
        <v>13</v>
      </c>
      <c r="B185" s="131" t="s">
        <v>443</v>
      </c>
      <c r="C185" s="131" t="s">
        <v>444</v>
      </c>
      <c r="D185" s="132" t="s">
        <v>272</v>
      </c>
      <c r="E185" s="130"/>
      <c r="F185" s="130" t="s">
        <v>272</v>
      </c>
      <c r="G185" s="130" t="s">
        <v>405</v>
      </c>
      <c r="H185" s="130" t="n">
        <v>1</v>
      </c>
      <c r="I185" s="286" t="n">
        <f aca="false">(K185+$K$172)*H185</f>
        <v>12.3</v>
      </c>
      <c r="J185" s="286"/>
      <c r="K185" s="285" t="n">
        <v>12.1</v>
      </c>
      <c r="N185" s="107" t="s">
        <v>448</v>
      </c>
      <c r="O185" s="62" t="s">
        <v>449</v>
      </c>
      <c r="P185" s="62" t="s">
        <v>450</v>
      </c>
      <c r="Q185" s="55" t="s">
        <v>451</v>
      </c>
      <c r="R185" s="158"/>
      <c r="S185" s="158" t="s">
        <v>451</v>
      </c>
      <c r="T185" s="158" t="s">
        <v>409</v>
      </c>
      <c r="U185" s="168" t="n">
        <f aca="false">((($I$134*$G$134)+($I$136*$G$136)+($I$139*$G$139))/1000)*$J$120</f>
        <v>8.503</v>
      </c>
      <c r="V185" s="168" t="n">
        <v>100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14</v>
      </c>
      <c r="B186" s="132" t="str">
        <f aca="false">IF($D$129="Standard",$O$184,IF($D$129="Soumdproof",$O$185,))</f>
        <v>ยางเฟรมกันน้ำ (ธรรมดา)</v>
      </c>
      <c r="C186" s="132" t="str">
        <f aca="false">IF($D$129="Standard",$P$184,IF($D$129="Soumdproof",$P$185,))</f>
        <v>FRAME SEAL (Standard)</v>
      </c>
      <c r="D186" s="132" t="str">
        <f aca="false">IF($D$129="Standard",$Q$184,IF($D$129="Soumdproof",$Q$185,))</f>
        <v>02-026</v>
      </c>
      <c r="E186" s="130" t="n">
        <f aca="false">IF($D$129="Standard",R185,IF($D$129="Soumdproof",R186,))</f>
        <v>0</v>
      </c>
      <c r="F186" s="130" t="str">
        <f aca="false">IF($D$129="Standard",$S$184,IF($D$129="Soumdproof",$S$185,))</f>
        <v>02-026</v>
      </c>
      <c r="G186" s="130" t="str">
        <f aca="false">IF($D$129="Standard",$T$184,IF($D$129="Soumdproof",$T$185,))</f>
        <v>M</v>
      </c>
      <c r="H186" s="173" t="n">
        <f aca="false">IF($D$129="Standard",$U$184,IF($D$129="Soumdproof",$U$185,))</f>
        <v>8.503</v>
      </c>
      <c r="I186" s="286" t="n">
        <f aca="false">(K186+$K$172)*H186</f>
        <v>68.0707665</v>
      </c>
      <c r="J186" s="286"/>
      <c r="K186" s="285" t="n">
        <v>7.8055</v>
      </c>
      <c r="N186" s="107" t="s">
        <v>445</v>
      </c>
      <c r="O186" s="62" t="s">
        <v>452</v>
      </c>
      <c r="P186" s="62" t="s">
        <v>453</v>
      </c>
      <c r="Q186" s="55" t="s">
        <v>232</v>
      </c>
      <c r="R186" s="158"/>
      <c r="S186" s="158" t="s">
        <v>232</v>
      </c>
      <c r="T186" s="158" t="s">
        <v>409</v>
      </c>
      <c r="U186" s="168" t="n">
        <f aca="false">((($I$141*$G$141*2)+($I$143*$G$143*2)+($I$144*$G$144*2)+($I$145*$G$145*2))/1000)*$J$120</f>
        <v>39.91</v>
      </c>
      <c r="V186" s="168" t="n">
        <v>350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15</v>
      </c>
      <c r="B187" s="132" t="str">
        <f aca="false">IF($D$129="Standard",$O$186,IF($D$129="Soumdproof",$O$187,))</f>
        <v>ยางแซชกันน้ำ (ธรรมดา)</v>
      </c>
      <c r="C187" s="132" t="str">
        <f aca="false">IF($D$129="Standard",$P$186,IF($D$129="Soumdproof",$P$187,))</f>
        <v>SASH SEAL FOAM (Standard)</v>
      </c>
      <c r="D187" s="132" t="str">
        <f aca="false">IF($D$129="Standard",$Q$186,IF($D$129="Soumdproof",$Q$187,))</f>
        <v>02-031</v>
      </c>
      <c r="E187" s="130" t="n">
        <f aca="false">IF($D$129="Standard",R187,IF($D$129="Soumdproof",R188,))</f>
        <v>0</v>
      </c>
      <c r="F187" s="130" t="str">
        <f aca="false">IF($D$129="Standard",$S$186,IF($D$129="Soumdproof",$S$187,))</f>
        <v>02-031</v>
      </c>
      <c r="G187" s="130" t="str">
        <f aca="false">IF($D$129="Standard",$T$186,IF($D$129="Soumdproof",$T$187,))</f>
        <v>M</v>
      </c>
      <c r="H187" s="173" t="n">
        <f aca="false">IF($D$129="Standard",$U$186,IF($D$129="Soumdproof",$U$187,))</f>
        <v>39.91</v>
      </c>
      <c r="I187" s="286" t="n">
        <f aca="false">(K187+$K$172)*H187</f>
        <v>259.415</v>
      </c>
      <c r="J187" s="286"/>
      <c r="K187" s="285" t="n">
        <v>6.3</v>
      </c>
      <c r="N187" s="107" t="s">
        <v>448</v>
      </c>
      <c r="O187" s="62" t="s">
        <v>454</v>
      </c>
      <c r="P187" s="62" t="s">
        <v>455</v>
      </c>
      <c r="Q187" s="55" t="s">
        <v>456</v>
      </c>
      <c r="R187" s="158"/>
      <c r="S187" s="158" t="s">
        <v>456</v>
      </c>
      <c r="T187" s="158" t="s">
        <v>409</v>
      </c>
      <c r="U187" s="168" t="n">
        <f aca="false">((($I$141*$G$141*2)+($I$143*$G$143*2)+($I$144*$G$144*2)+($I$145*$G$145*2))/1000)*$J$120</f>
        <v>39.91</v>
      </c>
      <c r="V187" s="168" t="n">
        <v>100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16</v>
      </c>
      <c r="B188" s="176" t="str">
        <f aca="false">IF($D$127=5,$O$175,IF($D$127=6,$O$176,IF($D$127=8,$O$177,IF($D$127=10,$O$175,IF($D$127=12,$O$175,IF($D$127=14,$O$177,IF($D$127=18,$O$175,IF($D$127=20,$O$176,IF($D$127=22,"")))))))))</f>
        <v>6,20 mm ยางอัดกระจก</v>
      </c>
      <c r="C188" s="176" t="str">
        <f aca="false">IF($D$127=5,$P$175,IF($D$127=6,$P$176,IF($D$127=8,$P$177,IF($D$127=10,$P$175,IF($D$127=12,$P$175,IF($D$127=14,$P$177,IF($D$127=18,$P$175,IF($D$127=20,$P$176,IF($D$127=22,"")))))))))</f>
        <v>6,20 mm ROLL IN WEDGE</v>
      </c>
      <c r="D188" s="176" t="str">
        <f aca="false">IF($D$127=5,$Q$175,IF($D$127=6,$Q$176,IF($D$127=8,$Q$177,IF($D$127=10,$Q$175,IF($D$127=12,$Q$175,IF($D$127=14,$Q$177,IF($D$127=18,$Q$175,IF($D$127=20,$Q$176,IF($D$127=22,"")))))))))</f>
        <v>02-034</v>
      </c>
      <c r="E188" s="176" t="n">
        <f aca="false">IF($D$127=5,R176,IF($D$127=6,R177,IF($D$127=8,R178,IF($D$127=10,R176,IF($D$127=12,R176,IF($D$127=14,R178,IF($D$127=18,R176,IF($D$127=20,R177,IF($D$127=22,"",)))))))))</f>
        <v>0</v>
      </c>
      <c r="F188" s="167" t="str">
        <f aca="false">IF($D$127=5,$S$175,IF($D$127=6,$S$176,IF($D$127=8,$S$177,IF($D$127=10,$S$175,IF($D$127=12,$S$175,IF($D$127=14,$S$177,IF($D$127=18,$S$175,IF($D$127=20,$S$176,IF($D$127=22,"")))))))))</f>
        <v>02-034</v>
      </c>
      <c r="G188" s="167" t="str">
        <f aca="false">IF($D$127=5,$T$175,IF($D$127=6,$T$176,IF($D$127=8,$T$177,IF($D$127=10,$T$175,IF($D$127=12,$T$175,IF($D$127=14,$T$177,IF($D$127=18,$T$175,IF($D$127=20,$T$176,IF($D$127=22,"")))))))))</f>
        <v>M</v>
      </c>
      <c r="H188" s="173" t="n">
        <f aca="false">IF($D$127=5,$U$175,IF($D$127=6,$U$176,IF($D$127=8,$U$177,IF($D$127=10,$U$175*2,IF($D$127=12,$U$175,IF($D$127=14,$U$177*2,IF($D$127=18,$U$175,IF($D$127=20,$U$176,IF($D$127=22,"")))))))))</f>
        <v>23.086</v>
      </c>
      <c r="I188" s="286" t="n">
        <f aca="false">(K188+$K$172)*H188</f>
        <v>271.02964</v>
      </c>
      <c r="J188" s="286"/>
      <c r="K188" s="285" t="n">
        <v>11.54</v>
      </c>
    </row>
    <row r="189" s="96" customFormat="true" ht="18" hidden="false" customHeight="true" outlineLevel="0" collapsed="false">
      <c r="A189" s="170" t="n">
        <f aca="false">IF(B189="","",+A188+1)</f>
        <v>17</v>
      </c>
      <c r="B189" s="176" t="str">
        <f aca="false">IF($D$127=5,$O$173,IF($D$127=6,$O$173,IF($D$127=8,$O$175,IF($D$127=10,"",IF($D$127=12,$O$174,IF($D$127=14,"",IF($D$127=18,$O$173,IF($D$127=20,$O$174,IF($D$127=22,"",)))))))))</f>
        <v>5,6,18 mm ยางรองกระจก</v>
      </c>
      <c r="C189" s="176" t="str">
        <f aca="false">IF($D$127=5,$P$173,IF($D$127=6,$P$173,IF($D$127=8,$P$175,IF($D$127=10,"",IF($D$127=12,$P$174,IF($D$127=14,"",IF($D$127=18,$P$173,IF($D$127=20,$P$174,IF($D$127=22,"",)))))))))</f>
        <v>5,6,18 mm CAPTIVE WEDGE</v>
      </c>
      <c r="D189" s="176" t="str">
        <f aca="false">IF($D$127=5,$Q$173,IF($D$127=6,$Q$173,IF($D$127=8,$Q$175,IF($D$127=10,"",IF($D$127=12,$Q$174,IF($D$127=14,"",IF($D$127=18,$Q$173,IF($D$127=20,$Q$174,IF($D$127=22,"",)))))))))</f>
        <v>02-022</v>
      </c>
      <c r="E189" s="176" t="n">
        <f aca="false">IF($D$127=5,R174,IF($D$127=6,R174,IF($D$127=8,R176,IF($D$127=10,"",IF($D$127=12,R175,IF($D$127=14,"",IF($D$127=18,R174,IF($D$127=20,R175,IF($D$127=22,"",)))))))))</f>
        <v>0</v>
      </c>
      <c r="F189" s="167" t="str">
        <f aca="false">IF($D$127=5,$S$173,IF($D$127=6,$S$173,IF($D$127=8,$S$175,IF($D$127=10,"",IF($D$127=12,$S$174,IF($D$127=14,"",IF($D$127=18,$S$173,IF($D$127=20,$S$174,IF($D$127=22,"",)))))))))</f>
        <v>02-022</v>
      </c>
      <c r="G189" s="167" t="str">
        <f aca="false">IF($D$127=5,$T$173,IF($D$127=6,$T$173,IF($D$127=8,$T$175,IF($D$127=10,"",IF($D$127=12,$T$174,IF($D$127=14,"",IF($D$127=18,$T$173,IF($D$127=20,$T$174,IF($D$127=22,"",)))))))))</f>
        <v>M</v>
      </c>
      <c r="H189" s="173" t="n">
        <f aca="false">IF($D$127=5,$U$173,IF($D$127=6,$U$173,IF($D$127=8,$U$175,IF($D$127=10,"",IF($D$127=12,$U$174,IF($D$127=14,"",IF($D$127=18,$U$173,IF($D$127=20,$U$174,IF($D$127=22,"")))))))))</f>
        <v>23.086</v>
      </c>
      <c r="I189" s="286" t="n">
        <f aca="false">(K189+$K$172)*H189</f>
        <v>227.62796</v>
      </c>
      <c r="J189" s="286"/>
      <c r="K189" s="285" t="n">
        <v>9.66</v>
      </c>
    </row>
    <row r="190" s="96" customFormat="true" ht="18" hidden="false" customHeight="true" outlineLevel="0" collapsed="false">
      <c r="A190" s="170" t="str">
        <f aca="false">IF(B190="","",+A189+1)</f>
        <v/>
      </c>
      <c r="B190" s="131"/>
      <c r="C190" s="131"/>
      <c r="D190" s="132"/>
      <c r="E190" s="130"/>
      <c r="F190" s="130"/>
      <c r="G190" s="130"/>
      <c r="H190" s="289" t="s">
        <v>600</v>
      </c>
      <c r="I190" s="290" t="n">
        <f aca="false">SUM(I173:J189)</f>
        <v>10747.8909665</v>
      </c>
      <c r="J190" s="290"/>
      <c r="K190" s="291"/>
    </row>
    <row r="191" s="96" customFormat="true" ht="18" hidden="false" customHeight="true" outlineLevel="0" collapsed="false">
      <c r="A191" s="170" t="str">
        <f aca="false">IF(B191="","",+A190+1)</f>
        <v/>
      </c>
      <c r="B191" s="131"/>
      <c r="C191" s="131"/>
      <c r="D191" s="132"/>
      <c r="E191" s="130"/>
      <c r="F191" s="130"/>
      <c r="G191" s="130"/>
      <c r="H191" s="130"/>
      <c r="I191" s="133"/>
      <c r="J191" s="134" t="n">
        <f aca="false">$J$120*H191</f>
        <v>0</v>
      </c>
    </row>
    <row r="192" s="96" customFormat="true" ht="18" hidden="false" customHeight="true" outlineLevel="0" collapsed="false">
      <c r="A192" s="170" t="str">
        <f aca="false">IF(B192="","",+A191+1)</f>
        <v/>
      </c>
      <c r="B192" s="131"/>
      <c r="C192" s="131"/>
      <c r="D192" s="132"/>
      <c r="E192" s="130"/>
      <c r="F192" s="130"/>
      <c r="G192" s="130"/>
      <c r="H192" s="130"/>
      <c r="I192" s="133"/>
      <c r="J192" s="134" t="n">
        <f aca="false">$J$120*H192</f>
        <v>0</v>
      </c>
    </row>
    <row r="193" customFormat="false" ht="18" hidden="false" customHeight="true" outlineLevel="0" collapsed="false">
      <c r="A193" s="170" t="str">
        <f aca="false">IF(B193="","",+A192+1)</f>
        <v/>
      </c>
      <c r="B193" s="131"/>
      <c r="C193" s="131"/>
      <c r="D193" s="132"/>
      <c r="E193" s="130"/>
      <c r="F193" s="130"/>
      <c r="G193" s="130"/>
      <c r="H193" s="130"/>
      <c r="I193" s="133"/>
      <c r="J193" s="134" t="n">
        <f aca="false">$J$120*H193</f>
        <v>0</v>
      </c>
      <c r="Y193" s="96"/>
      <c r="Z193" s="96"/>
      <c r="AA193" s="96"/>
      <c r="AB193" s="96"/>
      <c r="AC193" s="96"/>
      <c r="AD193" s="96"/>
      <c r="AE193" s="96"/>
      <c r="AF193" s="96"/>
      <c r="AG193" s="96"/>
      <c r="AH193" s="96"/>
      <c r="AI193" s="96"/>
      <c r="AJ193" s="96"/>
    </row>
    <row r="194" s="96" customFormat="true" ht="18" hidden="false" customHeight="true" outlineLevel="0" collapsed="false">
      <c r="A194" s="170" t="str">
        <f aca="false">IF(B194="","",+A193+1)</f>
        <v/>
      </c>
      <c r="B194" s="131"/>
      <c r="C194" s="131"/>
      <c r="D194" s="132"/>
      <c r="E194" s="130"/>
      <c r="F194" s="130"/>
      <c r="G194" s="130"/>
      <c r="H194" s="130"/>
      <c r="I194" s="133"/>
      <c r="J194" s="134" t="n">
        <f aca="false">$J$120*H194</f>
        <v>0</v>
      </c>
    </row>
    <row r="195" s="96" customFormat="true" ht="18" hidden="false" customHeight="true" outlineLevel="0" collapsed="false">
      <c r="A195" s="170" t="str">
        <f aca="false">IF(B195="","",+A194+1)</f>
        <v/>
      </c>
      <c r="B195" s="131"/>
      <c r="C195" s="131"/>
      <c r="D195" s="132"/>
      <c r="E195" s="130"/>
      <c r="F195" s="130"/>
      <c r="G195" s="130"/>
      <c r="H195" s="130"/>
      <c r="I195" s="133"/>
      <c r="J195" s="134" t="n">
        <f aca="false">$J$120*H195</f>
        <v>0</v>
      </c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30"/>
      <c r="I196" s="133"/>
      <c r="J196" s="134" t="n">
        <f aca="false">$J$120*H196</f>
        <v>0</v>
      </c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/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/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IF(B201="","",+""+1)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/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9" t="str">
        <f aca="false">IF(B204="","",+A203+1)</f>
        <v/>
      </c>
      <c r="B204" s="135"/>
      <c r="C204" s="135"/>
      <c r="D204" s="139"/>
      <c r="E204" s="136"/>
      <c r="F204" s="136"/>
      <c r="G204" s="136"/>
      <c r="H204" s="136"/>
      <c r="I204" s="140"/>
      <c r="J204" s="137" t="n">
        <f aca="false">$J$120*H204</f>
        <v>0</v>
      </c>
    </row>
    <row r="205" s="96" customFormat="true" ht="18" hidden="false" customHeight="true" outlineLevel="0" collapsed="false">
      <c r="A205" s="200"/>
      <c r="B205" s="98"/>
      <c r="D205" s="98"/>
      <c r="E205" s="97"/>
      <c r="F205" s="98"/>
      <c r="G205" s="98"/>
      <c r="H205" s="98"/>
      <c r="I205" s="196"/>
      <c r="J205" s="196"/>
    </row>
    <row r="206" customFormat="false" ht="18" hidden="false" customHeight="true" outlineLevel="0" collapsed="false">
      <c r="A206" s="97"/>
      <c r="J206" s="92" t="str">
        <f aca="false">LEFT($J$111,13)&amp;"-02"</f>
        <v>FG-240-4P2L2R-02</v>
      </c>
    </row>
    <row r="207" customFormat="false" ht="12.75" hidden="false" customHeight="true" outlineLevel="0" collapsed="false">
      <c r="B207" s="96"/>
      <c r="C207" s="96"/>
      <c r="D207" s="98"/>
      <c r="E207" s="97"/>
      <c r="F207" s="97"/>
      <c r="G207" s="97"/>
      <c r="H207" s="97"/>
      <c r="K207" s="78"/>
      <c r="L207" s="78"/>
      <c r="M207" s="79"/>
      <c r="N207" s="79"/>
    </row>
    <row r="208" customFormat="false" ht="30" hidden="false" customHeight="true" outlineLevel="0" collapsed="false">
      <c r="I208" s="76"/>
      <c r="J208" s="77" t="str">
        <f aca="false">$J$2</f>
        <v>HOMELIFE</v>
      </c>
      <c r="K208" s="83"/>
      <c r="L208" s="83"/>
      <c r="M208" s="79"/>
      <c r="N208" s="79"/>
    </row>
    <row r="209" customFormat="false" ht="24.75" hidden="false" customHeight="true" outlineLevel="0" collapsed="false">
      <c r="C209" s="75"/>
      <c r="D209" s="76"/>
      <c r="E209" s="76"/>
      <c r="F209" s="76"/>
      <c r="G209" s="76"/>
      <c r="H209" s="76"/>
      <c r="I209" s="82"/>
      <c r="J209" s="80" t="str">
        <f aca="false">$J$3</f>
        <v>Fabricators Guide</v>
      </c>
      <c r="K209" s="83"/>
      <c r="L209" s="83"/>
      <c r="M209" s="79"/>
      <c r="N209" s="79"/>
    </row>
    <row r="210" customFormat="false" ht="24.75" hidden="false" customHeight="true" outlineLevel="0" collapsed="false">
      <c r="C210" s="82"/>
      <c r="D210" s="82"/>
      <c r="E210" s="82"/>
      <c r="F210" s="82"/>
      <c r="G210" s="82"/>
      <c r="H210" s="82"/>
      <c r="I210" s="82"/>
      <c r="J210" s="80" t="str">
        <f aca="false">$J$4</f>
        <v>240 Series Bi Fold Door </v>
      </c>
      <c r="M210" s="87"/>
      <c r="N210" s="87"/>
    </row>
    <row r="211" s="96" customFormat="true" ht="15" hidden="false" customHeight="true" outlineLevel="0" collapsed="false">
      <c r="A211" s="84"/>
      <c r="B211" s="81"/>
      <c r="C211" s="82"/>
      <c r="D211" s="82"/>
      <c r="E211" s="82"/>
      <c r="F211" s="82"/>
      <c r="G211" s="82"/>
      <c r="H211" s="82"/>
      <c r="I211" s="84"/>
      <c r="J211" s="94"/>
      <c r="K211" s="87"/>
      <c r="L211" s="87"/>
      <c r="M211" s="87"/>
      <c r="N211" s="87"/>
    </row>
    <row r="212" s="96" customFormat="true" ht="24.75" hidden="false" customHeight="true" outlineLevel="0" collapsed="false">
      <c r="A212" s="88" t="s">
        <v>457</v>
      </c>
      <c r="B212" s="88"/>
      <c r="C212" s="88"/>
      <c r="D212" s="88"/>
      <c r="E212" s="88"/>
      <c r="F212" s="88"/>
      <c r="G212" s="88"/>
      <c r="H212" s="88"/>
      <c r="I212" s="88"/>
      <c r="J212" s="88"/>
    </row>
    <row r="214" s="96" customFormat="true" ht="15" hidden="false" customHeight="true" outlineLevel="0" collapsed="false">
      <c r="A214" s="182"/>
      <c r="B214" s="182"/>
      <c r="D214" s="98"/>
      <c r="E214" s="83"/>
      <c r="F214" s="183"/>
      <c r="I214" s="183"/>
      <c r="J214" s="99"/>
    </row>
    <row r="215" s="96" customFormat="true" ht="15" hidden="false" customHeight="true" outlineLevel="0" collapsed="false">
      <c r="A215" s="97"/>
      <c r="C215" s="184"/>
      <c r="D215" s="98"/>
      <c r="E215" s="83"/>
      <c r="F215" s="98"/>
      <c r="G215" s="183"/>
      <c r="H215" s="183"/>
      <c r="J215" s="97"/>
    </row>
    <row r="216" s="96" customFormat="true" ht="15" hidden="false" customHeight="true" outlineLevel="0" collapsed="false">
      <c r="A216" s="97"/>
      <c r="C216" s="181"/>
      <c r="D216" s="98"/>
      <c r="E216" s="83"/>
      <c r="F216" s="98"/>
      <c r="J216" s="97"/>
    </row>
    <row r="217" s="96" customFormat="true" ht="15" hidden="false" customHeight="true" outlineLevel="0" collapsed="false">
      <c r="A217" s="97"/>
      <c r="C217" s="181"/>
      <c r="D217" s="98"/>
      <c r="E217" s="97"/>
      <c r="F217" s="98"/>
      <c r="H217" s="181"/>
      <c r="J217" s="97"/>
    </row>
    <row r="218" s="96" customFormat="true" ht="15" hidden="false" customHeight="true" outlineLevel="0" collapsed="false">
      <c r="A218" s="182"/>
      <c r="B218" s="182"/>
      <c r="D218" s="98"/>
      <c r="E218" s="83"/>
      <c r="F218" s="183"/>
      <c r="H218" s="181"/>
      <c r="I218" s="97"/>
      <c r="J218" s="97"/>
    </row>
    <row r="219" s="96" customFormat="true" ht="15" hidden="false" customHeight="true" outlineLevel="0" collapsed="false">
      <c r="A219" s="97"/>
      <c r="C219" s="184" t="s">
        <v>516</v>
      </c>
      <c r="D219" s="98"/>
      <c r="E219" s="83"/>
      <c r="F219" s="98"/>
      <c r="I219" s="97"/>
      <c r="J219" s="97"/>
    </row>
    <row r="220" s="96" customFormat="true" ht="15" hidden="false" customHeight="true" outlineLevel="0" collapsed="false">
      <c r="A220" s="97"/>
      <c r="C220" s="181" t="s">
        <v>459</v>
      </c>
      <c r="D220" s="98"/>
      <c r="E220" s="83"/>
      <c r="F220" s="98"/>
      <c r="H220" s="184"/>
      <c r="J220" s="97"/>
    </row>
    <row r="221" s="96" customFormat="true" ht="15" hidden="false" customHeight="true" outlineLevel="0" collapsed="false">
      <c r="A221" s="97"/>
      <c r="C221" s="181" t="s">
        <v>460</v>
      </c>
      <c r="D221" s="98"/>
      <c r="E221" s="97"/>
      <c r="F221" s="98"/>
      <c r="J221" s="97"/>
    </row>
    <row r="222" s="96" customFormat="true" ht="15" hidden="false" customHeight="true" outlineLevel="0" collapsed="false">
      <c r="A222" s="97"/>
      <c r="C222" s="185" t="n">
        <f aca="false">$I$133</f>
        <v>3215</v>
      </c>
      <c r="D222" s="98"/>
      <c r="E222" s="83"/>
      <c r="F222" s="98"/>
      <c r="G222" s="186"/>
      <c r="J222" s="97"/>
    </row>
    <row r="223" s="96" customFormat="true" ht="15" hidden="false" customHeight="true" outlineLevel="0" collapsed="false">
      <c r="A223" s="97"/>
      <c r="C223" s="187" t="n">
        <f aca="false">$J$133</f>
        <v>1</v>
      </c>
      <c r="D223" s="98"/>
      <c r="E223" s="83"/>
      <c r="F223" s="98"/>
      <c r="G223" s="110"/>
      <c r="I223" s="97"/>
      <c r="J223" s="97"/>
    </row>
    <row r="224" s="96" customFormat="true" ht="15" hidden="false" customHeight="true" outlineLevel="0" collapsed="false">
      <c r="A224" s="97"/>
      <c r="D224" s="98"/>
      <c r="E224" s="97"/>
      <c r="F224" s="98"/>
      <c r="G224" s="110"/>
      <c r="I224" s="97"/>
      <c r="J224" s="97"/>
    </row>
    <row r="225" s="96" customFormat="true" ht="15.75" hidden="false" customHeight="true" outlineLevel="0" collapsed="false">
      <c r="A225" s="99"/>
      <c r="B225" s="99"/>
      <c r="C225" s="83"/>
      <c r="D225" s="98"/>
      <c r="E225" s="97"/>
      <c r="F225" s="98"/>
      <c r="G225" s="186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H226" s="97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189"/>
      <c r="J227" s="190"/>
    </row>
    <row r="228" s="96" customFormat="true" ht="15.75" hidden="false" customHeight="true" outlineLevel="0" collapsed="false">
      <c r="A228" s="99"/>
      <c r="B228" s="99"/>
      <c r="C228" s="181"/>
      <c r="D228" s="98"/>
      <c r="E228" s="97"/>
      <c r="F228" s="98"/>
      <c r="H228" s="97"/>
      <c r="I228" s="181"/>
      <c r="J228" s="193"/>
    </row>
    <row r="229" s="96" customFormat="true" ht="15.75" hidden="false" customHeight="true" outlineLevel="0" collapsed="false">
      <c r="A229" s="188"/>
      <c r="B229" s="188"/>
      <c r="D229" s="98"/>
      <c r="E229" s="97"/>
      <c r="F229" s="98"/>
      <c r="I229" s="181"/>
      <c r="J229" s="193"/>
    </row>
    <row r="230" s="96" customFormat="true" ht="15.75" hidden="false" customHeight="true" outlineLevel="0" collapsed="false">
      <c r="A230" s="97"/>
      <c r="B230" s="97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81"/>
      <c r="D231" s="98"/>
      <c r="E231" s="97"/>
      <c r="F231" s="97"/>
      <c r="I231" s="181"/>
      <c r="J231" s="193"/>
    </row>
    <row r="232" s="96" customFormat="true" ht="15.75" hidden="false" customHeight="true" outlineLevel="0" collapsed="false">
      <c r="A232" s="191"/>
      <c r="B232" s="191"/>
      <c r="C232" s="184" t="s">
        <v>517</v>
      </c>
      <c r="D232" s="192"/>
      <c r="E232" s="191"/>
      <c r="F232" s="191"/>
      <c r="G232" s="97"/>
      <c r="H232" s="97"/>
      <c r="I232" s="181"/>
      <c r="J232" s="193"/>
    </row>
    <row r="233" s="96" customFormat="true" ht="15.75" hidden="false" customHeight="true" outlineLevel="0" collapsed="false">
      <c r="A233" s="190"/>
      <c r="B233" s="190"/>
      <c r="C233" s="181" t="s">
        <v>462</v>
      </c>
      <c r="D233" s="194"/>
      <c r="E233" s="190"/>
      <c r="F233" s="189"/>
      <c r="G233" s="97"/>
      <c r="H233" s="97"/>
      <c r="J233" s="97"/>
    </row>
    <row r="234" s="96" customFormat="true" ht="15.75" hidden="false" customHeight="true" outlineLevel="0" collapsed="false">
      <c r="A234" s="97"/>
      <c r="C234" s="181" t="s">
        <v>518</v>
      </c>
      <c r="D234" s="98"/>
      <c r="E234" s="97"/>
      <c r="F234" s="98"/>
      <c r="G234" s="97"/>
      <c r="H234" s="97"/>
      <c r="I234" s="97"/>
      <c r="J234" s="196"/>
    </row>
    <row r="235" s="96" customFormat="true" ht="15.75" hidden="false" customHeight="true" outlineLevel="0" collapsed="false">
      <c r="A235" s="97"/>
      <c r="C235" s="185" t="n">
        <f aca="false">$I$134</f>
        <v>3189</v>
      </c>
      <c r="D235" s="98"/>
      <c r="E235" s="97"/>
      <c r="F235" s="98"/>
      <c r="G235" s="97"/>
      <c r="H235" s="97"/>
      <c r="I235" s="196"/>
      <c r="J235" s="196"/>
    </row>
    <row r="236" s="96" customFormat="true" ht="15.75" hidden="false" customHeight="true" outlineLevel="0" collapsed="false">
      <c r="A236" s="97"/>
      <c r="C236" s="187" t="n">
        <f aca="false">$J$134</f>
        <v>1</v>
      </c>
      <c r="D236" s="98"/>
      <c r="E236" s="97"/>
      <c r="F236" s="98"/>
      <c r="G236" s="97"/>
      <c r="H236" s="195"/>
      <c r="I236" s="184"/>
      <c r="J236" s="198"/>
    </row>
    <row r="237" s="96" customFormat="true" ht="15.75" hidden="false" customHeight="true" outlineLevel="0" collapsed="false">
      <c r="A237" s="97"/>
      <c r="C237" s="191"/>
      <c r="D237" s="98"/>
      <c r="E237" s="97"/>
      <c r="F237" s="98"/>
      <c r="G237" s="97"/>
      <c r="H237" s="195"/>
      <c r="I237" s="181"/>
      <c r="J237" s="193"/>
    </row>
    <row r="238" s="96" customFormat="true" ht="15.75" hidden="false" customHeight="true" outlineLevel="0" collapsed="false">
      <c r="A238" s="97"/>
      <c r="D238" s="98"/>
      <c r="E238" s="97"/>
      <c r="F238" s="98"/>
      <c r="G238" s="97"/>
      <c r="H238" s="97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96"/>
      <c r="J239" s="196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1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97"/>
      <c r="I241" s="97"/>
      <c r="J241" s="196"/>
    </row>
    <row r="242" s="96" customFormat="true" ht="15.75" hidden="false" customHeight="true" outlineLevel="0" collapsed="false">
      <c r="A242" s="97"/>
      <c r="C242" s="184" t="s">
        <v>519</v>
      </c>
      <c r="D242" s="98"/>
      <c r="E242" s="97"/>
      <c r="F242" s="98"/>
      <c r="G242" s="97"/>
      <c r="H242" s="97"/>
      <c r="I242" s="196"/>
      <c r="J242" s="196"/>
    </row>
    <row r="243" s="96" customFormat="true" ht="15.75" hidden="false" customHeight="true" outlineLevel="0" collapsed="false">
      <c r="A243" s="97"/>
      <c r="C243" s="181" t="s">
        <v>459</v>
      </c>
      <c r="D243" s="98"/>
      <c r="E243" s="97"/>
      <c r="F243" s="98"/>
      <c r="G243" s="97"/>
      <c r="H243" s="97"/>
      <c r="I243" s="196"/>
      <c r="J243" s="196"/>
    </row>
    <row r="244" s="96" customFormat="true" ht="15" hidden="false" customHeight="true" outlineLevel="0" collapsed="false">
      <c r="A244" s="97"/>
      <c r="C244" s="181" t="s">
        <v>460</v>
      </c>
      <c r="D244" s="98"/>
      <c r="E244" s="97"/>
      <c r="F244" s="98"/>
      <c r="G244" s="97"/>
      <c r="H244" s="97"/>
      <c r="I244" s="196"/>
      <c r="J244" s="196"/>
    </row>
    <row r="245" s="96" customFormat="true" ht="15.75" hidden="false" customHeight="true" outlineLevel="0" collapsed="false">
      <c r="A245" s="97"/>
      <c r="C245" s="185" t="n">
        <f aca="false">$I$135</f>
        <v>3215</v>
      </c>
      <c r="D245" s="98"/>
      <c r="E245" s="97"/>
      <c r="F245" s="98"/>
      <c r="G245" s="97"/>
      <c r="H245" s="97"/>
      <c r="I245" s="191"/>
      <c r="J245" s="199"/>
    </row>
    <row r="246" s="96" customFormat="true" ht="15.75" hidden="false" customHeight="true" outlineLevel="0" collapsed="false">
      <c r="A246" s="97"/>
      <c r="C246" s="187" t="n">
        <f aca="false">$J$135</f>
        <v>1</v>
      </c>
      <c r="D246" s="98"/>
      <c r="E246" s="97"/>
      <c r="F246" s="98"/>
      <c r="G246" s="97"/>
      <c r="H246" s="97"/>
      <c r="I246" s="189"/>
      <c r="J246" s="190"/>
    </row>
    <row r="247" s="96" customFormat="true" ht="15.75" hidden="false" customHeight="true" outlineLevel="0" collapsed="false">
      <c r="A247" s="97"/>
      <c r="C247" s="98"/>
      <c r="D247" s="98"/>
      <c r="E247" s="97"/>
      <c r="F247" s="98"/>
      <c r="G247" s="97"/>
      <c r="H247" s="97"/>
      <c r="J247" s="97"/>
    </row>
    <row r="248" s="96" customFormat="true" ht="15.75" hidden="false" customHeight="true" outlineLevel="0" collapsed="false">
      <c r="A248" s="97"/>
      <c r="D248" s="98"/>
      <c r="E248" s="97"/>
      <c r="F248" s="97"/>
      <c r="G248" s="191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0"/>
      <c r="H250" s="97"/>
      <c r="I250" s="196"/>
      <c r="J250" s="196"/>
    </row>
    <row r="251" s="96" customFormat="true" ht="15.75" hidden="false" customHeight="true" outlineLevel="0" collapsed="false">
      <c r="A251" s="97"/>
      <c r="D251" s="98"/>
      <c r="E251" s="97"/>
      <c r="F251" s="97"/>
      <c r="G251" s="97"/>
      <c r="H251" s="97"/>
      <c r="I251" s="196"/>
      <c r="J251" s="196"/>
    </row>
    <row r="252" s="96" customFormat="true" ht="15.75" hidden="false" customHeight="true" outlineLevel="0" collapsed="false">
      <c r="A252" s="191"/>
      <c r="B252" s="191"/>
      <c r="D252" s="192"/>
      <c r="E252" s="191"/>
      <c r="F252" s="191"/>
      <c r="G252" s="97"/>
      <c r="H252" s="97"/>
      <c r="I252" s="196"/>
      <c r="J252" s="196"/>
    </row>
    <row r="253" s="96" customFormat="true" ht="15.75" hidden="false" customHeight="true" outlineLevel="0" collapsed="false">
      <c r="A253" s="190"/>
      <c r="B253" s="190"/>
      <c r="C253" s="184" t="s">
        <v>520</v>
      </c>
      <c r="D253" s="194"/>
      <c r="E253" s="190"/>
      <c r="F253" s="189"/>
      <c r="G253" s="97"/>
      <c r="I253" s="196"/>
      <c r="J253" s="196"/>
    </row>
    <row r="254" s="96" customFormat="true" ht="15.75" hidden="false" customHeight="true" outlineLevel="0" collapsed="false">
      <c r="A254" s="200"/>
      <c r="C254" s="181" t="s">
        <v>459</v>
      </c>
      <c r="D254" s="98"/>
      <c r="E254" s="97"/>
      <c r="F254" s="97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460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5" t="n">
        <f aca="false">$I$136</f>
        <v>3215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7" t="n">
        <f aca="false">$J$136</f>
        <v>1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C261" s="98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C263" s="184" t="s">
        <v>586</v>
      </c>
      <c r="D263" s="98"/>
      <c r="E263" s="97"/>
      <c r="F263" s="97"/>
      <c r="G263" s="97"/>
      <c r="H263" s="97"/>
      <c r="I263" s="196"/>
      <c r="J263" s="196"/>
    </row>
    <row r="264" s="96" customFormat="true" ht="15.75" hidden="false" customHeight="true" outlineLevel="0" collapsed="false">
      <c r="A264" s="200"/>
      <c r="C264" s="181" t="s">
        <v>522</v>
      </c>
      <c r="D264" s="181"/>
      <c r="E264" s="181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468</v>
      </c>
      <c r="D265" s="181"/>
      <c r="E265" s="181"/>
      <c r="F265" s="97"/>
      <c r="G265" s="97"/>
      <c r="H265" s="97"/>
      <c r="J265" s="97"/>
    </row>
    <row r="266" s="96" customFormat="true" ht="15.75" hidden="false" customHeight="true" outlineLevel="0" collapsed="false">
      <c r="A266" s="200"/>
      <c r="C266" s="185" t="n">
        <f aca="false">$I$137</f>
        <v>2195</v>
      </c>
      <c r="D266" s="98"/>
      <c r="E266" s="97"/>
      <c r="F266" s="97"/>
      <c r="J266" s="97"/>
    </row>
    <row r="267" s="96" customFormat="true" ht="15.75" hidden="false" customHeight="true" outlineLevel="0" collapsed="false">
      <c r="A267" s="200"/>
      <c r="C267" s="187" t="n">
        <f aca="false">$J$137+$J$138</f>
        <v>2</v>
      </c>
      <c r="D267" s="98"/>
      <c r="E267" s="97"/>
      <c r="F267" s="97"/>
      <c r="G267" s="97"/>
      <c r="H267" s="97"/>
      <c r="J267" s="97"/>
    </row>
    <row r="268" s="96" customFormat="true" ht="15.75" hidden="false" customHeight="true" outlineLevel="0" collapsed="false">
      <c r="A268" s="200"/>
      <c r="D268" s="184"/>
      <c r="E268" s="184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I272" s="196"/>
      <c r="J272" s="196"/>
    </row>
    <row r="273" s="96" customFormat="true" ht="15.75" hidden="false" customHeight="true" outlineLevel="0" collapsed="false">
      <c r="A273" s="200"/>
      <c r="D273" s="98"/>
      <c r="E273" s="97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C274" s="184" t="s">
        <v>523</v>
      </c>
      <c r="D274" s="201"/>
      <c r="E274" s="196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1" t="s">
        <v>470</v>
      </c>
      <c r="D275" s="181"/>
      <c r="E275" s="181"/>
      <c r="F275" s="97"/>
      <c r="G275" s="97"/>
      <c r="I275" s="97"/>
      <c r="J275" s="196"/>
    </row>
    <row r="276" s="96" customFormat="true" ht="15.75" hidden="false" customHeight="true" outlineLevel="0" collapsed="false">
      <c r="A276" s="200"/>
      <c r="C276" s="181" t="s">
        <v>471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5" t="n">
        <f aca="false">$I$139</f>
        <v>2099</v>
      </c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7" t="n">
        <f aca="false">$J$139+$J$140</f>
        <v>2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F279" s="97"/>
      <c r="G279" s="97"/>
      <c r="H279" s="97"/>
      <c r="J279" s="97"/>
    </row>
    <row r="280" s="96" customFormat="true" ht="15.75" hidden="false" customHeight="true" outlineLevel="0" collapsed="false">
      <c r="A280" s="200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D281" s="98"/>
      <c r="E281" s="97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J282" s="97"/>
    </row>
    <row r="283" s="96" customFormat="true" ht="15.75" hidden="false" customHeight="true" outlineLevel="0" collapsed="false">
      <c r="A283" s="200"/>
      <c r="F283" s="97"/>
      <c r="G283" s="97"/>
      <c r="H283" s="97"/>
      <c r="I283" s="201"/>
      <c r="J283" s="196"/>
    </row>
    <row r="284" s="96" customFormat="true" ht="15.75" hidden="false" customHeight="true" outlineLevel="0" collapsed="false">
      <c r="A284" s="200"/>
      <c r="C284" s="184" t="s">
        <v>524</v>
      </c>
      <c r="F284" s="97"/>
      <c r="G284" s="97"/>
      <c r="H284" s="97"/>
      <c r="I284" s="97"/>
      <c r="J284" s="196"/>
    </row>
    <row r="285" s="96" customFormat="true" ht="15.75" hidden="false" customHeight="true" outlineLevel="0" collapsed="false">
      <c r="A285" s="200"/>
      <c r="C285" s="83" t="s">
        <v>589</v>
      </c>
      <c r="D285" s="98"/>
      <c r="E285" s="97"/>
      <c r="F285" s="97"/>
      <c r="G285" s="97"/>
      <c r="H285" s="97"/>
      <c r="I285" s="196"/>
      <c r="J285" s="196"/>
    </row>
    <row r="286" s="96" customFormat="true" ht="15.75" hidden="false" customHeight="true" outlineLevel="0" collapsed="false">
      <c r="A286" s="200"/>
      <c r="C286" s="181" t="s">
        <v>605</v>
      </c>
      <c r="D286" s="98"/>
      <c r="E286" s="97"/>
      <c r="F286" s="97"/>
      <c r="G286" s="97"/>
      <c r="H286" s="97"/>
      <c r="I286" s="196"/>
      <c r="J286" s="196"/>
    </row>
    <row r="287" s="96" customFormat="true" ht="15.75" hidden="false" customHeight="true" outlineLevel="0" collapsed="false">
      <c r="A287" s="200"/>
      <c r="C287" s="181" t="s">
        <v>475</v>
      </c>
      <c r="D287" s="181"/>
      <c r="E287" s="181"/>
      <c r="F287" s="97"/>
      <c r="G287" s="97"/>
      <c r="I287" s="196"/>
      <c r="J287" s="196"/>
    </row>
    <row r="288" s="202" customFormat="true" ht="15.75" hidden="false" customHeight="true" outlineLevel="0" collapsed="false">
      <c r="A288" s="200"/>
      <c r="B288" s="96"/>
      <c r="C288" s="181" t="s">
        <v>476</v>
      </c>
      <c r="D288" s="181"/>
      <c r="E288" s="181"/>
      <c r="F288" s="97"/>
      <c r="G288" s="97"/>
      <c r="H288" s="96"/>
      <c r="I288" s="97"/>
      <c r="J288" s="97"/>
    </row>
    <row r="289" s="96" customFormat="true" ht="15.75" hidden="false" customHeight="true" outlineLevel="0" collapsed="false">
      <c r="A289" s="200"/>
      <c r="C289" s="185" t="n">
        <f aca="false">$I$141</f>
        <v>782.75</v>
      </c>
      <c r="F289" s="97"/>
      <c r="G289" s="97"/>
      <c r="I289" s="191"/>
      <c r="J289" s="199"/>
    </row>
    <row r="290" s="96" customFormat="true" ht="15.75" hidden="false" customHeight="true" outlineLevel="0" collapsed="false">
      <c r="A290" s="200"/>
      <c r="C290" s="187" t="n">
        <f aca="false">$J$141+$J$142</f>
        <v>8</v>
      </c>
      <c r="D290" s="98"/>
      <c r="E290" s="97"/>
      <c r="F290" s="97"/>
      <c r="G290" s="97"/>
      <c r="H290" s="98"/>
      <c r="I290" s="189"/>
      <c r="J290" s="190"/>
    </row>
    <row r="291" s="96" customFormat="true" ht="15.75" hidden="false" customHeight="true" outlineLevel="0" collapsed="false">
      <c r="A291" s="200"/>
      <c r="C291" s="185" t="n">
        <f aca="false">$I$143</f>
        <v>2103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C292" s="187" t="n">
        <f aca="false">$J$143+$J$144+$J$145</f>
        <v>8</v>
      </c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D293" s="98"/>
      <c r="E293" s="97"/>
      <c r="F293" s="97"/>
      <c r="G293" s="97"/>
      <c r="H293" s="97"/>
      <c r="I293" s="196"/>
      <c r="J293" s="196"/>
    </row>
    <row r="294" s="96" customFormat="true" ht="15.75" hidden="false" customHeight="true" outlineLevel="0" collapsed="false">
      <c r="A294" s="200"/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202"/>
      <c r="D295" s="98"/>
      <c r="E295" s="97"/>
      <c r="F295" s="97"/>
      <c r="G295" s="97"/>
      <c r="H295" s="97"/>
      <c r="I295" s="97"/>
      <c r="J295" s="196"/>
    </row>
    <row r="296" s="96" customFormat="true" ht="15.75" hidden="false" customHeight="true" outlineLevel="0" collapsed="false">
      <c r="A296" s="200"/>
      <c r="C296" s="184" t="s">
        <v>525</v>
      </c>
      <c r="D296" s="98"/>
      <c r="E296" s="97"/>
      <c r="F296" s="97"/>
      <c r="G296" s="97"/>
      <c r="H296" s="97"/>
      <c r="I296" s="97"/>
      <c r="J296" s="196"/>
    </row>
    <row r="297" s="96" customFormat="true" ht="15.75" hidden="false" customHeight="true" outlineLevel="0" collapsed="false">
      <c r="A297" s="200"/>
      <c r="C297" s="83" t="s">
        <v>589</v>
      </c>
      <c r="D297" s="98"/>
      <c r="E297" s="97"/>
      <c r="F297" s="97"/>
      <c r="G297" s="191"/>
      <c r="H297" s="191"/>
      <c r="I297" s="97"/>
      <c r="J297" s="196"/>
    </row>
    <row r="298" s="96" customFormat="true" ht="15.75" hidden="false" customHeight="true" outlineLevel="0" collapsed="false">
      <c r="A298" s="200"/>
      <c r="C298" s="181" t="s">
        <v>590</v>
      </c>
      <c r="D298" s="181"/>
      <c r="E298" s="181"/>
      <c r="F298" s="97"/>
      <c r="G298" s="190"/>
      <c r="H298" s="189"/>
      <c r="I298" s="97"/>
      <c r="J298" s="196"/>
    </row>
    <row r="299" s="96" customFormat="true" ht="15.75" hidden="false" customHeight="true" outlineLevel="0" collapsed="false">
      <c r="A299" s="107"/>
      <c r="C299" s="181" t="s">
        <v>478</v>
      </c>
      <c r="D299" s="181"/>
      <c r="E299" s="181"/>
      <c r="F299" s="97"/>
      <c r="G299" s="97"/>
      <c r="H299" s="97"/>
      <c r="I299" s="97"/>
      <c r="J299" s="196"/>
    </row>
    <row r="300" s="96" customFormat="true" ht="15.75" hidden="false" customHeight="true" outlineLevel="0" collapsed="false">
      <c r="A300" s="191"/>
      <c r="B300" s="191"/>
      <c r="C300" s="181" t="s">
        <v>479</v>
      </c>
      <c r="D300" s="203"/>
      <c r="E300" s="204"/>
      <c r="F300" s="191"/>
      <c r="G300" s="97"/>
      <c r="H300" s="97"/>
      <c r="I300" s="97"/>
      <c r="J300" s="196"/>
    </row>
    <row r="301" s="96" customFormat="true" ht="15.75" hidden="false" customHeight="true" outlineLevel="0" collapsed="false">
      <c r="A301" s="190"/>
      <c r="B301" s="190"/>
      <c r="C301" s="185" t="n">
        <f aca="false">$I$146</f>
        <v>687.5625</v>
      </c>
      <c r="D301" s="205"/>
      <c r="E301" s="206"/>
      <c r="F301" s="189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7" t="n">
        <f aca="false">$J$146</f>
        <v>8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5" t="n">
        <f aca="false">$I$147</f>
        <v>1953</v>
      </c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C304" s="187" t="n">
        <f aca="false">$J$147</f>
        <v>8</v>
      </c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C305" s="185"/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C306" s="187"/>
      <c r="D306" s="98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D307" s="98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184"/>
      <c r="D308" s="98"/>
      <c r="E308" s="97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4"/>
      <c r="D309" s="98"/>
      <c r="E309" s="97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D310" s="98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200"/>
      <c r="D313" s="201"/>
      <c r="E313" s="196"/>
      <c r="F313" s="97"/>
      <c r="G313" s="97"/>
      <c r="H313" s="97"/>
      <c r="I313" s="200"/>
      <c r="J313" s="92" t="str">
        <f aca="false">LEFT($J$111,13)&amp;"-03"</f>
        <v>FG-240-4P2L2R-03</v>
      </c>
    </row>
    <row r="314" customFormat="false" ht="12.75" hidden="false" customHeight="true" outlineLevel="0" collapsed="false">
      <c r="A314" s="97"/>
      <c r="B314" s="49"/>
      <c r="C314" s="49"/>
      <c r="D314" s="207"/>
      <c r="E314" s="200"/>
      <c r="F314" s="200"/>
      <c r="G314" s="200"/>
      <c r="H314" s="200"/>
      <c r="I314" s="208"/>
      <c r="J314" s="208"/>
    </row>
    <row r="315" customFormat="false" ht="30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77" t="str">
        <f aca="false">$J$2</f>
        <v>HOMELIFE</v>
      </c>
    </row>
    <row r="316" customFormat="false" ht="24.75" hidden="false" customHeight="true" outlineLevel="0" collapsed="false">
      <c r="C316" s="75"/>
      <c r="D316" s="76"/>
      <c r="E316" s="76"/>
      <c r="F316" s="76"/>
      <c r="G316" s="76"/>
      <c r="H316" s="76"/>
      <c r="I316" s="82"/>
      <c r="J316" s="80" t="str">
        <f aca="false">$J$3</f>
        <v>Fabricators Guide</v>
      </c>
      <c r="K316" s="83"/>
      <c r="L316" s="83"/>
      <c r="M316" s="79"/>
      <c r="N316" s="79"/>
    </row>
    <row r="317" customFormat="false" ht="24.75" hidden="false" customHeight="true" outlineLevel="0" collapsed="false">
      <c r="C317" s="82"/>
      <c r="D317" s="82"/>
      <c r="E317" s="82"/>
      <c r="F317" s="82"/>
      <c r="G317" s="82"/>
      <c r="H317" s="82"/>
      <c r="I317" s="82"/>
      <c r="J317" s="80" t="str">
        <f aca="false">$J$4</f>
        <v>240 Series Bi Fold Door </v>
      </c>
      <c r="M317" s="87"/>
      <c r="N317" s="87"/>
    </row>
    <row r="318" s="96" customFormat="true" ht="15" hidden="false" customHeight="true" outlineLevel="0" collapsed="false">
      <c r="A318" s="84"/>
      <c r="B318" s="81"/>
      <c r="C318" s="82"/>
      <c r="D318" s="82"/>
      <c r="E318" s="82"/>
      <c r="F318" s="82"/>
      <c r="G318" s="82"/>
      <c r="H318" s="82"/>
      <c r="I318" s="84"/>
      <c r="J318" s="94"/>
      <c r="K318" s="87"/>
      <c r="L318" s="87"/>
      <c r="M318" s="87"/>
      <c r="N318" s="87"/>
    </row>
    <row r="319" customFormat="false" ht="24.75" hidden="false" customHeight="true" outlineLevel="0" collapsed="false">
      <c r="A319" s="88" t="s">
        <v>480</v>
      </c>
      <c r="B319" s="88"/>
      <c r="C319" s="88"/>
      <c r="D319" s="88"/>
      <c r="E319" s="88"/>
      <c r="F319" s="88"/>
      <c r="G319" s="88"/>
      <c r="H319" s="88"/>
      <c r="I319" s="88"/>
      <c r="J319" s="88"/>
      <c r="K319" s="87"/>
      <c r="L319" s="87"/>
      <c r="M319" s="87"/>
      <c r="N319" s="87"/>
    </row>
    <row r="321" s="96" customFormat="true" ht="15" hidden="false" customHeight="true" outlineLevel="0" collapsed="false">
      <c r="A321" s="188"/>
      <c r="D321" s="73"/>
      <c r="I321" s="183"/>
      <c r="J321" s="99"/>
    </row>
    <row r="322" s="96" customFormat="true" ht="15" hidden="false" customHeight="true" outlineLevel="0" collapsed="false">
      <c r="A322" s="97"/>
      <c r="B322" s="81"/>
      <c r="D322" s="98"/>
      <c r="E322" s="83"/>
      <c r="F322" s="183"/>
      <c r="G322" s="183"/>
      <c r="H322" s="183"/>
      <c r="I322" s="83"/>
      <c r="J322" s="97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C325" s="98"/>
      <c r="D325" s="98"/>
      <c r="E325" s="83"/>
      <c r="F325" s="98"/>
      <c r="G325" s="97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97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83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182"/>
      <c r="J328" s="97"/>
    </row>
    <row r="329" s="96" customFormat="true" ht="15" hidden="false" customHeight="true" outlineLevel="0" collapsed="false">
      <c r="A329" s="81"/>
      <c r="C329" s="182"/>
      <c r="D329" s="98"/>
      <c r="E329" s="97"/>
      <c r="F329" s="209"/>
      <c r="G329" s="209"/>
      <c r="H329" s="110"/>
      <c r="I329" s="98"/>
      <c r="J329" s="97"/>
    </row>
    <row r="330" s="96" customFormat="true" ht="15" hidden="false" customHeight="true" outlineLevel="0" collapsed="false">
      <c r="A330" s="99"/>
      <c r="B330" s="81"/>
      <c r="C330" s="98"/>
      <c r="D330" s="98"/>
      <c r="E330" s="97"/>
      <c r="F330" s="210"/>
      <c r="G330" s="210"/>
      <c r="H330" s="110"/>
      <c r="I330" s="98"/>
      <c r="J330" s="97"/>
    </row>
    <row r="331" s="96" customFormat="true" ht="15" hidden="false" customHeight="true" outlineLevel="0" collapsed="false">
      <c r="A331" s="211" t="str">
        <f aca="false">A18</f>
        <v>240-4 Panel (2L2R)</v>
      </c>
      <c r="B331" s="99"/>
      <c r="C331" s="98"/>
      <c r="D331" s="98"/>
      <c r="E331" s="97"/>
      <c r="F331" s="110"/>
      <c r="G331" s="110"/>
      <c r="H331" s="110"/>
      <c r="I331" s="97"/>
      <c r="J331" s="97"/>
    </row>
    <row r="332" s="96" customFormat="true" ht="15" hidden="false" customHeight="true" outlineLevel="0" collapsed="false">
      <c r="A332" s="90" t="str">
        <f aca="false">A19</f>
        <v>Outside Bi Fold Door 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.75" hidden="false" customHeight="true" outlineLevel="0" collapsed="false">
      <c r="A333" s="97"/>
      <c r="B333" s="188"/>
      <c r="C333" s="182"/>
      <c r="D333" s="98"/>
      <c r="E333" s="97"/>
      <c r="F333" s="210"/>
      <c r="G333" s="210"/>
      <c r="H333" s="110"/>
      <c r="I333" s="97"/>
      <c r="J333" s="97"/>
    </row>
    <row r="334" s="96" customFormat="true" ht="15.75" hidden="false" customHeight="true" outlineLevel="0" collapsed="false">
      <c r="A334" s="81"/>
      <c r="B334" s="97"/>
      <c r="C334" s="98"/>
      <c r="D334" s="98"/>
      <c r="E334" s="97"/>
      <c r="F334" s="78"/>
      <c r="H334" s="97"/>
      <c r="I334" s="97"/>
      <c r="J334" s="97"/>
    </row>
    <row r="335" s="96" customFormat="true" ht="15.75" hidden="false" customHeight="true" outlineLevel="0" collapsed="false">
      <c r="A335" s="191"/>
      <c r="C335" s="212"/>
      <c r="D335" s="98"/>
      <c r="E335" s="97"/>
      <c r="F335" s="97"/>
      <c r="G335" s="97"/>
      <c r="H335" s="97"/>
      <c r="I335" s="191"/>
      <c r="J335" s="199"/>
    </row>
    <row r="336" s="96" customFormat="true" ht="15.75" hidden="false" customHeight="true" outlineLevel="0" collapsed="false">
      <c r="A336" s="190"/>
      <c r="C336" s="191"/>
      <c r="D336" s="192"/>
      <c r="E336" s="191"/>
      <c r="F336" s="191"/>
      <c r="G336" s="191"/>
      <c r="H336" s="191"/>
      <c r="I336" s="189"/>
      <c r="J336" s="190"/>
    </row>
    <row r="337" s="96" customFormat="true" ht="15.75" hidden="false" customHeight="true" outlineLevel="0" collapsed="false">
      <c r="A337" s="97"/>
      <c r="C337" s="98"/>
      <c r="D337" s="194"/>
      <c r="E337" s="190"/>
      <c r="F337" s="189"/>
      <c r="G337" s="190"/>
      <c r="H337" s="189"/>
      <c r="I337" s="196"/>
      <c r="J337" s="196"/>
    </row>
    <row r="338" s="96" customFormat="true" ht="15.75" hidden="false" customHeight="true" outlineLevel="0" collapsed="false">
      <c r="A338" s="97"/>
      <c r="C338" s="98"/>
      <c r="D338" s="98"/>
      <c r="E338" s="97"/>
      <c r="F338" s="98"/>
      <c r="G338" s="97"/>
      <c r="H338" s="97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201"/>
      <c r="J339" s="201"/>
    </row>
    <row r="340" s="96" customFormat="true" ht="15.75" hidden="false" customHeight="true" outlineLevel="0" collapsed="false">
      <c r="A340" s="97"/>
      <c r="C340" s="191"/>
      <c r="D340" s="98"/>
      <c r="E340" s="97"/>
      <c r="F340" s="98"/>
      <c r="G340" s="97"/>
      <c r="H340" s="201"/>
      <c r="I340" s="98"/>
      <c r="J340" s="98"/>
    </row>
    <row r="341" s="96" customFormat="true" ht="15.75" hidden="false" customHeight="true" outlineLevel="0" collapsed="false">
      <c r="A341" s="97"/>
      <c r="C341" s="182"/>
      <c r="D341" s="98"/>
      <c r="E341" s="97"/>
      <c r="F341" s="98"/>
      <c r="G341" s="97"/>
      <c r="H341" s="98"/>
      <c r="I341" s="98"/>
      <c r="J341" s="98"/>
    </row>
    <row r="342" s="96" customFormat="true" ht="15.75" hidden="false" customHeight="true" outlineLevel="0" collapsed="false">
      <c r="A342" s="97"/>
      <c r="C342" s="98"/>
      <c r="D342" s="98"/>
      <c r="E342" s="97"/>
      <c r="F342" s="98"/>
      <c r="G342" s="97"/>
      <c r="H342" s="98"/>
      <c r="I342" s="97"/>
      <c r="J342" s="196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7"/>
      <c r="I343" s="196"/>
      <c r="J343" s="196"/>
    </row>
    <row r="344" s="96" customFormat="true" ht="15.75" hidden="false" customHeight="true" outlineLevel="0" collapsed="false">
      <c r="A344" s="97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C347" s="191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98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97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196"/>
      <c r="J350" s="196"/>
    </row>
    <row r="351" s="96" customFormat="true" ht="15.75" hidden="false" customHeight="true" outlineLevel="0" collapsed="false">
      <c r="A351" s="97"/>
      <c r="D351" s="98"/>
      <c r="E351" s="97"/>
      <c r="F351" s="97"/>
      <c r="G351" s="97"/>
      <c r="H351" s="97"/>
      <c r="I351" s="196"/>
      <c r="J351" s="196"/>
    </row>
    <row r="352" s="96" customFormat="true" ht="15" hidden="false" customHeight="true" outlineLevel="0" collapsed="false">
      <c r="A352" s="97"/>
      <c r="D352" s="98"/>
      <c r="E352" s="97"/>
      <c r="F352" s="97"/>
      <c r="G352" s="97"/>
      <c r="H352" s="195"/>
      <c r="I352" s="196"/>
      <c r="J352" s="196"/>
    </row>
    <row r="353" s="202" customFormat="true" ht="15.75" hidden="false" customHeight="true" outlineLevel="0" collapsed="false">
      <c r="A353" s="97"/>
      <c r="B353" s="96"/>
      <c r="C353" s="96"/>
      <c r="D353" s="98"/>
      <c r="E353" s="97"/>
      <c r="F353" s="97"/>
      <c r="G353" s="97"/>
      <c r="H353" s="97"/>
      <c r="I353" s="97"/>
      <c r="J353" s="97"/>
    </row>
    <row r="354" s="96" customFormat="true" ht="15.75" hidden="false" customHeight="true" outlineLevel="0" collapsed="false">
      <c r="A354" s="191"/>
      <c r="D354" s="98"/>
      <c r="E354" s="97"/>
      <c r="F354" s="97"/>
      <c r="G354" s="97"/>
      <c r="H354" s="97"/>
      <c r="I354" s="191"/>
      <c r="J354" s="199"/>
    </row>
    <row r="355" s="96" customFormat="true" ht="15.75" hidden="false" customHeight="true" outlineLevel="0" collapsed="false">
      <c r="A355" s="190"/>
      <c r="B355" s="191"/>
      <c r="C355" s="191"/>
      <c r="D355" s="192"/>
      <c r="E355" s="191"/>
      <c r="F355" s="191"/>
      <c r="G355" s="191"/>
      <c r="H355" s="191"/>
      <c r="I355" s="189"/>
      <c r="J355" s="190"/>
    </row>
    <row r="356" s="96" customFormat="true" ht="15.75" hidden="false" customHeight="true" outlineLevel="0" collapsed="false">
      <c r="A356" s="200"/>
      <c r="B356" s="190"/>
      <c r="C356" s="191"/>
      <c r="D356" s="194"/>
      <c r="E356" s="190"/>
      <c r="F356" s="189"/>
      <c r="G356" s="190"/>
      <c r="H356" s="189"/>
      <c r="I356" s="196"/>
      <c r="J356" s="196"/>
    </row>
    <row r="357" s="96" customFormat="true" ht="15.75" hidden="false" customHeight="true" outlineLevel="0" collapsed="false">
      <c r="A357" s="200"/>
      <c r="C357" s="182"/>
      <c r="D357" s="98"/>
      <c r="E357" s="97"/>
      <c r="F357" s="97"/>
      <c r="G357" s="97"/>
      <c r="H357" s="182"/>
      <c r="I357" s="98"/>
      <c r="J357" s="98"/>
    </row>
    <row r="358" s="96" customFormat="true" ht="15.75" hidden="false" customHeight="true" outlineLevel="0" collapsed="false">
      <c r="A358" s="200"/>
      <c r="C358" s="98"/>
      <c r="D358" s="98"/>
      <c r="E358" s="97"/>
      <c r="F358" s="97"/>
      <c r="G358" s="97"/>
      <c r="H358" s="98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196"/>
      <c r="J359" s="196"/>
    </row>
    <row r="360" s="96" customFormat="true" ht="15.75" hidden="false" customHeight="true" outlineLevel="0" collapsed="false">
      <c r="A360" s="200"/>
      <c r="D360" s="98"/>
      <c r="E360" s="97"/>
      <c r="F360" s="97"/>
      <c r="G360" s="97"/>
      <c r="H360" s="97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C363" s="98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G372" s="97"/>
      <c r="H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182"/>
      <c r="I375" s="98"/>
      <c r="J375" s="98"/>
    </row>
    <row r="376" s="96" customFormat="true" ht="15.75" hidden="false" customHeight="true" outlineLevel="0" collapsed="false">
      <c r="A376" s="200"/>
      <c r="C376" s="188"/>
      <c r="D376" s="98"/>
      <c r="E376" s="97"/>
      <c r="F376" s="97"/>
      <c r="G376" s="97"/>
      <c r="H376" s="98"/>
      <c r="I376" s="98"/>
      <c r="J376" s="98"/>
    </row>
    <row r="377" s="96" customFormat="true" ht="15.75" hidden="false" customHeight="true" outlineLevel="0" collapsed="false">
      <c r="A377" s="200"/>
      <c r="D377" s="98"/>
      <c r="E377" s="97"/>
      <c r="F377" s="97"/>
      <c r="G377" s="97"/>
      <c r="H377" s="98"/>
      <c r="I377" s="196"/>
      <c r="J377" s="196"/>
    </row>
    <row r="378" s="96" customFormat="true" ht="15.75" hidden="false" customHeight="true" outlineLevel="0" collapsed="false">
      <c r="A378" s="200"/>
      <c r="C378" s="98"/>
      <c r="D378" s="98"/>
      <c r="E378" s="97"/>
      <c r="F378" s="97"/>
      <c r="G378" s="97"/>
      <c r="H378" s="182"/>
      <c r="I378" s="98"/>
      <c r="J378" s="98"/>
    </row>
    <row r="379" s="96" customFormat="true" ht="15.75" hidden="false" customHeight="true" outlineLevel="0" collapsed="false">
      <c r="A379" s="200"/>
      <c r="D379" s="98"/>
      <c r="E379" s="97"/>
      <c r="F379" s="97"/>
      <c r="G379" s="97"/>
      <c r="H379" s="98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196"/>
      <c r="J380" s="196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7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97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213"/>
      <c r="J387" s="213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213"/>
      <c r="I388" s="97"/>
      <c r="J388" s="97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97"/>
      <c r="I389" s="98"/>
      <c r="J389" s="98"/>
    </row>
    <row r="390" s="96" customFormat="true" ht="15.75" hidden="false" customHeight="true" outlineLevel="0" collapsed="false">
      <c r="A390" s="200"/>
      <c r="C390" s="188"/>
      <c r="D390" s="98"/>
      <c r="E390" s="97"/>
      <c r="F390" s="97"/>
      <c r="G390" s="97"/>
      <c r="H390" s="98"/>
      <c r="I390" s="196"/>
      <c r="J390" s="196"/>
    </row>
    <row r="391" s="96" customFormat="true" ht="15.75" hidden="false" customHeight="true" outlineLevel="0" collapsed="false">
      <c r="A391" s="200"/>
      <c r="D391" s="98"/>
      <c r="E391" s="97"/>
      <c r="F391" s="97"/>
      <c r="G391" s="97"/>
      <c r="H391" s="97"/>
      <c r="I391" s="97"/>
      <c r="J391" s="196"/>
    </row>
    <row r="392" s="96" customFormat="true" ht="15.75" hidden="false" customHeight="true" outlineLevel="0" collapsed="false">
      <c r="A392" s="200"/>
      <c r="C392" s="98"/>
      <c r="D392" s="98"/>
      <c r="E392" s="97"/>
      <c r="F392" s="97"/>
      <c r="G392" s="97"/>
      <c r="H392" s="97"/>
      <c r="I392" s="196"/>
      <c r="J392" s="196"/>
    </row>
    <row r="393" s="96" customFormat="true" ht="15.75" hidden="false" customHeight="true" outlineLevel="0" collapsed="false">
      <c r="A393" s="200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107"/>
      <c r="D395" s="98"/>
      <c r="E395" s="97"/>
      <c r="F395" s="97"/>
      <c r="G395" s="97"/>
      <c r="H395" s="97"/>
      <c r="I395" s="97"/>
      <c r="J395" s="97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202" customFormat="true" ht="15.75" hidden="false" customHeight="true" outlineLevel="0" collapsed="false">
      <c r="A403" s="107"/>
      <c r="B403" s="96"/>
      <c r="C403" s="96"/>
      <c r="D403" s="98"/>
      <c r="E403" s="97"/>
      <c r="F403" s="97"/>
      <c r="G403" s="97"/>
      <c r="H403" s="97"/>
      <c r="I403" s="97"/>
      <c r="J403" s="97"/>
    </row>
    <row r="404" s="96" customFormat="true" ht="15.75" hidden="false" customHeight="true" outlineLevel="0" collapsed="false">
      <c r="A404" s="191"/>
      <c r="D404" s="98"/>
      <c r="E404" s="97"/>
      <c r="F404" s="97"/>
      <c r="G404" s="97"/>
      <c r="H404" s="97"/>
      <c r="I404" s="191"/>
      <c r="J404" s="199"/>
    </row>
    <row r="405" s="96" customFormat="true" ht="15.75" hidden="false" customHeight="true" outlineLevel="0" collapsed="false">
      <c r="A405" s="191"/>
      <c r="B405" s="191"/>
      <c r="C405" s="191"/>
      <c r="D405" s="192"/>
      <c r="E405" s="191"/>
      <c r="F405" s="191"/>
      <c r="G405" s="191"/>
      <c r="H405" s="191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97"/>
      <c r="B418" s="191"/>
      <c r="C418" s="191"/>
      <c r="D418" s="192"/>
      <c r="E418" s="191"/>
      <c r="F418" s="191"/>
      <c r="G418" s="191"/>
      <c r="H418" s="191"/>
      <c r="I418" s="196"/>
      <c r="J418" s="196"/>
      <c r="K418" s="214"/>
    </row>
    <row r="419" s="96" customFormat="true" ht="15.75" hidden="false" customHeight="true" outlineLevel="0" collapsed="false">
      <c r="A419" s="97"/>
      <c r="D419" s="98"/>
      <c r="E419" s="97"/>
      <c r="F419" s="97"/>
      <c r="G419" s="97"/>
      <c r="H419" s="97"/>
      <c r="I419" s="196"/>
    </row>
    <row r="420" customFormat="false" ht="18" hidden="false" customHeight="true" outlineLevel="0" collapsed="false">
      <c r="A420" s="97"/>
      <c r="B420" s="96"/>
      <c r="C420" s="96"/>
      <c r="D420" s="98"/>
      <c r="E420" s="97"/>
      <c r="F420" s="97"/>
      <c r="G420" s="97"/>
      <c r="H420" s="97"/>
      <c r="I420" s="97"/>
      <c r="J420" s="92" t="str">
        <f aca="false">LEFT($J$111,13)&amp;"-04"</f>
        <v>FG-240-4P2L2R-04</v>
      </c>
      <c r="K420" s="78"/>
      <c r="L420" s="78"/>
      <c r="M420" s="79"/>
      <c r="N420" s="79"/>
    </row>
    <row r="421" customFormat="false" ht="12.75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215"/>
      <c r="K421" s="78"/>
      <c r="L421" s="78"/>
      <c r="M421" s="79"/>
      <c r="N421" s="79"/>
    </row>
    <row r="422" customFormat="false" ht="30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77" t="str">
        <f aca="false">$J$2</f>
        <v>HOMELIFE</v>
      </c>
      <c r="K422" s="78"/>
      <c r="L422" s="78"/>
      <c r="M422" s="79"/>
      <c r="N422" s="79"/>
    </row>
    <row r="423" customFormat="false" ht="24.75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80" t="str">
        <f aca="false">$J$3</f>
        <v>Fabricators Guide</v>
      </c>
      <c r="K423" s="78"/>
      <c r="L423" s="78"/>
      <c r="M423" s="79"/>
      <c r="N423" s="79"/>
    </row>
    <row r="424" customFormat="false" ht="24.75" hidden="false" customHeight="true" outlineLevel="0" collapsed="false">
      <c r="C424" s="82"/>
      <c r="D424" s="82"/>
      <c r="E424" s="82"/>
      <c r="F424" s="82"/>
      <c r="G424" s="82"/>
      <c r="H424" s="82"/>
      <c r="I424" s="82"/>
      <c r="J424" s="80" t="str">
        <f aca="false">$J$4</f>
        <v>240 Series Bi Fold Door </v>
      </c>
      <c r="M424" s="87"/>
      <c r="N424" s="87"/>
    </row>
    <row r="425" s="96" customFormat="true" ht="15" hidden="false" customHeight="true" outlineLevel="0" collapsed="false">
      <c r="A425" s="84"/>
      <c r="B425" s="81"/>
      <c r="C425" s="82"/>
      <c r="D425" s="82"/>
      <c r="E425" s="82"/>
      <c r="F425" s="82"/>
      <c r="G425" s="82"/>
      <c r="H425" s="82"/>
      <c r="I425" s="84"/>
      <c r="J425" s="86"/>
      <c r="K425" s="87"/>
      <c r="L425" s="87"/>
      <c r="M425" s="87"/>
      <c r="N425" s="87"/>
    </row>
    <row r="426" s="96" customFormat="true" ht="24.75" hidden="false" customHeight="true" outlineLevel="0" collapsed="false">
      <c r="A426" s="88" t="s">
        <v>481</v>
      </c>
      <c r="B426" s="88"/>
      <c r="C426" s="88"/>
      <c r="D426" s="88"/>
      <c r="E426" s="88"/>
      <c r="F426" s="88"/>
      <c r="G426" s="88"/>
      <c r="H426" s="88"/>
      <c r="I426" s="88"/>
      <c r="J426" s="88"/>
      <c r="K426" s="87"/>
      <c r="L426" s="87"/>
      <c r="M426" s="87"/>
      <c r="N426" s="87"/>
    </row>
    <row r="427" s="96" customFormat="true" ht="15" hidden="false" customHeight="true" outlineLevel="0" collapsed="false">
      <c r="B427" s="268"/>
      <c r="C427" s="268"/>
      <c r="D427" s="268"/>
      <c r="E427" s="268"/>
      <c r="F427" s="268"/>
      <c r="G427" s="268"/>
      <c r="H427" s="268"/>
    </row>
    <row r="428" s="96" customFormat="true" ht="15" hidden="false" customHeight="true" outlineLevel="0" collapsed="false">
      <c r="A428" s="188"/>
      <c r="I428" s="191"/>
      <c r="J428" s="199"/>
    </row>
    <row r="429" s="96" customFormat="true" ht="15" hidden="false" customHeight="true" outlineLevel="0" collapsed="false">
      <c r="A429" s="97"/>
      <c r="B429" s="81"/>
      <c r="D429" s="98"/>
      <c r="E429" s="83"/>
      <c r="F429" s="81"/>
      <c r="H429" s="191"/>
      <c r="I429" s="191"/>
      <c r="J429" s="199"/>
    </row>
    <row r="430" s="96" customFormat="true" ht="15" hidden="false" customHeight="true" outlineLevel="0" collapsed="false">
      <c r="A430" s="97"/>
      <c r="D430" s="98"/>
      <c r="E430" s="83"/>
      <c r="F430" s="98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C432" s="98"/>
      <c r="D432" s="98"/>
      <c r="E432" s="97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83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81"/>
      <c r="C435" s="182"/>
      <c r="D435" s="98"/>
      <c r="E435" s="97"/>
      <c r="F435" s="216"/>
      <c r="H435" s="191"/>
      <c r="I435" s="191"/>
      <c r="J435" s="199"/>
    </row>
    <row r="436" s="96" customFormat="true" ht="15" hidden="false" customHeight="true" outlineLevel="0" collapsed="false">
      <c r="A436" s="99"/>
      <c r="B436" s="81"/>
      <c r="C436" s="98"/>
      <c r="D436" s="98"/>
      <c r="E436" s="97"/>
      <c r="F436" s="186"/>
      <c r="H436" s="191"/>
      <c r="I436" s="191"/>
      <c r="J436" s="199"/>
    </row>
    <row r="437" s="96" customFormat="true" ht="15" hidden="false" customHeight="true" outlineLevel="0" collapsed="false">
      <c r="B437" s="99"/>
      <c r="C437" s="98"/>
      <c r="D437" s="98"/>
      <c r="E437" s="97"/>
      <c r="F437" s="110"/>
      <c r="H437" s="191"/>
      <c r="I437" s="191"/>
      <c r="J437" s="199"/>
    </row>
    <row r="438" s="96" customFormat="true" ht="15" hidden="false" customHeight="true" outlineLevel="0" collapsed="false">
      <c r="A438" s="211" t="str">
        <f aca="false">A18</f>
        <v>240-4 Panel (2L2R)</v>
      </c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.75" hidden="false" customHeight="true" outlineLevel="0" collapsed="false">
      <c r="A439" s="90" t="str">
        <f aca="false">A19</f>
        <v>Outside Bi Fold Door </v>
      </c>
      <c r="C439" s="182"/>
      <c r="D439" s="98"/>
      <c r="E439" s="97"/>
      <c r="F439" s="186"/>
      <c r="H439" s="191"/>
      <c r="I439" s="191"/>
      <c r="J439" s="199"/>
    </row>
    <row r="440" s="96" customFormat="true" ht="15.75" hidden="false" customHeight="true" outlineLevel="0" collapsed="false">
      <c r="A440" s="81"/>
      <c r="C440" s="98"/>
      <c r="D440" s="98"/>
      <c r="E440" s="97"/>
      <c r="F440" s="78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81"/>
      <c r="C442" s="98"/>
      <c r="D442" s="98"/>
      <c r="E442" s="97"/>
      <c r="F442" s="78"/>
      <c r="H442" s="191"/>
      <c r="I442" s="191"/>
      <c r="J442" s="199"/>
    </row>
    <row r="443" s="96" customFormat="true" ht="15.75" hidden="false" customHeight="true" outlineLevel="0" collapsed="false">
      <c r="A443" s="191"/>
      <c r="C443" s="212"/>
      <c r="D443" s="98"/>
      <c r="E443" s="97"/>
      <c r="F443" s="97"/>
      <c r="H443" s="191"/>
      <c r="I443" s="191"/>
      <c r="J443" s="199"/>
    </row>
    <row r="444" s="96" customFormat="true" ht="15.75" hidden="false" customHeight="true" outlineLevel="0" collapsed="false">
      <c r="A444" s="190"/>
      <c r="C444" s="191"/>
      <c r="D444" s="192"/>
      <c r="E444" s="191"/>
      <c r="F444" s="191"/>
      <c r="H444" s="191"/>
      <c r="I444" s="191"/>
      <c r="J444" s="199"/>
    </row>
    <row r="445" customFormat="false" ht="15" hidden="false" customHeight="true" outlineLevel="0" collapsed="false">
      <c r="B445" s="211"/>
      <c r="C445" s="98"/>
      <c r="D445" s="98"/>
      <c r="E445" s="97"/>
      <c r="F445" s="98"/>
      <c r="G445" s="97"/>
      <c r="H445" s="97"/>
    </row>
    <row r="450" s="96" customFormat="true" ht="15.75" hidden="false" customHeight="true" outlineLevel="0" collapsed="false">
      <c r="A450" s="97"/>
      <c r="D450" s="73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191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97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196"/>
      <c r="J457" s="196"/>
    </row>
    <row r="458" s="96" customFormat="true" ht="15.7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195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202" customFormat="true" ht="15.75" hidden="false" customHeight="true" outlineLevel="0" collapsed="false">
      <c r="A477" s="97"/>
      <c r="B477" s="96"/>
      <c r="C477" s="96"/>
      <c r="D477" s="98"/>
      <c r="E477" s="97"/>
      <c r="F477" s="97"/>
      <c r="G477" s="97"/>
      <c r="H477" s="97"/>
      <c r="I477" s="97"/>
      <c r="J477" s="97"/>
    </row>
    <row r="478" s="96" customFormat="true" ht="15.75" hidden="false" customHeight="true" outlineLevel="0" collapsed="false">
      <c r="A478" s="191"/>
      <c r="D478" s="98"/>
      <c r="E478" s="97"/>
      <c r="F478" s="97"/>
      <c r="G478" s="97"/>
      <c r="H478" s="97"/>
      <c r="I478" s="191"/>
      <c r="J478" s="199"/>
    </row>
    <row r="479" s="96" customFormat="true" ht="15.75" hidden="false" customHeight="true" outlineLevel="0" collapsed="false">
      <c r="A479" s="190"/>
      <c r="B479" s="191"/>
      <c r="C479" s="191"/>
      <c r="D479" s="192"/>
      <c r="E479" s="191"/>
      <c r="F479" s="191"/>
      <c r="G479" s="191"/>
      <c r="H479" s="191"/>
      <c r="I479" s="189"/>
      <c r="J479" s="190"/>
    </row>
    <row r="480" s="96" customFormat="true" ht="15.75" hidden="false" customHeight="true" outlineLevel="0" collapsed="false">
      <c r="A480" s="200"/>
      <c r="B480" s="190"/>
      <c r="C480" s="191"/>
      <c r="D480" s="194"/>
      <c r="E480" s="190"/>
      <c r="F480" s="189"/>
      <c r="G480" s="190"/>
      <c r="H480" s="189"/>
      <c r="I480" s="196"/>
      <c r="J480" s="196"/>
    </row>
    <row r="481" s="96" customFormat="true" ht="15.75" hidden="false" customHeight="true" outlineLevel="0" collapsed="false">
      <c r="A481" s="200"/>
      <c r="C481" s="182"/>
      <c r="D481" s="98"/>
      <c r="E481" s="97"/>
      <c r="F481" s="97"/>
      <c r="G481" s="97"/>
      <c r="H481" s="182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C487" s="98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182"/>
      <c r="J499" s="97"/>
    </row>
    <row r="500" s="96" customFormat="true" ht="15.75" hidden="false" customHeight="true" outlineLevel="0" collapsed="false">
      <c r="A500" s="200"/>
      <c r="C500" s="188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I501" s="196"/>
      <c r="J501" s="196"/>
    </row>
    <row r="502" s="96" customFormat="true" ht="15.75" hidden="false" customHeight="true" outlineLevel="0" collapsed="false">
      <c r="A502" s="200"/>
      <c r="C502" s="98"/>
      <c r="D502" s="98"/>
      <c r="E502" s="97"/>
      <c r="F502" s="97"/>
      <c r="G502" s="97"/>
      <c r="H502" s="182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196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196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97"/>
      <c r="J513" s="196"/>
    </row>
    <row r="514" s="96" customFormat="true" ht="15.75" hidden="false" customHeight="true" outlineLevel="0" collapsed="false">
      <c r="A514" s="200"/>
      <c r="D514" s="98"/>
      <c r="E514" s="97"/>
      <c r="F514" s="97"/>
      <c r="G514" s="97"/>
      <c r="H514" s="97"/>
      <c r="I514" s="97"/>
      <c r="J514" s="196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B516" s="191"/>
      <c r="C516" s="191"/>
      <c r="D516" s="192"/>
      <c r="E516" s="191"/>
      <c r="F516" s="191"/>
      <c r="G516" s="191"/>
      <c r="H516" s="191"/>
    </row>
    <row r="517" s="96" customFormat="true" ht="15.75" hidden="false" customHeight="true" outlineLevel="0" collapsed="false"/>
    <row r="518" s="96" customFormat="true" ht="24.75" hidden="false" customHeight="true" outlineLevel="0" collapsed="false">
      <c r="A518" s="88" t="s">
        <v>482</v>
      </c>
      <c r="B518" s="88"/>
      <c r="C518" s="88"/>
      <c r="D518" s="88"/>
      <c r="E518" s="88"/>
      <c r="F518" s="88"/>
      <c r="G518" s="88"/>
      <c r="H518" s="88"/>
      <c r="I518" s="88"/>
      <c r="J518" s="88"/>
    </row>
    <row r="519" s="96" customFormat="true" ht="34.5" hidden="false" customHeight="true" outlineLevel="0" collapsed="false">
      <c r="A519" s="114" t="s">
        <v>319</v>
      </c>
      <c r="B519" s="115" t="s">
        <v>168</v>
      </c>
      <c r="C519" s="115" t="s">
        <v>168</v>
      </c>
      <c r="D519" s="116" t="s">
        <v>483</v>
      </c>
      <c r="E519" s="115" t="s">
        <v>321</v>
      </c>
      <c r="F519" s="239" t="s">
        <v>484</v>
      </c>
      <c r="G519" s="240"/>
      <c r="H519" s="116" t="s">
        <v>484</v>
      </c>
      <c r="I519" s="116" t="s">
        <v>485</v>
      </c>
      <c r="J519" s="117" t="s">
        <v>323</v>
      </c>
      <c r="N519" s="118" t="s">
        <v>168</v>
      </c>
      <c r="O519" s="118" t="s">
        <v>168</v>
      </c>
    </row>
    <row r="520" s="96" customFormat="true" ht="15.75" hidden="false" customHeight="true" outlineLevel="0" collapsed="false">
      <c r="A520" s="120" t="n">
        <f aca="false">IF(C520="","",1)</f>
        <v>1</v>
      </c>
      <c r="B520" s="121" t="str">
        <f aca="false"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 aca="false">IF($D$127=5,O520,IF($D$127=6,O521,IF($D$127=8,O522,IF($D$127=10,O523,IF($D$127=12,O524,IF($D$127=14,O525,IF($D$127=18,O526,IF($D$127=20,O527,IF($D$127=22,O528,)))))))))</f>
        <v>GLASS thk.6 mm (H) (W)</v>
      </c>
      <c r="D520" s="123" t="n">
        <f aca="false">$J$123-215</f>
        <v>1980</v>
      </c>
      <c r="E520" s="120" t="s">
        <v>486</v>
      </c>
      <c r="F520" s="224" t="s">
        <v>487</v>
      </c>
      <c r="G520" s="224"/>
      <c r="H520" s="120" t="s">
        <v>592</v>
      </c>
      <c r="I520" s="225" t="n">
        <f aca="false">(($J$126-185-(113.25*3))/4)-13</f>
        <v>674.5625</v>
      </c>
      <c r="J520" s="226" t="n">
        <f aca="false">$J$120*4</f>
        <v>4</v>
      </c>
      <c r="K520" s="96" t="n">
        <f aca="false">(D520*I520)/10^6</f>
        <v>1.33563375</v>
      </c>
      <c r="M520" s="96" t="n">
        <f aca="false">ROW()</f>
        <v>520</v>
      </c>
      <c r="N520" s="62" t="s">
        <v>489</v>
      </c>
      <c r="O520" s="62" t="s">
        <v>490</v>
      </c>
    </row>
    <row r="521" s="96" customFormat="true" ht="15.75" hidden="false" customHeight="true" outlineLevel="0" collapsed="false">
      <c r="A521" s="269"/>
      <c r="B521" s="228"/>
      <c r="C521" s="228"/>
      <c r="D521" s="176"/>
      <c r="E521" s="167"/>
      <c r="F521" s="229"/>
      <c r="G521" s="230"/>
      <c r="H521" s="167"/>
      <c r="I521" s="231"/>
      <c r="J521" s="232"/>
      <c r="K521" s="96" t="n">
        <f aca="false">K520*J520</f>
        <v>5.342535</v>
      </c>
      <c r="M521" s="96" t="n">
        <f aca="false">ROW()</f>
        <v>521</v>
      </c>
      <c r="N521" s="62" t="s">
        <v>491</v>
      </c>
      <c r="O521" s="62" t="s">
        <v>492</v>
      </c>
    </row>
    <row r="522" s="96" customFormat="true" ht="15.75" hidden="false" customHeight="true" outlineLevel="0" collapsed="false">
      <c r="A522" s="269"/>
      <c r="B522" s="228"/>
      <c r="C522" s="228"/>
      <c r="D522" s="176"/>
      <c r="E522" s="167"/>
      <c r="F522" s="229"/>
      <c r="G522" s="230"/>
      <c r="H522" s="167"/>
      <c r="I522" s="231"/>
      <c r="J522" s="232"/>
      <c r="M522" s="96" t="n">
        <f aca="false">ROW()</f>
        <v>522</v>
      </c>
      <c r="N522" s="62" t="s">
        <v>493</v>
      </c>
      <c r="O522" s="62" t="s">
        <v>494</v>
      </c>
    </row>
    <row r="523" s="96" customFormat="true" ht="15.75" hidden="false" customHeight="true" outlineLevel="0" collapsed="false">
      <c r="A523" s="130" t="str">
        <f aca="false">IF(B523="","",+""+1)</f>
        <v/>
      </c>
      <c r="B523" s="131"/>
      <c r="C523" s="131"/>
      <c r="D523" s="132"/>
      <c r="E523" s="130"/>
      <c r="F523" s="233"/>
      <c r="G523" s="270"/>
      <c r="H523" s="130"/>
      <c r="I523" s="142"/>
      <c r="J523" s="133"/>
      <c r="M523" s="96" t="n">
        <f aca="false">ROW()</f>
        <v>523</v>
      </c>
      <c r="N523" s="62" t="s">
        <v>495</v>
      </c>
      <c r="O523" s="62" t="s">
        <v>496</v>
      </c>
    </row>
    <row r="524" s="96" customFormat="true" ht="15.75" hidden="false" customHeight="true" outlineLevel="0" collapsed="false">
      <c r="A524" s="136" t="str">
        <f aca="false">IF(B524="","",+A523+1)</f>
        <v/>
      </c>
      <c r="B524" s="135"/>
      <c r="C524" s="135"/>
      <c r="D524" s="139"/>
      <c r="E524" s="136"/>
      <c r="F524" s="236"/>
      <c r="G524" s="237"/>
      <c r="H524" s="136"/>
      <c r="I524" s="180"/>
      <c r="J524" s="140"/>
      <c r="M524" s="96" t="n">
        <f aca="false">ROW()</f>
        <v>524</v>
      </c>
      <c r="N524" s="62" t="s">
        <v>497</v>
      </c>
      <c r="O524" s="62" t="s">
        <v>498</v>
      </c>
    </row>
    <row r="525" s="96" customFormat="true" ht="15.75" hidden="false" customHeight="true" outlineLevel="0" collapsed="false">
      <c r="A525" s="97"/>
      <c r="D525" s="98"/>
      <c r="E525" s="97"/>
      <c r="F525" s="97"/>
      <c r="G525" s="97"/>
      <c r="H525" s="97"/>
      <c r="I525" s="97"/>
      <c r="J525" s="196"/>
      <c r="M525" s="96" t="n">
        <f aca="false">ROW()</f>
        <v>525</v>
      </c>
      <c r="N525" s="62" t="s">
        <v>499</v>
      </c>
      <c r="O525" s="62" t="s">
        <v>500</v>
      </c>
    </row>
    <row r="526" customFormat="false" ht="14.25" hidden="false" customHeight="false" outlineLevel="0" collapsed="false">
      <c r="J526" s="92" t="str">
        <f aca="false">LEFT($J$111,13)&amp;"-05"</f>
        <v>FG-240-4P2L2R-05</v>
      </c>
      <c r="M526" s="96" t="n">
        <f aca="false">ROW()</f>
        <v>526</v>
      </c>
      <c r="N526" s="62" t="s">
        <v>501</v>
      </c>
      <c r="O526" s="62" t="s">
        <v>502</v>
      </c>
    </row>
    <row r="527" customFormat="false" ht="14.25" hidden="false" customHeight="false" outlineLevel="0" collapsed="false">
      <c r="M527" s="96" t="n">
        <f aca="false">ROW()</f>
        <v>527</v>
      </c>
      <c r="N527" s="62" t="s">
        <v>503</v>
      </c>
      <c r="O527" s="62" t="s">
        <v>504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505</v>
      </c>
      <c r="O528" s="62" t="s">
        <v>506</v>
      </c>
    </row>
  </sheetData>
  <mergeCells count="68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59"/>
    <mergeCell ref="I160:J160"/>
    <mergeCell ref="D161:D162"/>
    <mergeCell ref="H161:H162"/>
    <mergeCell ref="I161:J161"/>
    <mergeCell ref="I162:J162"/>
    <mergeCell ref="D163:D167"/>
    <mergeCell ref="H163:H167"/>
    <mergeCell ref="I163:J163"/>
    <mergeCell ref="I164:J164"/>
    <mergeCell ref="I165:J165"/>
    <mergeCell ref="I166:J166"/>
    <mergeCell ref="I167:J167"/>
    <mergeCell ref="D168:D169"/>
    <mergeCell ref="H168:H169"/>
    <mergeCell ref="I168:J168"/>
    <mergeCell ref="I169:J169"/>
    <mergeCell ref="I170:J170"/>
    <mergeCell ref="A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A212:J212"/>
    <mergeCell ref="A319:J319"/>
    <mergeCell ref="F329:G329"/>
    <mergeCell ref="F330:G330"/>
    <mergeCell ref="F333:G333"/>
    <mergeCell ref="A426:J426"/>
    <mergeCell ref="A518:J518"/>
    <mergeCell ref="F520:G520"/>
  </mergeCells>
  <dataValidations count="4">
    <dataValidation allowBlank="true" errorStyle="stop" operator="between" showDropDown="false" showErrorMessage="true" showInputMessage="true" sqref="D127:G127" type="list">
      <formula1>$N$120:$N$128</formula1>
      <formula2>0</formula2>
    </dataValidation>
    <dataValidation allowBlank="true" errorStyle="stop" operator="between" showDropDown="false" showErrorMessage="true" showInputMessage="true" sqref="D129:G129" type="list">
      <formula1>$O$120</formula1>
      <formula2>0</formula2>
    </dataValidation>
    <dataValidation allowBlank="true" errorStyle="stop" operator="between" showDropDown="false" showErrorMessage="true" showInputMessage="true" sqref="C205" type="list">
      <formula1>$AA$173:$AA$191</formula1>
      <formula2>0</formula2>
    </dataValidation>
    <dataValidation allowBlank="true" errorStyle="stop" operator="between" showDropDown="false" showErrorMessage="true" showInputMessage="true" sqref="D123:G123" type="list">
      <formula1>$P$119:$P$130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6" man="true" max="16383" min="0"/>
    <brk id="313" man="true" max="16383" min="0"/>
    <brk id="420" man="true" max="16383" min="0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AJ529"/>
  <sheetViews>
    <sheetView showFormulas="false" showGridLines="false" showRowColHeaders="true" showZeros="true" rightToLeft="false" tabSelected="false" showOutlineSymbols="true" defaultGridColor="true" view="pageBreakPreview" topLeftCell="A112" colorId="64" zoomScale="75" zoomScaleNormal="75" zoomScalePageLayoutView="75" workbookViewId="0">
      <selection pane="topLeft" activeCell="C115" activeCellId="0" sqref="C115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34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7.67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false" outlineLevel="0" max="12" min="12" style="0" width="10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41.5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3.44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594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>
      <c r="G45" s="91"/>
    </row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595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246" t="s">
        <v>285</v>
      </c>
      <c r="B117" s="246"/>
      <c r="C117" s="246"/>
      <c r="D117" s="246"/>
      <c r="E117" s="246"/>
      <c r="F117" s="246"/>
      <c r="G117" s="246"/>
      <c r="H117" s="246"/>
      <c r="I117" s="246"/>
      <c r="J117" s="246"/>
      <c r="K117" s="83"/>
      <c r="L117" s="87"/>
      <c r="M117" s="87"/>
      <c r="N117" s="87"/>
    </row>
    <row r="118" s="96" customFormat="true" ht="15" hidden="false" customHeight="true" outlineLevel="0" collapsed="false">
      <c r="A118" s="97"/>
      <c r="C118" s="81"/>
      <c r="D118" s="98"/>
      <c r="E118" s="83"/>
      <c r="J118" s="99"/>
      <c r="K118" s="83"/>
    </row>
    <row r="119" s="96" customFormat="true" ht="18" hidden="false" customHeight="true" outlineLevel="0" collapsed="false">
      <c r="A119" s="97"/>
      <c r="C119" s="100" t="s">
        <v>286</v>
      </c>
      <c r="D119" s="101" t="s">
        <v>606</v>
      </c>
      <c r="E119" s="101"/>
      <c r="F119" s="101"/>
      <c r="G119" s="101"/>
      <c r="I119" s="83"/>
      <c r="J119" s="97"/>
      <c r="N119" s="258" t="s">
        <v>288</v>
      </c>
      <c r="O119" s="97" t="s">
        <v>289</v>
      </c>
      <c r="P119" s="102" t="s">
        <v>290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5</v>
      </c>
      <c r="O120" s="97" t="s">
        <v>509</v>
      </c>
      <c r="P120" s="106" t="s">
        <v>294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6</v>
      </c>
      <c r="O121" s="97" t="s">
        <v>296</v>
      </c>
      <c r="P121" s="106" t="s">
        <v>297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8</v>
      </c>
      <c r="P122" s="106" t="s">
        <v>299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313</v>
      </c>
      <c r="E123" s="101"/>
      <c r="F123" s="101"/>
      <c r="G123" s="101"/>
      <c r="H123" s="104" t="s">
        <v>302</v>
      </c>
      <c r="I123" s="104"/>
      <c r="J123" s="105" t="n">
        <v>2600</v>
      </c>
      <c r="N123" s="259" t="n">
        <v>10</v>
      </c>
      <c r="P123" s="106" t="s">
        <v>303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12</v>
      </c>
      <c r="P124" s="106" t="s">
        <v>305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272" t="s">
        <v>307</v>
      </c>
      <c r="E125" s="273"/>
      <c r="F125" s="273"/>
      <c r="G125" s="274"/>
      <c r="H125" s="107"/>
      <c r="I125" s="97" t="s">
        <v>607</v>
      </c>
      <c r="J125" s="97" t="s">
        <v>608</v>
      </c>
      <c r="K125" s="110"/>
      <c r="L125" s="110"/>
      <c r="N125" s="259" t="n">
        <v>14</v>
      </c>
      <c r="P125" s="106" t="s">
        <v>308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I126" s="105" t="n">
        <v>600</v>
      </c>
      <c r="J126" s="292" t="n">
        <v>2000</v>
      </c>
      <c r="K126" s="110"/>
      <c r="L126" s="110"/>
      <c r="N126" s="259" t="n">
        <v>18</v>
      </c>
      <c r="P126" s="106" t="s">
        <v>311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N127" s="259" t="n">
        <v>20</v>
      </c>
      <c r="P127" s="106" t="s">
        <v>313</v>
      </c>
    </row>
    <row r="128" s="96" customFormat="true" ht="18.75" hidden="false" customHeight="true" outlineLevel="0" collapsed="false">
      <c r="C128" s="108" t="s">
        <v>314</v>
      </c>
      <c r="H128" s="104" t="s">
        <v>310</v>
      </c>
      <c r="I128" s="104"/>
      <c r="J128" s="105" t="n">
        <v>4150</v>
      </c>
      <c r="N128" s="259" t="n">
        <v>22</v>
      </c>
      <c r="P128" s="106" t="s">
        <v>315</v>
      </c>
    </row>
    <row r="129" s="96" customFormat="true" ht="15" hidden="false" customHeight="true" outlineLevel="0" collapsed="false">
      <c r="A129" s="89" t="str">
        <f aca="false">A18</f>
        <v>240-4 Panel (2L2R)</v>
      </c>
      <c r="C129" s="100" t="s">
        <v>511</v>
      </c>
      <c r="D129" s="101" t="s">
        <v>509</v>
      </c>
      <c r="E129" s="101"/>
      <c r="F129" s="101"/>
      <c r="G129" s="101"/>
      <c r="H129" s="104"/>
      <c r="I129" s="104"/>
      <c r="J129" s="105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$J$128-60</f>
        <v>4090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24</v>
      </c>
      <c r="U133" s="127" t="s">
        <v>572</v>
      </c>
      <c r="V133" s="247" t="n">
        <f aca="false">($J$128-185-(113.25*3))/4</f>
        <v>906.3125</v>
      </c>
      <c r="W133" s="129" t="n">
        <f aca="false">$J$120*T133</f>
        <v>24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$J$128-86</f>
        <v>4064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24</v>
      </c>
      <c r="U134" s="127" t="s">
        <v>572</v>
      </c>
      <c r="V134" s="247" t="n">
        <f aca="false">($J$128-185-(113.25*3))/4</f>
        <v>906.3125</v>
      </c>
      <c r="W134" s="129" t="n">
        <f aca="false">$J$120*T134</f>
        <v>24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$J$128-60</f>
        <v>4090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24</v>
      </c>
      <c r="U135" s="127" t="s">
        <v>572</v>
      </c>
      <c r="V135" s="247" t="n">
        <f aca="false">($J$128-185-(113.25*3))/4</f>
        <v>906.3125</v>
      </c>
      <c r="W135" s="129" t="n">
        <f aca="false">$J$120*T135</f>
        <v>24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$J$128-60</f>
        <v>4090</v>
      </c>
      <c r="J136" s="134" t="n">
        <f aca="false">$J$120*G136</f>
        <v>1</v>
      </c>
      <c r="N136" s="107" t="s">
        <v>607</v>
      </c>
      <c r="O136" s="125" t="s">
        <v>357</v>
      </c>
      <c r="P136" s="125" t="s">
        <v>609</v>
      </c>
      <c r="Q136" s="126" t="s">
        <v>335</v>
      </c>
      <c r="R136" s="127" t="n">
        <v>0.231</v>
      </c>
      <c r="S136" s="126" t="s">
        <v>359</v>
      </c>
      <c r="T136" s="127" t="n">
        <v>16</v>
      </c>
      <c r="U136" s="158" t="s">
        <v>610</v>
      </c>
      <c r="V136" s="247" t="n">
        <f aca="false">$I$143-$I$126-$J$126-112.5</f>
        <v>-204.5</v>
      </c>
      <c r="W136" s="129" t="n">
        <f aca="false">$J$120*T136</f>
        <v>16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2600</v>
      </c>
      <c r="J137" s="134" t="n">
        <f aca="false">$J$120*G137</f>
        <v>1</v>
      </c>
      <c r="N137" s="107"/>
      <c r="O137" s="131" t="s">
        <v>364</v>
      </c>
      <c r="P137" s="131" t="s">
        <v>611</v>
      </c>
      <c r="Q137" s="131" t="s">
        <v>344</v>
      </c>
      <c r="R137" s="130" t="n">
        <v>0.215</v>
      </c>
      <c r="S137" s="131" t="s">
        <v>366</v>
      </c>
      <c r="T137" s="130" t="n">
        <v>16</v>
      </c>
      <c r="U137" s="158" t="s">
        <v>610</v>
      </c>
      <c r="V137" s="247" t="n">
        <f aca="false">$I$143-$I$126-$J$126-112.5</f>
        <v>-204.5</v>
      </c>
      <c r="W137" s="129" t="n">
        <f aca="false">$J$120*T137</f>
        <v>16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2600</v>
      </c>
      <c r="J138" s="134" t="n">
        <f aca="false">$J$120*G138</f>
        <v>1</v>
      </c>
      <c r="N138" s="107"/>
      <c r="O138" s="135" t="s">
        <v>370</v>
      </c>
      <c r="P138" s="135" t="s">
        <v>612</v>
      </c>
      <c r="Q138" s="139" t="s">
        <v>351</v>
      </c>
      <c r="R138" s="136" t="n">
        <v>0.169</v>
      </c>
      <c r="S138" s="135" t="s">
        <v>352</v>
      </c>
      <c r="T138" s="136" t="n">
        <v>16</v>
      </c>
      <c r="U138" s="158" t="s">
        <v>610</v>
      </c>
      <c r="V138" s="247" t="n">
        <f aca="false">$I$143-$I$126-$J$126-112.5</f>
        <v>-204.5</v>
      </c>
      <c r="W138" s="129" t="n">
        <f aca="false">$J$120*T138</f>
        <v>16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2504</v>
      </c>
      <c r="J139" s="134" t="n">
        <f aca="false">$J$120*G139</f>
        <v>1</v>
      </c>
      <c r="N139" s="107" t="s">
        <v>608</v>
      </c>
      <c r="O139" s="125" t="s">
        <v>357</v>
      </c>
      <c r="P139" s="125" t="s">
        <v>613</v>
      </c>
      <c r="Q139" s="126" t="s">
        <v>335</v>
      </c>
      <c r="R139" s="127" t="n">
        <v>0.231</v>
      </c>
      <c r="S139" s="126" t="s">
        <v>359</v>
      </c>
      <c r="T139" s="127" t="n">
        <v>8</v>
      </c>
      <c r="U139" s="127" t="s">
        <v>614</v>
      </c>
      <c r="V139" s="247" t="n">
        <f aca="false">$I$143-($I$126*2)-75</f>
        <v>1233</v>
      </c>
      <c r="W139" s="129" t="n">
        <f aca="false">$J$120*T139</f>
        <v>8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2504</v>
      </c>
      <c r="J140" s="134" t="n">
        <f aca="false">$J$120*G140</f>
        <v>1</v>
      </c>
      <c r="O140" s="131" t="s">
        <v>364</v>
      </c>
      <c r="P140" s="131" t="s">
        <v>615</v>
      </c>
      <c r="Q140" s="131" t="s">
        <v>344</v>
      </c>
      <c r="R140" s="130" t="n">
        <v>0.215</v>
      </c>
      <c r="S140" s="131" t="s">
        <v>366</v>
      </c>
      <c r="T140" s="130" t="n">
        <v>8</v>
      </c>
      <c r="U140" s="127" t="s">
        <v>614</v>
      </c>
      <c r="V140" s="247" t="n">
        <f aca="false">$I$143-($I$126*2)-75</f>
        <v>1233</v>
      </c>
      <c r="W140" s="129" t="n">
        <f aca="false">$J$120*T140</f>
        <v>8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4</v>
      </c>
      <c r="H141" s="130" t="s">
        <v>575</v>
      </c>
      <c r="I141" s="141" t="n">
        <f aca="false">($J$128-60-(4+1)*4)/4</f>
        <v>1017.5</v>
      </c>
      <c r="J141" s="134" t="n">
        <f aca="false">$J$120*G141</f>
        <v>4</v>
      </c>
      <c r="O141" s="135" t="s">
        <v>370</v>
      </c>
      <c r="P141" s="135" t="s">
        <v>616</v>
      </c>
      <c r="Q141" s="139" t="s">
        <v>351</v>
      </c>
      <c r="R141" s="136" t="n">
        <v>0.169</v>
      </c>
      <c r="S141" s="135" t="s">
        <v>352</v>
      </c>
      <c r="T141" s="136" t="n">
        <v>8</v>
      </c>
      <c r="U141" s="158" t="s">
        <v>614</v>
      </c>
      <c r="V141" s="293" t="n">
        <f aca="false">$I$143-($I$126*2)-75</f>
        <v>1233</v>
      </c>
      <c r="W141" s="294" t="n">
        <f aca="false">$J$120*T141</f>
        <v>8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4</v>
      </c>
      <c r="H142" s="130" t="s">
        <v>575</v>
      </c>
      <c r="I142" s="141" t="n">
        <f aca="false">($J$128-60-(4+1)*4)/4</f>
        <v>1017.5</v>
      </c>
      <c r="J142" s="134" t="n">
        <f aca="false">$J$120*G142</f>
        <v>4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295" t="s">
        <v>74</v>
      </c>
      <c r="E143" s="296" t="n">
        <v>1.106</v>
      </c>
      <c r="F143" s="295" t="s">
        <v>617</v>
      </c>
      <c r="G143" s="130" t="n">
        <v>6</v>
      </c>
      <c r="H143" s="130" t="s">
        <v>389</v>
      </c>
      <c r="I143" s="133" t="n">
        <f aca="false">$J$123-92</f>
        <v>2508</v>
      </c>
      <c r="J143" s="134" t="n">
        <f aca="false">$J$120*G143</f>
        <v>6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295" t="s">
        <v>74</v>
      </c>
      <c r="E144" s="296" t="n">
        <v>1.106</v>
      </c>
      <c r="F144" s="295" t="s">
        <v>618</v>
      </c>
      <c r="G144" s="130" t="n">
        <v>1</v>
      </c>
      <c r="H144" s="130" t="s">
        <v>389</v>
      </c>
      <c r="I144" s="133" t="n">
        <f aca="false">$J$123-92</f>
        <v>2508</v>
      </c>
      <c r="J144" s="134" t="n">
        <f aca="false">$J$120*G144</f>
        <v>1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390</v>
      </c>
      <c r="C145" s="131" t="s">
        <v>391</v>
      </c>
      <c r="D145" s="295" t="s">
        <v>74</v>
      </c>
      <c r="E145" s="296" t="n">
        <v>1.106</v>
      </c>
      <c r="F145" s="295" t="s">
        <v>619</v>
      </c>
      <c r="G145" s="130" t="n">
        <v>1</v>
      </c>
      <c r="H145" s="130" t="s">
        <v>389</v>
      </c>
      <c r="I145" s="133" t="n">
        <f aca="false">$J$123-92</f>
        <v>2508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6" s="131" t="str">
        <f aca="false">IF($D$127=5,Q133,IF($D$127=6,Q133,IF($D$127=8,Q134,IF($D$127=10,Q134,IF($D$127=12,Q134,IF($D$127=14,Q135,IF($D$127=18,Q135,IF($D$127=20,Q135,IF($D$127=22,Q135,)))))))))</f>
        <v>B24008</v>
      </c>
      <c r="E146" s="131" t="n">
        <f aca="false">IF($D$127=5,R133,IF($D$127=6,R133,IF($D$127=8,R134,IF($D$127=10,R134,IF($D$127=12,R134,IF($D$127=14,R135,IF($D$127=18,R135,IF($D$127=20,R135,IF($D$127=22,R135,)))))))))</f>
        <v>0.231</v>
      </c>
      <c r="F146" s="131" t="str">
        <f aca="false">IF($D$127=5,S133,IF($D$127=6,S133,IF($D$127=8,S134,IF($D$127=10,S134,IF($D$127=12,S134,IF($D$127=14,S135,IF($D$127=18,S135,IF($D$127=20,S135,IF($D$127=22,S135,)))))))))</f>
        <v>B24008-001</v>
      </c>
      <c r="G146" s="130" t="n">
        <f aca="false">IF($D$127=5,T133,IF($D$127=6,T133,IF($D$127=8,T134,IF($D$127=10,T134,IF($D$127=12,T134,IF($D$127=14,T135,IF($D$127=18,T135,IF($D$127=20,T135,IF($D$127=22,T135,)))))))))</f>
        <v>24</v>
      </c>
      <c r="H146" s="130" t="str">
        <f aca="false">IF($D$127=5,U133,IF($D$127=6,U133,IF($D$127=8,U134,IF($D$127=10,U134,IF($D$127=12,U134,IF($D$127=14,U135,IF($D$127=18,U135,IF($D$127=20,U135,IF($D$127=22,U135,)))))))))</f>
        <v>(W-185-(113.25 × 3))/4</v>
      </c>
      <c r="I146" s="141" t="n">
        <f aca="false">IF($D$127=5,V133,IF($D$127=6,V133,IF($D$127=8,V134,IF($D$127=10,V134,IF($D$127=12,V134,IF($D$127=14,V135,IF($D$127=18,V135,IF($D$127=20,V135,IF($D$127=22,V135,)))))))))</f>
        <v>906.3125</v>
      </c>
      <c r="J146" s="134" t="n">
        <f aca="false">IF($D$127=5,W133,IF($D$127=6,W133,IF($D$127=8,W134,IF($D$127=10,W134,IF($D$127=12,W134,IF($D$127=14,W135,IF($D$127=18,W135,IF($D$127=20,W135,IF($D$127=22,W135,)))))))))</f>
        <v>24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31" t="str">
        <f aca="false">IF($D$127=5,P136,IF($D$127=6,P136,IF($D$127=8,P137,IF($D$127=10,P137,IF($D$127=12,P137,IF($D$127=14,P138,IF($D$127=18,P138,IF($D$127=20,P138,IF($D$127=22,P138,)))))))))</f>
        <v>5-6mm GLAZING BEAD VERTICAL P1</v>
      </c>
      <c r="D147" s="131" t="str">
        <f aca="false">IF($D$127=5,Q136,IF($D$127=6,Q136,IF($D$127=8,Q137,IF($D$127=10,Q137,IF($D$127=12,Q137,IF($D$127=14,Q138,IF($D$127=18,Q138,IF($D$127=20,Q138,IF($D$127=22,Q138,)))))))))</f>
        <v>B24008</v>
      </c>
      <c r="E147" s="131" t="n">
        <f aca="false">IF($D$127=5,R136,IF($D$127=6,R136,IF($D$127=8,R137,IF($D$127=10,R137,IF($D$127=12,R137,IF($D$127=14,R138,IF($D$127=18,R138,IF($D$127=20,R138,IF($D$127=22,R138,)))))))))</f>
        <v>0.231</v>
      </c>
      <c r="F147" s="131" t="str">
        <f aca="false">IF($D$127=5,S136,IF($D$127=6,S136,IF($D$127=8,S137,IF($D$127=10,S137,IF($D$127=12,S137,IF($D$127=14,S138,IF($D$127=18,S138,IF($D$127=20,S138,IF($D$127=22,S138,)))))))))</f>
        <v>B24008-002</v>
      </c>
      <c r="G147" s="130" t="n">
        <f aca="false">IF($D$127=5,T136,IF($D$127=6,T136,IF($D$127=8,T137,IF($D$127=10,T137,IF($D$127=12,T137,IF($D$127=14,T138,IF($D$127=18,T138,IF($D$127=20,T138,IF($D$127=22,T138,)))))))))</f>
        <v>16</v>
      </c>
      <c r="H147" s="130" t="str">
        <f aca="false">IF($D$127=5,U136,IF($D$127=6,U136,IF($D$127=8,U137,IF($D$127=10,U137,IF($D$127=12,U137,IF($D$127=14,U138,IF($D$127=18,U138,IF($D$127=20,U138,IF($D$127=22,U138,)))))))))</f>
        <v>SASH -P1-P2-112.5</v>
      </c>
      <c r="I147" s="141" t="n">
        <f aca="false">IF($D$127=5,V136,IF($D$127=6,V136,IF($D$127=8,V137,IF($D$127=10,V137,IF($D$127=12,V137,IF($D$127=14,V138,IF($D$127=18,V138,IF($D$127=20,V138,IF($D$127=22,V138,)))))))))</f>
        <v>-204.5</v>
      </c>
      <c r="J147" s="134" t="n">
        <f aca="false">IF($D$127=5,W136,IF($D$127=6,W136,IF($D$127=8,W137,IF($D$127=10,W137,IF($D$127=12,W137,IF($D$127=14,W138,IF($D$127=18,W138,IF($D$127=20,W138,IF($D$127=22,W138,)))))))))</f>
        <v>16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tr">
        <f aca="false">IF($D$127=5,O139,IF($D$127=6,O139,IF($D$127=8,O140,IF($D$127=10,O140,IF($D$127=12,O140,IF($D$127=14,O141,IF($D$127=18,O141,IF($D$127=20,O141,IF($D$127=22,O141,)))))))))</f>
        <v>5-6mm คิ้วตบกระจกแนวตั้ง</v>
      </c>
      <c r="C148" s="131" t="str">
        <f aca="false">IF($D$127=5,P139,IF($D$127=6,P139,IF($D$127=8,P140,IF($D$127=10,P140,IF($D$127=12,P140,IF($D$127=14,P141,IF($D$127=18,P141,IF($D$127=20,P141,IF($D$127=22,P141,)))))))))</f>
        <v>5-6mm GLAZING BEAD VERTICAL P2</v>
      </c>
      <c r="D148" s="131" t="str">
        <f aca="false">IF($D$127=5,Q139,IF($D$127=6,Q139,IF($D$127=8,Q140,IF($D$127=10,Q140,IF($D$127=12,Q140,IF($D$127=14,Q141,IF($D$127=18,Q141,IF($D$127=20,Q141,IF($D$127=22,Q141,)))))))))</f>
        <v>B24008</v>
      </c>
      <c r="E148" s="131" t="n">
        <f aca="false">IF($D$127=5,R139,IF($D$127=6,R139,IF($D$127=8,R140,IF($D$127=10,R140,IF($D$127=12,R140,IF($D$127=14,R141,IF($D$127=18,R141,IF($D$127=20,R141,IF($D$127=22,R141,)))))))))</f>
        <v>0.231</v>
      </c>
      <c r="F148" s="131" t="str">
        <f aca="false">IF($D$127=5,S139,IF($D$127=6,S139,IF($D$127=8,S140,IF($D$127=10,S140,IF($D$127=12,S140,IF($D$127=14,S141,IF($D$127=18,S141,IF($D$127=20,S141,IF($D$127=22,S141,)))))))))</f>
        <v>B24008-002</v>
      </c>
      <c r="G148" s="130" t="n">
        <f aca="false">IF($D$127=5,T139,IF($D$127=6,T139,IF($D$127=8,T140,IF($D$127=10,T140,IF($D$127=12,T140,IF($D$127=14,T141,IF($D$127=18,T141,IF($D$127=20,T141,IF($D$127=22,T141,)))))))))</f>
        <v>8</v>
      </c>
      <c r="H148" s="130" t="str">
        <f aca="false">IF($D$127=5,U139,IF($D$127=6,U139,IF($D$127=8,U140,IF($D$127=10,U140,IF($D$127=12,U140,IF($D$127=14,U141,IF($D$127=18,U141,IF($D$127=20,U141,IF($D$127=22,U141,)))))))))</f>
        <v>SASH -(2P1)-75</v>
      </c>
      <c r="I148" s="141" t="n">
        <f aca="false">IF($D$127=5,V139,IF($D$127=6,V139,IF($D$127=8,V140,IF($D$127=10,V140,IF($D$127=12,V140,IF($D$127=14,V141,IF($D$127=18,V141,IF($D$127=20,V141,IF($D$127=22,V141,)))))))))</f>
        <v>1233</v>
      </c>
      <c r="J148" s="134" t="n">
        <f aca="false">IF($D$127=5,W139,IF($D$127=6,W139,IF($D$127=8,W140,IF($D$127=10,W140,IF($D$127=12,W140,IF($D$127=14,W141,IF($D$127=18,W141,IF($D$127=20,W141,IF($D$127=22,W141,)))))))))</f>
        <v>8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620</v>
      </c>
      <c r="C149" s="131" t="s">
        <v>621</v>
      </c>
      <c r="D149" s="132" t="s">
        <v>622</v>
      </c>
      <c r="E149" s="130" t="n">
        <v>0.932</v>
      </c>
      <c r="F149" s="132" t="s">
        <v>623</v>
      </c>
      <c r="G149" s="130" t="n">
        <v>8</v>
      </c>
      <c r="H149" s="130" t="s">
        <v>572</v>
      </c>
      <c r="I149" s="141" t="n">
        <f aca="false">($J$128-185-(113.25*3))/4</f>
        <v>906.3125</v>
      </c>
      <c r="J149" s="134" t="n">
        <f aca="false">$J$120*G149</f>
        <v>8</v>
      </c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33"/>
      <c r="J150" s="134" t="n">
        <f aca="false">$J$120*G150</f>
        <v>0</v>
      </c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33"/>
      <c r="J151" s="134" t="n">
        <f aca="false">$J$120*G151</f>
        <v>0</v>
      </c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260" t="s">
        <v>319</v>
      </c>
      <c r="B154" s="261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262" t="n">
        <f aca="false">IF(B133="","",1)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4090</v>
      </c>
      <c r="G155" s="155" t="n">
        <f aca="false">VLOOKUP(C155,$C$133:$J$153,8,0)</f>
        <v>1</v>
      </c>
      <c r="H155" s="264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VLOOKUP(C156,$C$133:$I$153,7,0)</f>
        <v>4064</v>
      </c>
      <c r="G156" s="155" t="n">
        <f aca="false">VLOOKUP(C156,$C$133:$J$153,8,0)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VLOOKUP(C157,$C$133:$I$153,7,0)</f>
        <v>4090</v>
      </c>
      <c r="G157" s="155" t="n">
        <f aca="false">VLOOKUP(C157,$C$133:$J$153,8,0)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VLOOKUP(C158,$C$133:$I$153,7,0)</f>
        <v>4090</v>
      </c>
      <c r="G158" s="155" t="n">
        <f aca="false">VLOOKUP(C158,$C$133:$J$153,8,0)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VLOOKUP(C159,$C$133:$I$153,7,0)</f>
        <v>2600</v>
      </c>
      <c r="G159" s="155" t="n">
        <f aca="false">VLOOKUP(C159,$C$133:$J$153,8,0)</f>
        <v>1</v>
      </c>
      <c r="H159" s="160" t="n">
        <f aca="false">ROUNDUP(((F159*G159)+(F160*G160))/6400,0)</f>
        <v>1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VLOOKUP(C160,$C$133:$I$153,7,0)</f>
        <v>2600</v>
      </c>
      <c r="G160" s="155" t="n">
        <f aca="false">VLOOKUP(C160,$C$133:$J$153,8,0)</f>
        <v>1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VLOOKUP(C161,$C$133:$I$153,7,0)</f>
        <v>2504</v>
      </c>
      <c r="G161" s="155" t="n">
        <f aca="false">VLOOKUP(C161,$C$133:$J$153,8,0)</f>
        <v>1</v>
      </c>
      <c r="H161" s="160" t="n">
        <f aca="false">ROUNDUP(((F161*G161)+(F162*G162))/6400,0)</f>
        <v>1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155" t="n">
        <f aca="false">VLOOKUP(C162,$C$133:$H$153,3,0)</f>
        <v>0.235</v>
      </c>
      <c r="F162" s="263" t="n">
        <f aca="false">VLOOKUP(C162,$C$133:$I$153,7,0)</f>
        <v>2504</v>
      </c>
      <c r="G162" s="155" t="n">
        <f aca="false">VLOOKUP(C162,$C$133:$J$153,8,0)</f>
        <v>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155" t="n">
        <f aca="false">VLOOKUP(C163,$C$133:$H$153,3,0)</f>
        <v>1.106</v>
      </c>
      <c r="F163" s="267" t="n">
        <f aca="false">VLOOKUP(C163,$C$133:$I$153,7,0)</f>
        <v>1017.5</v>
      </c>
      <c r="G163" s="155" t="n">
        <f aca="false">VLOOKUP(C163,$C$133:$J$153,8,0)</f>
        <v>4</v>
      </c>
      <c r="H163" s="160" t="n">
        <f aca="false">ROUNDUP(((F163*G163)+(F164*G164)+(F165*G165)+(F166*G166)+(F167*G167))/6400,0)</f>
        <v>5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155" t="n">
        <f aca="false">VLOOKUP(C164,$C$133:$H$153,3,0)</f>
        <v>1.106</v>
      </c>
      <c r="F164" s="267" t="n">
        <f aca="false">VLOOKUP(C164,$C$133:$I$153,7,0)</f>
        <v>1017.5</v>
      </c>
      <c r="G164" s="155" t="n">
        <f aca="false">VLOOKUP(C164,$C$133:$J$153,8,0)</f>
        <v>4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155" t="n">
        <f aca="false">VLOOKUP(C165,$C$133:$H$153,3,0)</f>
        <v>1.106</v>
      </c>
      <c r="F165" s="263" t="n">
        <f aca="false">VLOOKUP(C165,$C$133:$I$153,7,0)</f>
        <v>2508</v>
      </c>
      <c r="G165" s="155" t="n">
        <f aca="false">VLOOKUP(C165,$C$133:$J$153,8,0)</f>
        <v>6</v>
      </c>
      <c r="H165" s="160"/>
      <c r="I165" s="161"/>
      <c r="J165" s="161"/>
    </row>
    <row r="166" s="96" customFormat="true" ht="13.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155" t="n">
        <f aca="false">VLOOKUP(C166,$C$133:$H$153,3,0)</f>
        <v>1.106</v>
      </c>
      <c r="F166" s="263" t="n">
        <f aca="false">VLOOKUP(C166,$C$133:$I$153,7,0)</f>
        <v>2508</v>
      </c>
      <c r="G166" s="155" t="n">
        <f aca="false">VLOOKUP(C166,$C$133:$J$153,8,0)</f>
        <v>1</v>
      </c>
      <c r="H166" s="160"/>
      <c r="I166" s="161"/>
      <c r="J166" s="161"/>
    </row>
    <row r="167" s="96" customFormat="true" ht="15" hidden="false" customHeight="true" outlineLevel="1" collapsed="false">
      <c r="A167" s="158" t="n">
        <f aca="false">IF(B167="","",+A166+1)</f>
        <v>13</v>
      </c>
      <c r="B167" s="153" t="str">
        <f aca="false">B145</f>
        <v>เสากุญแจ</v>
      </c>
      <c r="C167" s="153" t="str">
        <f aca="false">C145</f>
        <v>SASH (Ver) LOCK </v>
      </c>
      <c r="D167" s="159"/>
      <c r="E167" s="155" t="n">
        <f aca="false">VLOOKUP(C167,$C$133:$H$153,3,0)</f>
        <v>1.106</v>
      </c>
      <c r="F167" s="263" t="n">
        <f aca="false">VLOOKUP(C167,$C$133:$I$153,7,0)</f>
        <v>2508</v>
      </c>
      <c r="G167" s="155" t="n">
        <f aca="false">VLOOKUP(C167,$C$133:$J$153,8,0)</f>
        <v>1</v>
      </c>
      <c r="H167" s="160"/>
      <c r="I167" s="161"/>
      <c r="J167" s="161"/>
    </row>
    <row r="168" s="96" customFormat="true" ht="13.5" hidden="false" customHeight="true" outlineLevel="1" collapsed="false">
      <c r="A168" s="158" t="n">
        <f aca="false">IF(B168="","",+A167+1)</f>
        <v>14</v>
      </c>
      <c r="B168" s="153" t="str">
        <f aca="false">B146</f>
        <v>5-6mm คิ้วตบกระจกแนวนอน</v>
      </c>
      <c r="C168" s="153" t="str">
        <f aca="false">C146</f>
        <v>5-6mm GLAZING BEAD HORIZONTAL</v>
      </c>
      <c r="D168" s="159" t="str">
        <f aca="false">VLOOKUP(C168,$C$133:$H$153,2,0)</f>
        <v>B24008</v>
      </c>
      <c r="E168" s="155" t="n">
        <f aca="false">VLOOKUP(C168,$C$133:$H$153,3,0)</f>
        <v>0.231</v>
      </c>
      <c r="F168" s="267" t="n">
        <f aca="false">VLOOKUP(C168,$C$133:$I$153,7,0)</f>
        <v>906.3125</v>
      </c>
      <c r="G168" s="155" t="n">
        <f aca="false">VLOOKUP(C168,$C$133:$J$153,8,0)</f>
        <v>24</v>
      </c>
      <c r="H168" s="160" t="n">
        <f aca="false">ROUNDUP(((F168*G168)+(F169*G169)+(F170*G170))/6400,0)</f>
        <v>5</v>
      </c>
      <c r="I168" s="265"/>
      <c r="J168" s="265"/>
    </row>
    <row r="169" s="96" customFormat="true" ht="15" hidden="false" customHeight="true" outlineLevel="1" collapsed="false">
      <c r="A169" s="158" t="n">
        <f aca="false">IF(B169="","",+A168+1)</f>
        <v>15</v>
      </c>
      <c r="B169" s="153" t="str">
        <f aca="false">B147</f>
        <v>5-6mm คิ้วตบกระจกแนวตั้ง</v>
      </c>
      <c r="C169" s="153" t="str">
        <f aca="false">C147</f>
        <v>5-6mm GLAZING BEAD VERTICAL P1</v>
      </c>
      <c r="D169" s="159"/>
      <c r="E169" s="155" t="n">
        <f aca="false">VLOOKUP(C169,$C$133:$H$153,3,0)</f>
        <v>0.231</v>
      </c>
      <c r="F169" s="267" t="n">
        <f aca="false">VLOOKUP(C169,$C$133:$I$153,7,0)</f>
        <v>-204.5</v>
      </c>
      <c r="G169" s="155" t="n">
        <f aca="false">VLOOKUP(C169,$C$133:$J$153,8,0)</f>
        <v>16</v>
      </c>
      <c r="H169" s="160"/>
      <c r="I169" s="196"/>
      <c r="J169" s="196"/>
    </row>
    <row r="170" s="202" customFormat="true" ht="15" hidden="false" customHeight="true" outlineLevel="1" collapsed="false">
      <c r="A170" s="158" t="n">
        <f aca="false">IF(B170="","",+A169+1)</f>
        <v>16</v>
      </c>
      <c r="B170" s="153" t="str">
        <f aca="false">B148</f>
        <v>5-6mm คิ้วตบกระจกแนวตั้ง</v>
      </c>
      <c r="C170" s="153" t="str">
        <f aca="false">C148</f>
        <v>5-6mm GLAZING BEAD VERTICAL P2</v>
      </c>
      <c r="D170" s="159"/>
      <c r="E170" s="155" t="n">
        <f aca="false">VLOOKUP(C170,$C$133:$H$153,3,0)</f>
        <v>0.231</v>
      </c>
      <c r="F170" s="263" t="n">
        <f aca="false">VLOOKUP(C170,$C$133:$I$153,7,0)</f>
        <v>1233</v>
      </c>
      <c r="G170" s="155" t="n">
        <f aca="false">VLOOKUP(C170,$C$133:$J$153,8,0)</f>
        <v>8</v>
      </c>
      <c r="H170" s="160"/>
      <c r="I170" s="157"/>
      <c r="J170" s="157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Y170" s="96"/>
      <c r="Z170" s="96"/>
      <c r="AA170" s="96"/>
      <c r="AB170" s="96"/>
      <c r="AC170" s="96"/>
      <c r="AD170" s="96"/>
      <c r="AE170" s="96"/>
      <c r="AF170" s="96"/>
      <c r="AG170" s="96"/>
      <c r="AH170" s="96"/>
      <c r="AI170" s="96"/>
      <c r="AJ170" s="96"/>
    </row>
    <row r="171" s="202" customFormat="true" ht="15" hidden="false" customHeight="true" outlineLevel="1" collapsed="false">
      <c r="A171" s="158" t="n">
        <f aca="false">IF(B171="","",+A170+1)</f>
        <v>17</v>
      </c>
      <c r="B171" s="153" t="str">
        <f aca="false">B149</f>
        <v>ตัวแบ่งบาน</v>
      </c>
      <c r="C171" s="153" t="str">
        <f aca="false">C149</f>
        <v>Door Middle</v>
      </c>
      <c r="D171" s="297" t="str">
        <f aca="false">VLOOKUP(C171,$C$133:$H$153,2,0)</f>
        <v>B25006</v>
      </c>
      <c r="E171" s="155" t="n">
        <f aca="false">VLOOKUP(C171,$C$133:$H$153,3,0)</f>
        <v>0.932</v>
      </c>
      <c r="F171" s="267" t="n">
        <f aca="false">VLOOKUP(C171,$C$133:$I$153,7,0)</f>
        <v>906.3125</v>
      </c>
      <c r="G171" s="155" t="n">
        <f aca="false">VLOOKUP(C171,$C$133:$J$153,8,0)</f>
        <v>8</v>
      </c>
      <c r="H171" s="266" t="n">
        <f aca="false">ROUNDUP((F171*G171)/6400,0)</f>
        <v>2</v>
      </c>
      <c r="I171" s="196"/>
      <c r="J171" s="1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Y171" s="96"/>
      <c r="Z171" s="96"/>
      <c r="AA171" s="96"/>
      <c r="AB171" s="96"/>
      <c r="AC171" s="96"/>
      <c r="AD171" s="96"/>
      <c r="AE171" s="96"/>
      <c r="AF171" s="96"/>
      <c r="AG171" s="96"/>
      <c r="AH171" s="96"/>
      <c r="AI171" s="96"/>
      <c r="AJ171" s="96"/>
    </row>
    <row r="172" s="96" customFormat="true" ht="24.75" hidden="false" customHeight="true" outlineLevel="0" collapsed="false">
      <c r="A172" s="113" t="s">
        <v>396</v>
      </c>
      <c r="B172" s="113"/>
      <c r="C172" s="113"/>
      <c r="D172" s="113"/>
      <c r="E172" s="113"/>
      <c r="F172" s="113"/>
      <c r="G172" s="113"/>
      <c r="H172" s="113"/>
      <c r="I172" s="113"/>
      <c r="J172" s="113"/>
    </row>
    <row r="173" s="96" customFormat="true" ht="34.5" hidden="false" customHeight="true" outlineLevel="0" collapsed="false">
      <c r="A173" s="114" t="s">
        <v>319</v>
      </c>
      <c r="B173" s="115" t="s">
        <v>320</v>
      </c>
      <c r="C173" s="115" t="s">
        <v>168</v>
      </c>
      <c r="D173" s="115" t="s">
        <v>397</v>
      </c>
      <c r="E173" s="115" t="s">
        <v>321</v>
      </c>
      <c r="F173" s="116" t="s">
        <v>398</v>
      </c>
      <c r="G173" s="115" t="s">
        <v>399</v>
      </c>
      <c r="H173" s="116" t="s">
        <v>400</v>
      </c>
      <c r="I173" s="116" t="s">
        <v>401</v>
      </c>
      <c r="J173" s="117" t="s">
        <v>402</v>
      </c>
      <c r="N173" s="107" t="s">
        <v>288</v>
      </c>
      <c r="O173" s="165" t="s">
        <v>320</v>
      </c>
      <c r="P173" s="165" t="s">
        <v>168</v>
      </c>
      <c r="Q173" s="165" t="s">
        <v>397</v>
      </c>
      <c r="R173" s="165" t="s">
        <v>321</v>
      </c>
      <c r="S173" s="165" t="s">
        <v>398</v>
      </c>
      <c r="T173" s="165" t="s">
        <v>399</v>
      </c>
      <c r="U173" s="165" t="s">
        <v>400</v>
      </c>
      <c r="V173" s="165" t="s">
        <v>401</v>
      </c>
      <c r="W173" s="165" t="s">
        <v>402</v>
      </c>
    </row>
    <row r="174" s="96" customFormat="true" ht="18" hidden="false" customHeight="true" outlineLevel="0" collapsed="false">
      <c r="A174" s="166" t="n">
        <f aca="false">IF(B174="","",1)</f>
        <v>1</v>
      </c>
      <c r="B174" s="131" t="s">
        <v>403</v>
      </c>
      <c r="C174" s="131" t="s">
        <v>404</v>
      </c>
      <c r="D174" s="132" t="s">
        <v>276</v>
      </c>
      <c r="E174" s="130"/>
      <c r="F174" s="130" t="s">
        <v>276</v>
      </c>
      <c r="G174" s="130" t="s">
        <v>405</v>
      </c>
      <c r="H174" s="130" t="n">
        <v>2</v>
      </c>
      <c r="I174" s="133"/>
      <c r="J174" s="134" t="n">
        <f aca="false">$J$120*H174</f>
        <v>2</v>
      </c>
      <c r="N174" s="107" t="s">
        <v>406</v>
      </c>
      <c r="O174" s="55" t="s">
        <v>407</v>
      </c>
      <c r="P174" s="62" t="s">
        <v>408</v>
      </c>
      <c r="Q174" s="55" t="s">
        <v>227</v>
      </c>
      <c r="R174" s="158"/>
      <c r="S174" s="158" t="s">
        <v>227</v>
      </c>
      <c r="T174" s="158" t="s">
        <v>409</v>
      </c>
      <c r="U174" s="168" t="n">
        <f aca="false">((($I$141*$G$141)+($I$142*$G$142)+($I$143*$G$143)+($I$144*$G$144)+($I$145*$G$145)+($G$149*$I$149*2))/1000)*$J$120</f>
        <v>42.705</v>
      </c>
      <c r="V174" s="168" t="n">
        <v>100</v>
      </c>
      <c r="W174" s="169" t="n">
        <f aca="false">ROUNDUP((U174)/100,0)</f>
        <v>1</v>
      </c>
    </row>
    <row r="175" s="96" customFormat="true" ht="18" hidden="false" customHeight="true" outlineLevel="0" collapsed="false">
      <c r="A175" s="170" t="n">
        <f aca="false">IF(B175="","",+A174+1)</f>
        <v>2</v>
      </c>
      <c r="B175" s="131" t="s">
        <v>410</v>
      </c>
      <c r="C175" s="131" t="s">
        <v>411</v>
      </c>
      <c r="D175" s="132" t="s">
        <v>267</v>
      </c>
      <c r="E175" s="130"/>
      <c r="F175" s="130" t="s">
        <v>267</v>
      </c>
      <c r="G175" s="130" t="s">
        <v>405</v>
      </c>
      <c r="H175" s="130" t="n">
        <v>8</v>
      </c>
      <c r="I175" s="133"/>
      <c r="J175" s="134" t="n">
        <f aca="false">$J$120*H175</f>
        <v>8</v>
      </c>
      <c r="N175" s="107" t="s">
        <v>412</v>
      </c>
      <c r="O175" s="55" t="s">
        <v>413</v>
      </c>
      <c r="P175" s="62" t="s">
        <v>414</v>
      </c>
      <c r="Q175" s="55" t="s">
        <v>234</v>
      </c>
      <c r="R175" s="158"/>
      <c r="S175" s="158" t="s">
        <v>234</v>
      </c>
      <c r="T175" s="158" t="s">
        <v>409</v>
      </c>
      <c r="U175" s="168" t="n">
        <f aca="false">((($I$141*$G$141)+($I$142*$G$142)+($I$143*$G$143)+($I$144*$G$144)+($I$145*$G$145)+($G$149*$I$149*2))/1000)*$J$120</f>
        <v>42.705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3</v>
      </c>
      <c r="B176" s="131" t="s">
        <v>415</v>
      </c>
      <c r="C176" s="131" t="s">
        <v>416</v>
      </c>
      <c r="D176" s="132" t="s">
        <v>222</v>
      </c>
      <c r="E176" s="130"/>
      <c r="F176" s="130" t="s">
        <v>222</v>
      </c>
      <c r="G176" s="130" t="s">
        <v>405</v>
      </c>
      <c r="H176" s="130" t="n">
        <v>2</v>
      </c>
      <c r="I176" s="133"/>
      <c r="J176" s="134" t="n">
        <f aca="false">$J$120*H176</f>
        <v>2</v>
      </c>
      <c r="N176" s="107" t="s">
        <v>417</v>
      </c>
      <c r="O176" s="62" t="s">
        <v>418</v>
      </c>
      <c r="P176" s="62" t="s">
        <v>419</v>
      </c>
      <c r="Q176" s="55" t="s">
        <v>236</v>
      </c>
      <c r="R176" s="158"/>
      <c r="S176" s="158" t="s">
        <v>236</v>
      </c>
      <c r="T176" s="158" t="s">
        <v>409</v>
      </c>
      <c r="U176" s="168" t="n">
        <f aca="false">((($I$141*$G$141)+($I$142*$G$142)+($I$143*$G$143)+($I$144*$G$144)+($I$145*$G$145)+($G$149*$I$149*2))/1000)*$J$120</f>
        <v>42.705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4</v>
      </c>
      <c r="B177" s="131" t="s">
        <v>420</v>
      </c>
      <c r="C177" s="131" t="s">
        <v>421</v>
      </c>
      <c r="D177" s="132" t="s">
        <v>225</v>
      </c>
      <c r="E177" s="130"/>
      <c r="F177" s="130" t="s">
        <v>225</v>
      </c>
      <c r="G177" s="130" t="s">
        <v>405</v>
      </c>
      <c r="H177" s="130" t="n">
        <v>2</v>
      </c>
      <c r="I177" s="133"/>
      <c r="J177" s="134" t="n">
        <f aca="false">$J$120*H177</f>
        <v>2</v>
      </c>
      <c r="N177" s="107" t="s">
        <v>422</v>
      </c>
      <c r="O177" s="62" t="s">
        <v>423</v>
      </c>
      <c r="P177" s="62" t="s">
        <v>424</v>
      </c>
      <c r="Q177" s="55" t="s">
        <v>238</v>
      </c>
      <c r="R177" s="158"/>
      <c r="S177" s="158" t="s">
        <v>238</v>
      </c>
      <c r="T177" s="158" t="s">
        <v>409</v>
      </c>
      <c r="U177" s="168" t="n">
        <f aca="false">((($I$141*$G$141)+($I$142*$G$142)+($I$143*$G$143)+($I$144*$G$144)+($I$145*$G$145)+($G$149*$I$149*2))/1000)*$J$120</f>
        <v>42.705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5</v>
      </c>
      <c r="B178" s="131" t="s">
        <v>425</v>
      </c>
      <c r="C178" s="131" t="s">
        <v>426</v>
      </c>
      <c r="D178" s="132" t="n">
        <v>9</v>
      </c>
      <c r="E178" s="130"/>
      <c r="F178" s="130" t="n">
        <v>9</v>
      </c>
      <c r="G178" s="130" t="s">
        <v>405</v>
      </c>
      <c r="H178" s="130" t="n">
        <v>64</v>
      </c>
      <c r="I178" s="133"/>
      <c r="J178" s="134" t="n">
        <f aca="false">$J$120*H178</f>
        <v>64</v>
      </c>
      <c r="N178" s="107" t="s">
        <v>427</v>
      </c>
      <c r="O178" s="62" t="s">
        <v>428</v>
      </c>
      <c r="P178" s="62" t="s">
        <v>429</v>
      </c>
      <c r="Q178" s="55" t="s">
        <v>240</v>
      </c>
      <c r="R178" s="158"/>
      <c r="S178" s="158" t="s">
        <v>240</v>
      </c>
      <c r="T178" s="158" t="s">
        <v>409</v>
      </c>
      <c r="U178" s="168" t="n">
        <f aca="false">((($I$141*$G$141)+($I$142*$G$142)+($I$143*$G$143)+($I$144*$G$144)+($I$145*$G$145)+($G$149*$I$149*2))/1000)*$J$120</f>
        <v>42.705</v>
      </c>
      <c r="V178" s="168" t="n">
        <v>100</v>
      </c>
      <c r="W178" s="169" t="n">
        <f aca="false">ROUNDUP((U178)/100,0)</f>
        <v>1</v>
      </c>
    </row>
    <row r="179" s="96" customFormat="true" ht="18" hidden="false" customHeight="true" outlineLevel="0" collapsed="false">
      <c r="A179" s="170" t="n">
        <f aca="false">IF(B179="","",+A178+1)</f>
        <v>6</v>
      </c>
      <c r="B179" s="131" t="s">
        <v>430</v>
      </c>
      <c r="C179" s="131" t="s">
        <v>431</v>
      </c>
      <c r="D179" s="132" t="n">
        <v>9</v>
      </c>
      <c r="E179" s="130"/>
      <c r="F179" s="130" t="n">
        <v>9</v>
      </c>
      <c r="G179" s="130" t="s">
        <v>405</v>
      </c>
      <c r="H179" s="130" t="n">
        <v>64</v>
      </c>
      <c r="I179" s="133"/>
      <c r="J179" s="134" t="n">
        <f aca="false">$J$120*H179</f>
        <v>64</v>
      </c>
    </row>
    <row r="180" s="96" customFormat="true" ht="18" hidden="false" customHeight="true" outlineLevel="0" collapsed="false">
      <c r="A180" s="170" t="n">
        <f aca="false">IF(B180="","",+A179+1)</f>
        <v>7</v>
      </c>
      <c r="B180" s="131" t="s">
        <v>432</v>
      </c>
      <c r="C180" s="131" t="s">
        <v>433</v>
      </c>
      <c r="D180" s="132" t="s">
        <v>6</v>
      </c>
      <c r="E180" s="130"/>
      <c r="F180" s="130" t="s">
        <v>6</v>
      </c>
      <c r="G180" s="130" t="s">
        <v>434</v>
      </c>
      <c r="H180" s="130" t="n">
        <v>1</v>
      </c>
      <c r="I180" s="133"/>
      <c r="J180" s="134" t="n">
        <f aca="false">$J$120*H180</f>
        <v>1</v>
      </c>
    </row>
    <row r="181" s="96" customFormat="true" ht="18" hidden="false" customHeight="true" outlineLevel="0" collapsed="false">
      <c r="A181" s="170" t="n">
        <f aca="false">IF(B181="","",+A180+1)</f>
        <v>8</v>
      </c>
      <c r="B181" s="131" t="s">
        <v>512</v>
      </c>
      <c r="C181" s="131" t="s">
        <v>513</v>
      </c>
      <c r="D181" s="132" t="s">
        <v>7</v>
      </c>
      <c r="E181" s="130"/>
      <c r="F181" s="130" t="s">
        <v>7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9</v>
      </c>
      <c r="B182" s="131" t="s">
        <v>554</v>
      </c>
      <c r="C182" s="131" t="s">
        <v>604</v>
      </c>
      <c r="D182" s="132" t="s">
        <v>10</v>
      </c>
      <c r="E182" s="130"/>
      <c r="F182" s="130" t="s">
        <v>10</v>
      </c>
      <c r="G182" s="130" t="s">
        <v>434</v>
      </c>
      <c r="H182" s="130" t="n">
        <v>1</v>
      </c>
      <c r="I182" s="133"/>
      <c r="J182" s="134" t="n">
        <f aca="false">$J$120*H182</f>
        <v>1</v>
      </c>
    </row>
    <row r="183" s="96" customFormat="true" ht="18" hidden="false" customHeight="true" outlineLevel="0" collapsed="false">
      <c r="A183" s="170" t="n">
        <f aca="false">IF(B183="","",+A182+1)</f>
        <v>10</v>
      </c>
      <c r="B183" s="131" t="s">
        <v>603</v>
      </c>
      <c r="C183" s="131" t="s">
        <v>438</v>
      </c>
      <c r="D183" s="132" t="s">
        <v>4</v>
      </c>
      <c r="E183" s="130"/>
      <c r="F183" s="130" t="s">
        <v>4</v>
      </c>
      <c r="G183" s="130" t="s">
        <v>434</v>
      </c>
      <c r="H183" s="130" t="n">
        <v>2</v>
      </c>
      <c r="I183" s="133"/>
      <c r="J183" s="134" t="n">
        <f aca="false">$J$120*H183</f>
        <v>2</v>
      </c>
      <c r="Q183" s="172"/>
      <c r="R183" s="172"/>
      <c r="S183" s="172"/>
      <c r="T183" s="97"/>
      <c r="U183" s="97"/>
      <c r="V183" s="97"/>
    </row>
    <row r="184" s="96" customFormat="true" ht="18" hidden="false" customHeight="true" outlineLevel="0" collapsed="false">
      <c r="A184" s="170" t="n">
        <f aca="false">IF(B184="","",+A183+1)</f>
        <v>11</v>
      </c>
      <c r="B184" s="131" t="s">
        <v>439</v>
      </c>
      <c r="C184" s="131" t="s">
        <v>440</v>
      </c>
      <c r="D184" s="132" t="s">
        <v>12</v>
      </c>
      <c r="E184" s="130"/>
      <c r="F184" s="130" t="s">
        <v>12</v>
      </c>
      <c r="G184" s="130" t="s">
        <v>434</v>
      </c>
      <c r="H184" s="130" t="n">
        <v>2</v>
      </c>
      <c r="I184" s="142"/>
      <c r="J184" s="134" t="n">
        <f aca="false">$J$120*H184</f>
        <v>2</v>
      </c>
      <c r="N184" s="107" t="s">
        <v>289</v>
      </c>
      <c r="O184" s="165" t="s">
        <v>320</v>
      </c>
      <c r="P184" s="165" t="s">
        <v>168</v>
      </c>
      <c r="Q184" s="165" t="s">
        <v>397</v>
      </c>
      <c r="R184" s="165" t="s">
        <v>321</v>
      </c>
      <c r="S184" s="165" t="s">
        <v>398</v>
      </c>
      <c r="T184" s="165" t="s">
        <v>399</v>
      </c>
      <c r="U184" s="165" t="s">
        <v>400</v>
      </c>
      <c r="V184" s="165" t="s">
        <v>401</v>
      </c>
      <c r="W184" s="165" t="s">
        <v>402</v>
      </c>
    </row>
    <row r="185" s="96" customFormat="true" ht="18" hidden="false" customHeight="true" outlineLevel="0" collapsed="false">
      <c r="A185" s="170" t="n">
        <f aca="false">IF(B185="","",+A184+1)</f>
        <v>12</v>
      </c>
      <c r="B185" s="131" t="s">
        <v>441</v>
      </c>
      <c r="C185" s="131" t="s">
        <v>442</v>
      </c>
      <c r="D185" s="132" t="s">
        <v>274</v>
      </c>
      <c r="E185" s="130"/>
      <c r="F185" s="130" t="s">
        <v>274</v>
      </c>
      <c r="G185" s="130" t="s">
        <v>405</v>
      </c>
      <c r="H185" s="130" t="n">
        <v>4</v>
      </c>
      <c r="I185" s="142"/>
      <c r="J185" s="134" t="n">
        <f aca="false">$J$120*H185</f>
        <v>4</v>
      </c>
      <c r="N185" s="107" t="s">
        <v>445</v>
      </c>
      <c r="O185" s="62" t="s">
        <v>446</v>
      </c>
      <c r="P185" s="62" t="s">
        <v>447</v>
      </c>
      <c r="Q185" s="55" t="s">
        <v>230</v>
      </c>
      <c r="R185" s="158"/>
      <c r="S185" s="158" t="s">
        <v>230</v>
      </c>
      <c r="T185" s="158" t="s">
        <v>409</v>
      </c>
      <c r="U185" s="168" t="n">
        <f aca="false">((($I$134*$G$134)+($I$136*$G$136)+($I$139*$G$139))/1000)*$J$120</f>
        <v>10.658</v>
      </c>
      <c r="V185" s="168" t="n">
        <v>300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13</v>
      </c>
      <c r="B186" s="131" t="s">
        <v>443</v>
      </c>
      <c r="C186" s="131" t="s">
        <v>444</v>
      </c>
      <c r="D186" s="132" t="s">
        <v>272</v>
      </c>
      <c r="E186" s="130"/>
      <c r="F186" s="130" t="s">
        <v>272</v>
      </c>
      <c r="G186" s="130" t="s">
        <v>405</v>
      </c>
      <c r="H186" s="130" t="n">
        <v>1</v>
      </c>
      <c r="I186" s="142"/>
      <c r="J186" s="134" t="n">
        <f aca="false">$J$120*H186</f>
        <v>1</v>
      </c>
      <c r="N186" s="107" t="s">
        <v>448</v>
      </c>
      <c r="O186" s="62" t="s">
        <v>449</v>
      </c>
      <c r="P186" s="62" t="s">
        <v>450</v>
      </c>
      <c r="Q186" s="55" t="s">
        <v>451</v>
      </c>
      <c r="R186" s="158"/>
      <c r="S186" s="158" t="s">
        <v>451</v>
      </c>
      <c r="T186" s="158" t="s">
        <v>409</v>
      </c>
      <c r="U186" s="168" t="n">
        <f aca="false">((($I$134*$G$134)+($I$136*$G$136)+($I$139*$G$139))/1000)*$J$120</f>
        <v>10.658</v>
      </c>
      <c r="V186" s="168" t="n">
        <v>100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14</v>
      </c>
      <c r="B187" s="132" t="str">
        <f aca="false">IF($D$129="Standard",$O$185,IF($D$129="Soumdproof",$O$186,))</f>
        <v>ยางเฟรมกันน้ำ (ธรรมดา)</v>
      </c>
      <c r="C187" s="132" t="str">
        <f aca="false">IF($D$129="Standard",$P$185,IF($D$129="Soumdproof",$P$186,))</f>
        <v>FRAME SEAL (Standard)</v>
      </c>
      <c r="D187" s="132" t="str">
        <f aca="false">IF($D$129="Standard",$Q$185,IF($D$129="Soumdproof",$Q$186,))</f>
        <v>02-026</v>
      </c>
      <c r="E187" s="130" t="n">
        <f aca="false">IF($D$129="Standard",R186,IF($D$129="Soumdproof",R187,))</f>
        <v>0</v>
      </c>
      <c r="F187" s="130" t="str">
        <f aca="false">IF($D$129="Standard",$S$185,IF($D$129="Soumdproof",$S$186,))</f>
        <v>02-026</v>
      </c>
      <c r="G187" s="130" t="str">
        <f aca="false">IF($D$129="Standard",$T$185,IF($D$129="Soumdproof",$T$186,))</f>
        <v>M</v>
      </c>
      <c r="H187" s="173" t="n">
        <f aca="false">IF($D$129="Standard",$U$185,IF($D$129="Soumdproof",$U$186,))</f>
        <v>10.658</v>
      </c>
      <c r="I187" s="174" t="n">
        <f aca="false">IF($D$129="Standard",$V$185,IF($D$129="Soumdproof",$V$186,))</f>
        <v>300</v>
      </c>
      <c r="J187" s="175" t="n">
        <f aca="false">ROUNDUP((H187)/100,0)</f>
        <v>1</v>
      </c>
      <c r="N187" s="107" t="s">
        <v>445</v>
      </c>
      <c r="O187" s="62" t="s">
        <v>452</v>
      </c>
      <c r="P187" s="62" t="s">
        <v>453</v>
      </c>
      <c r="Q187" s="55" t="s">
        <v>232</v>
      </c>
      <c r="R187" s="158"/>
      <c r="S187" s="158" t="s">
        <v>232</v>
      </c>
      <c r="T187" s="158" t="s">
        <v>409</v>
      </c>
      <c r="U187" s="168" t="n">
        <f aca="false">((($I$141*$G$141*2)+($I$143*$G$143*2)+($I$144*$G$144*2)+($I$145*$G$145*2))/1000)*$J$120</f>
        <v>48.268</v>
      </c>
      <c r="V187" s="168" t="n">
        <v>350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15</v>
      </c>
      <c r="B188" s="132" t="str">
        <f aca="false">IF($D$129="Standard",$O$187,IF($D$129="Soumdproof",$O$188,))</f>
        <v>ยางแซชกันน้ำ (ธรรมดา)</v>
      </c>
      <c r="C188" s="132" t="str">
        <f aca="false">IF($D$129="Standard",$P$187,IF($D$129="Soumdproof",$P$188,))</f>
        <v>SASH SEAL FOAM (Standard)</v>
      </c>
      <c r="D188" s="132" t="str">
        <f aca="false">IF($D$129="Standard",$Q$187,IF($D$129="Soumdproof",$Q$188,))</f>
        <v>02-031</v>
      </c>
      <c r="E188" s="130" t="n">
        <f aca="false">IF($D$129="Standard",R188,IF($D$129="Soumdproof",R189,))</f>
        <v>0</v>
      </c>
      <c r="F188" s="130" t="str">
        <f aca="false">IF($D$129="Standard",$S$187,IF($D$129="Soumdproof",$S$188,))</f>
        <v>02-031</v>
      </c>
      <c r="G188" s="130" t="str">
        <f aca="false">IF($D$129="Standard",$T$187,IF($D$129="Soumdproof",$T$188,))</f>
        <v>M</v>
      </c>
      <c r="H188" s="173" t="n">
        <f aca="false">IF($D$129="Standard",$U$187,IF($D$129="Soumdproof",$U$188,))</f>
        <v>48.268</v>
      </c>
      <c r="I188" s="174" t="n">
        <f aca="false">IF($D$129="Standard",$V$187,IF($D$129="Soumdproof",$V$188,))</f>
        <v>350</v>
      </c>
      <c r="J188" s="175" t="n">
        <f aca="false">ROUNDUP((H188)/100,0)</f>
        <v>1</v>
      </c>
      <c r="N188" s="107" t="s">
        <v>448</v>
      </c>
      <c r="O188" s="62" t="s">
        <v>454</v>
      </c>
      <c r="P188" s="62" t="s">
        <v>455</v>
      </c>
      <c r="Q188" s="55" t="s">
        <v>456</v>
      </c>
      <c r="R188" s="158"/>
      <c r="S188" s="158" t="s">
        <v>456</v>
      </c>
      <c r="T188" s="158" t="s">
        <v>409</v>
      </c>
      <c r="U188" s="168" t="n">
        <f aca="false">((($I$141*$G$141*2)+($I$143*$G$143*2)+($I$144*$G$144*2)+($I$145*$G$145*2))/1000)*$J$120</f>
        <v>48.268</v>
      </c>
      <c r="V188" s="168" t="n">
        <v>100</v>
      </c>
      <c r="W188" s="169" t="n">
        <f aca="false">ROUNDUP((U188)/V188,0)</f>
        <v>1</v>
      </c>
    </row>
    <row r="189" s="96" customFormat="true" ht="18" hidden="false" customHeight="true" outlineLevel="0" collapsed="false">
      <c r="A189" s="170" t="n">
        <f aca="false">IF(B189="","",+A188+1)</f>
        <v>16</v>
      </c>
      <c r="B189" s="176" t="str">
        <f aca="false">IF($D$127=5,$O$176,IF($D$127=6,$O$177,IF($D$127=8,$O$178,IF($D$127=10,$O$176,IF($D$127=12,$O$176,IF($D$127=14,$O$178,IF($D$127=18,$O$176,IF($D$127=20,$O$177,IF($D$127=22,"")))))))))</f>
        <v>6,20 mm ยางอัดกระจก</v>
      </c>
      <c r="C189" s="176" t="str">
        <f aca="false">IF($D$127=5,$P$176,IF($D$127=6,$P$177,IF($D$127=8,$P$178,IF($D$127=10,$P$176,IF($D$127=12,$P$176,IF($D$127=14,$P$178,IF($D$127=18,$P$176,IF($D$127=20,$P$177,IF($D$127=22,"")))))))))</f>
        <v>6,20 mm ROLL IN WEDGE</v>
      </c>
      <c r="D189" s="176" t="str">
        <f aca="false">IF($D$127=5,$Q$176,IF($D$127=6,$Q$177,IF($D$127=8,$Q$178,IF($D$127=10,$Q$176,IF($D$127=12,$Q$176,IF($D$127=14,$Q$178,IF($D$127=18,$Q$176,IF($D$127=20,$Q$177,IF($D$127=22,"")))))))))</f>
        <v>02-034</v>
      </c>
      <c r="E189" s="176" t="n">
        <f aca="false">IF($D$127=5,R177,IF($D$127=6,R178,IF($D$127=8,R179,IF($D$127=10,R177,IF($D$127=12,R177,IF($D$127=14,R179,IF($D$127=18,R177,IF($D$127=20,R178,IF($D$127=22,"",)))))))))</f>
        <v>0</v>
      </c>
      <c r="F189" s="167" t="str">
        <f aca="false">IF($D$127=5,$S$176,IF($D$127=6,$S$177,IF($D$127=8,$S$178,IF($D$127=10,$S$176,IF($D$127=12,$S$176,IF($D$127=14,$S$178,IF($D$127=18,$S$176,IF($D$127=20,$S$177,IF($D$127=22,"")))))))))</f>
        <v>02-034</v>
      </c>
      <c r="G189" s="167" t="str">
        <f aca="false">IF($D$127=5,$T$176,IF($D$127=6,$T$177,IF($D$127=8,$T$178,IF($D$127=10,$T$176,IF($D$127=12,$T$176,IF($D$127=14,$T$178,IF($D$127=18,$T$176,IF($D$127=20,$T$177,IF($D$127=22,"")))))))))</f>
        <v>M</v>
      </c>
      <c r="H189" s="173" t="n">
        <f aca="false">IF($D$127=5,$U$176,IF($D$127=6,$U$177,IF($D$127=8,$U$178,IF($D$127=10,$U$176*2,IF($D$127=12,$U$176,IF($D$127=14,$U$178*2,IF($D$127=18,$U$176,IF($D$127=20,$U$177,IF($D$127=22,"")))))))))</f>
        <v>42.705</v>
      </c>
      <c r="I189" s="174" t="n">
        <f aca="false">IF($D$127=5,$V$176,IF($D$127=6,$V$177,IF($D$127=8,$V$178,IF($D$127=10,$V$176,IF($D$127=12,$V$176,IF($D$127=14,$V$178,IF($D$127=18,$V$176,IF($D$127=20,$V$177,IF($D$127=22,"")))))))))</f>
        <v>100</v>
      </c>
      <c r="J189" s="175" t="n">
        <f aca="false">ROUNDUP((H189)/100,0)</f>
        <v>1</v>
      </c>
    </row>
    <row r="190" s="96" customFormat="true" ht="18" hidden="false" customHeight="true" outlineLevel="0" collapsed="false">
      <c r="A190" s="170" t="n">
        <f aca="false">IF(B190="","",+A189+1)</f>
        <v>17</v>
      </c>
      <c r="B190" s="176" t="str">
        <f aca="false">IF($D$127=5,$O$174,IF($D$127=6,$O$174,IF($D$127=8,$O$176,IF($D$127=10,"",IF($D$127=12,$O$175,IF($D$127=14,"",IF($D$127=18,$O$174,IF($D$127=20,$O$175,IF($D$127=22,"",)))))))))</f>
        <v>5,6,18 mm ยางรองกระจก</v>
      </c>
      <c r="C190" s="176" t="str">
        <f aca="false">IF($D$127=5,$P$174,IF($D$127=6,$P$174,IF($D$127=8,$P$176,IF($D$127=10,"",IF($D$127=12,$P$175,IF($D$127=14,"",IF($D$127=18,$P$174,IF($D$127=20,$P$175,IF($D$127=22,"",)))))))))</f>
        <v>5,6,18 mm CAPTIVE WEDGE</v>
      </c>
      <c r="D190" s="176" t="str">
        <f aca="false">IF($D$127=5,$Q$174,IF($D$127=6,$Q$174,IF($D$127=8,$Q$176,IF($D$127=10,"",IF($D$127=12,$Q$175,IF($D$127=14,"",IF($D$127=18,$Q$174,IF($D$127=20,$Q$175,IF($D$127=22,"",)))))))))</f>
        <v>02-022</v>
      </c>
      <c r="E190" s="176" t="n">
        <f aca="false">IF($D$127=5,R175,IF($D$127=6,R175,IF($D$127=8,R177,IF($D$127=10,"",IF($D$127=12,R176,IF($D$127=14,"",IF($D$127=18,R175,IF($D$127=20,R176,IF($D$127=22,"",)))))))))</f>
        <v>0</v>
      </c>
      <c r="F190" s="167" t="str">
        <f aca="false">IF($D$127=5,$S$174,IF($D$127=6,$S$174,IF($D$127=8,$S$176,IF($D$127=10,"",IF($D$127=12,$S$175,IF($D$127=14,"",IF($D$127=18,$S$174,IF($D$127=20,$S$175,IF($D$127=22,"",)))))))))</f>
        <v>02-022</v>
      </c>
      <c r="G190" s="167" t="str">
        <f aca="false">IF($D$127=5,$T$174,IF($D$127=6,$T$174,IF($D$127=8,$T$176,IF($D$127=10,"",IF($D$127=12,$T$175,IF($D$127=14,"",IF($D$127=18,$T$174,IF($D$127=20,$T$175,IF($D$127=22,"",)))))))))</f>
        <v>M</v>
      </c>
      <c r="H190" s="173" t="n">
        <f aca="false">IF($D$127=5,$U$174,IF($D$127=6,$U$174,IF($D$127=8,$U$176,IF($D$127=10,"",IF($D$127=12,$U$175,IF($D$127=14,"",IF($D$127=18,$U$174,IF($D$127=20,$U$175,IF($D$127=22,"")))))))))</f>
        <v>42.705</v>
      </c>
      <c r="I190" s="174" t="n">
        <f aca="false">IF($D$127=5,$V$174,IF($D$127=6,$V$174,IF($D$127=8,$V$176,IF($D$127=10,"",IF($D$127=12,$V$175,IF($D$127=14,"",IF($D$127=18,$V$174,IF($D$127=20,$V$175,IF($D$127=22,"",)))))))))</f>
        <v>100</v>
      </c>
      <c r="J190" s="175" t="n">
        <f aca="false">ROUNDUP((H190)/100,0)</f>
        <v>1</v>
      </c>
    </row>
    <row r="191" s="96" customFormat="true" ht="18" hidden="false" customHeight="true" outlineLevel="0" collapsed="false">
      <c r="A191" s="170" t="str">
        <f aca="false">IF(B191="","",+A190+1)</f>
        <v/>
      </c>
      <c r="B191" s="131"/>
      <c r="C191" s="131"/>
      <c r="D191" s="132"/>
      <c r="E191" s="130"/>
      <c r="F191" s="130"/>
      <c r="G191" s="130"/>
      <c r="H191" s="130"/>
      <c r="I191" s="142"/>
      <c r="J191" s="134" t="n">
        <f aca="false">$J$120*H191</f>
        <v>0</v>
      </c>
    </row>
    <row r="192" s="96" customFormat="true" ht="18" hidden="false" customHeight="true" outlineLevel="0" collapsed="false">
      <c r="A192" s="170" t="str">
        <f aca="false">IF(B192="","",+A191+1)</f>
        <v/>
      </c>
      <c r="B192" s="131"/>
      <c r="C192" s="131"/>
      <c r="D192" s="132"/>
      <c r="E192" s="130"/>
      <c r="F192" s="130"/>
      <c r="G192" s="130"/>
      <c r="H192" s="130"/>
      <c r="I192" s="133"/>
      <c r="J192" s="134" t="n">
        <f aca="false">$J$120*H192</f>
        <v>0</v>
      </c>
    </row>
    <row r="193" s="96" customFormat="true" ht="18" hidden="false" customHeight="true" outlineLevel="0" collapsed="false">
      <c r="A193" s="170" t="str">
        <f aca="false">IF(B193="","",+A192+1)</f>
        <v/>
      </c>
      <c r="B193" s="131"/>
      <c r="C193" s="131"/>
      <c r="D193" s="132"/>
      <c r="E193" s="130"/>
      <c r="F193" s="130"/>
      <c r="G193" s="130"/>
      <c r="H193" s="130"/>
      <c r="I193" s="133"/>
      <c r="J193" s="134" t="n">
        <f aca="false">$J$120*H193</f>
        <v>0</v>
      </c>
    </row>
    <row r="194" customFormat="false" ht="18" hidden="false" customHeight="true" outlineLevel="0" collapsed="false">
      <c r="A194" s="170" t="str">
        <f aca="false">IF(B194="","",+A193+1)</f>
        <v/>
      </c>
      <c r="B194" s="131"/>
      <c r="C194" s="131"/>
      <c r="D194" s="132"/>
      <c r="E194" s="130"/>
      <c r="F194" s="130"/>
      <c r="G194" s="130"/>
      <c r="H194" s="130"/>
      <c r="I194" s="133"/>
      <c r="J194" s="134" t="n">
        <f aca="false">$J$120*H194</f>
        <v>0</v>
      </c>
      <c r="Y194" s="96"/>
      <c r="Z194" s="96"/>
      <c r="AA194" s="96"/>
      <c r="AB194" s="96"/>
      <c r="AC194" s="96"/>
      <c r="AD194" s="96"/>
      <c r="AE194" s="96"/>
      <c r="AF194" s="96"/>
      <c r="AG194" s="96"/>
      <c r="AH194" s="96"/>
      <c r="AI194" s="96"/>
      <c r="AJ194" s="96"/>
    </row>
    <row r="195" s="96" customFormat="true" ht="18" hidden="false" customHeight="true" outlineLevel="0" collapsed="false">
      <c r="A195" s="170" t="str">
        <f aca="false">IF(B195="","",+A194+1)</f>
        <v/>
      </c>
      <c r="B195" s="131"/>
      <c r="C195" s="131"/>
      <c r="D195" s="132"/>
      <c r="E195" s="130"/>
      <c r="F195" s="130"/>
      <c r="G195" s="130"/>
      <c r="H195" s="130"/>
      <c r="I195" s="133"/>
      <c r="J195" s="134" t="n">
        <f aca="false">$J$120*H195</f>
        <v>0</v>
      </c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30"/>
      <c r="I196" s="133"/>
      <c r="J196" s="134" t="n">
        <f aca="false">$J$120*H196</f>
        <v>0</v>
      </c>
    </row>
    <row r="197" s="96" customFormat="true" ht="18" hidden="false" customHeight="true" outlineLevel="0" collapsed="false">
      <c r="A197" s="170" t="str">
        <f aca="false">IF(B197="","",+""+1)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$J$120*H197</f>
        <v>0</v>
      </c>
    </row>
    <row r="198" s="96" customFormat="true" ht="18" hidden="false" customHeight="true" outlineLevel="0" collapsed="false">
      <c r="A198" s="170"/>
      <c r="B198" s="131"/>
      <c r="C198" s="131"/>
      <c r="D198" s="132"/>
      <c r="E198" s="130"/>
      <c r="F198" s="130"/>
      <c r="G198" s="130"/>
      <c r="H198" s="130"/>
      <c r="I198" s="133"/>
      <c r="J198" s="134"/>
    </row>
    <row r="199" s="96" customFormat="true" ht="18" hidden="false" customHeight="true" outlineLevel="0" collapsed="false">
      <c r="A199" s="170"/>
      <c r="B199" s="131"/>
      <c r="C199" s="131"/>
      <c r="D199" s="132"/>
      <c r="E199" s="130"/>
      <c r="F199" s="130"/>
      <c r="G199" s="130"/>
      <c r="H199" s="130"/>
      <c r="I199" s="133"/>
      <c r="J199" s="134"/>
    </row>
    <row r="200" s="96" customFormat="true" ht="18" hidden="false" customHeight="true" outlineLevel="0" collapsed="false">
      <c r="A200" s="170"/>
      <c r="B200" s="131"/>
      <c r="C200" s="131"/>
      <c r="D200" s="132"/>
      <c r="E200" s="130"/>
      <c r="F200" s="130"/>
      <c r="G200" s="130"/>
      <c r="H200" s="130"/>
      <c r="I200" s="133"/>
      <c r="J200" s="134"/>
    </row>
    <row r="201" s="96" customFormat="true" ht="18" hidden="false" customHeight="true" outlineLevel="0" collapsed="false">
      <c r="A201" s="170"/>
      <c r="B201" s="131"/>
      <c r="C201" s="131"/>
      <c r="D201" s="132"/>
      <c r="E201" s="130"/>
      <c r="F201" s="130"/>
      <c r="G201" s="130"/>
      <c r="H201" s="130"/>
      <c r="I201" s="133"/>
      <c r="J201" s="134"/>
    </row>
    <row r="202" s="96" customFormat="true" ht="18" hidden="false" customHeight="true" outlineLevel="0" collapsed="false">
      <c r="A202" s="170"/>
      <c r="B202" s="131"/>
      <c r="C202" s="131"/>
      <c r="D202" s="132"/>
      <c r="E202" s="130"/>
      <c r="F202" s="130"/>
      <c r="G202" s="130"/>
      <c r="H202" s="130"/>
      <c r="I202" s="133"/>
      <c r="J202" s="134"/>
    </row>
    <row r="203" s="96" customFormat="true" ht="18" hidden="false" customHeight="true" outlineLevel="0" collapsed="false">
      <c r="A203" s="170" t="str">
        <f aca="false">IF(B203="","",+""+1)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0" t="str">
        <f aca="false">IF(B204="","",+""+1)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$J$120*H204</f>
        <v>0</v>
      </c>
    </row>
    <row r="205" s="96" customFormat="true" ht="18" hidden="false" customHeight="true" outlineLevel="0" collapsed="false">
      <c r="A205" s="179" t="str">
        <f aca="false">IF(B205="","",+A204+1)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$J$120*H205</f>
        <v>0</v>
      </c>
    </row>
    <row r="206" s="96" customFormat="true" ht="18" hidden="false" customHeight="true" outlineLevel="0" collapsed="false">
      <c r="A206" s="200"/>
      <c r="B206" s="98"/>
      <c r="D206" s="98"/>
      <c r="E206" s="97"/>
      <c r="F206" s="98"/>
      <c r="G206" s="98"/>
      <c r="H206" s="98"/>
      <c r="I206" s="196"/>
      <c r="J206" s="196"/>
    </row>
    <row r="207" customFormat="false" ht="18" hidden="false" customHeight="true" outlineLevel="0" collapsed="false">
      <c r="A207" s="97"/>
      <c r="J207" s="92" t="str">
        <f aca="false">LEFT($J$111,13)&amp;"-02"</f>
        <v>FG-240-4P2L2R-02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B215" s="182"/>
      <c r="D215" s="98"/>
      <c r="E215" s="83"/>
      <c r="F215" s="183"/>
      <c r="I215" s="183"/>
      <c r="J215" s="99"/>
    </row>
    <row r="216" s="96" customFormat="true" ht="15" hidden="false" customHeight="true" outlineLevel="0" collapsed="false">
      <c r="A216" s="97"/>
      <c r="C216" s="184"/>
      <c r="D216" s="98"/>
      <c r="E216" s="83"/>
      <c r="F216" s="98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I219" s="97"/>
      <c r="J219" s="97"/>
    </row>
    <row r="220" s="96" customFormat="true" ht="15" hidden="false" customHeight="true" outlineLevel="0" collapsed="false">
      <c r="A220" s="97"/>
      <c r="C220" s="184" t="s">
        <v>516</v>
      </c>
      <c r="D220" s="98"/>
      <c r="E220" s="83"/>
      <c r="F220" s="98"/>
      <c r="H220" s="184" t="s">
        <v>621</v>
      </c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83" t="s">
        <v>624</v>
      </c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H222" s="181" t="s">
        <v>625</v>
      </c>
      <c r="J222" s="97"/>
    </row>
    <row r="223" s="96" customFormat="true" ht="15" hidden="false" customHeight="true" outlineLevel="0" collapsed="false">
      <c r="A223" s="97"/>
      <c r="C223" s="185" t="n">
        <f aca="false">$I$133</f>
        <v>4090</v>
      </c>
      <c r="D223" s="98"/>
      <c r="E223" s="83"/>
      <c r="F223" s="98"/>
      <c r="G223" s="186"/>
      <c r="H223" s="185" t="n">
        <f aca="false">$I$149</f>
        <v>906.3125</v>
      </c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H224" s="187" t="n">
        <f aca="false">$J$149</f>
        <v>8</v>
      </c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517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4064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519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4090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97"/>
      <c r="H252" s="97"/>
      <c r="I252" s="196"/>
      <c r="J252" s="196"/>
    </row>
    <row r="253" s="96" customFormat="true" ht="15.75" hidden="false" customHeight="true" outlineLevel="0" collapsed="false">
      <c r="A253" s="191"/>
      <c r="B253" s="191"/>
      <c r="D253" s="192"/>
      <c r="E253" s="191"/>
      <c r="F253" s="191"/>
      <c r="G253" s="97"/>
      <c r="H253" s="97"/>
      <c r="I253" s="196"/>
      <c r="J253" s="196"/>
    </row>
    <row r="254" s="96" customFormat="true" ht="15.75" hidden="false" customHeight="true" outlineLevel="0" collapsed="false">
      <c r="A254" s="190"/>
      <c r="B254" s="190"/>
      <c r="C254" s="184" t="s">
        <v>520</v>
      </c>
      <c r="D254" s="194"/>
      <c r="E254" s="190"/>
      <c r="F254" s="189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459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460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5" t="n">
        <f aca="false">$I$136</f>
        <v>4090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7" t="n">
        <f aca="false">$J$136</f>
        <v>1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C262" s="98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184" t="s">
        <v>586</v>
      </c>
      <c r="D264" s="98"/>
      <c r="E264" s="97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522</v>
      </c>
      <c r="D265" s="181"/>
      <c r="E265" s="181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468</v>
      </c>
      <c r="D266" s="181"/>
      <c r="E266" s="181"/>
      <c r="F266" s="97"/>
      <c r="G266" s="97"/>
      <c r="H266" s="97"/>
      <c r="J266" s="97"/>
    </row>
    <row r="267" s="96" customFormat="true" ht="15.75" hidden="false" customHeight="true" outlineLevel="0" collapsed="false">
      <c r="A267" s="200"/>
      <c r="C267" s="185" t="n">
        <f aca="false">$I$137</f>
        <v>2600</v>
      </c>
      <c r="D267" s="98"/>
      <c r="E267" s="97"/>
      <c r="F267" s="97"/>
      <c r="J267" s="97"/>
    </row>
    <row r="268" s="96" customFormat="true" ht="15.75" hidden="false" customHeight="true" outlineLevel="0" collapsed="false">
      <c r="A268" s="200"/>
      <c r="C268" s="187" t="n">
        <f aca="false">$J$137+$J$138</f>
        <v>2</v>
      </c>
      <c r="D268" s="98"/>
      <c r="E268" s="97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4"/>
      <c r="E271" s="184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4"/>
      <c r="E272" s="184"/>
      <c r="F272" s="97"/>
      <c r="G272" s="97"/>
      <c r="H272" s="97"/>
      <c r="J272" s="97"/>
    </row>
    <row r="273" s="96" customFormat="true" ht="15.75" hidden="false" customHeight="true" outlineLevel="0" collapsed="false">
      <c r="A273" s="200"/>
      <c r="D273" s="181"/>
      <c r="E273" s="181"/>
      <c r="F273" s="97"/>
      <c r="G273" s="97"/>
      <c r="H273" s="97"/>
      <c r="J273" s="97"/>
    </row>
    <row r="274" s="96" customFormat="true" ht="15.75" hidden="false" customHeight="true" outlineLevel="0" collapsed="false">
      <c r="A274" s="200"/>
      <c r="D274" s="181"/>
      <c r="E274" s="181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D275" s="98"/>
      <c r="E275" s="97"/>
      <c r="F275" s="97"/>
      <c r="G275" s="97"/>
      <c r="I275" s="196"/>
      <c r="J275" s="196"/>
    </row>
    <row r="276" s="96" customFormat="true" ht="15.75" hidden="false" customHeight="true" outlineLevel="0" collapsed="false">
      <c r="A276" s="200"/>
      <c r="C276" s="184" t="s">
        <v>523</v>
      </c>
      <c r="D276" s="201"/>
      <c r="E276" s="196"/>
      <c r="F276" s="97"/>
      <c r="G276" s="97"/>
      <c r="I276" s="196"/>
      <c r="J276" s="196"/>
    </row>
    <row r="277" s="96" customFormat="true" ht="15.75" hidden="false" customHeight="true" outlineLevel="0" collapsed="false">
      <c r="A277" s="200"/>
      <c r="C277" s="181" t="s">
        <v>470</v>
      </c>
      <c r="D277" s="181"/>
      <c r="E277" s="181"/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1" t="s">
        <v>471</v>
      </c>
      <c r="D278" s="181"/>
      <c r="E278" s="181"/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C279" s="185" t="n">
        <f aca="false">$I$139</f>
        <v>2504</v>
      </c>
      <c r="F279" s="97"/>
      <c r="G279" s="97"/>
      <c r="I279" s="97"/>
      <c r="J279" s="196"/>
    </row>
    <row r="280" s="96" customFormat="true" ht="15.75" hidden="false" customHeight="true" outlineLevel="0" collapsed="false">
      <c r="A280" s="200"/>
      <c r="C280" s="187" t="n">
        <f aca="false">$J$139+$J$140</f>
        <v>2</v>
      </c>
      <c r="F280" s="97"/>
      <c r="G280" s="97"/>
      <c r="I280" s="97"/>
      <c r="J280" s="196"/>
    </row>
    <row r="281" s="96" customFormat="true" ht="15.75" hidden="false" customHeight="true" outlineLevel="0" collapsed="false">
      <c r="A281" s="200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J282" s="97"/>
    </row>
    <row r="283" s="96" customFormat="true" ht="15.75" hidden="false" customHeight="true" outlineLevel="0" collapsed="false">
      <c r="A283" s="200"/>
      <c r="F283" s="97"/>
      <c r="G283" s="97"/>
      <c r="H283" s="97"/>
      <c r="J283" s="97"/>
    </row>
    <row r="284" s="96" customFormat="true" ht="15.75" hidden="false" customHeight="true" outlineLevel="0" collapsed="false">
      <c r="A284" s="200"/>
      <c r="D284" s="98"/>
      <c r="E284" s="97"/>
      <c r="F284" s="97"/>
      <c r="G284" s="97"/>
      <c r="H284" s="97"/>
      <c r="J284" s="97"/>
    </row>
    <row r="285" s="96" customFormat="true" ht="15.75" hidden="false" customHeight="true" outlineLevel="0" collapsed="false">
      <c r="A285" s="200"/>
      <c r="F285" s="97"/>
      <c r="G285" s="97"/>
      <c r="H285" s="97"/>
      <c r="J285" s="97"/>
    </row>
    <row r="286" s="96" customFormat="true" ht="15.75" hidden="false" customHeight="true" outlineLevel="0" collapsed="false">
      <c r="A286" s="200"/>
      <c r="F286" s="97"/>
      <c r="G286" s="97"/>
      <c r="H286" s="97"/>
      <c r="I286" s="201"/>
      <c r="J286" s="196"/>
    </row>
    <row r="287" s="96" customFormat="true" ht="15.75" hidden="false" customHeight="true" outlineLevel="0" collapsed="false">
      <c r="A287" s="200"/>
      <c r="C287" s="184" t="s">
        <v>524</v>
      </c>
      <c r="F287" s="97"/>
      <c r="G287" s="97"/>
      <c r="H287" s="97"/>
      <c r="I287" s="97"/>
      <c r="J287" s="196"/>
    </row>
    <row r="288" s="96" customFormat="true" ht="15.75" hidden="false" customHeight="true" outlineLevel="0" collapsed="false">
      <c r="A288" s="200"/>
      <c r="C288" s="83" t="s">
        <v>589</v>
      </c>
      <c r="D288" s="98"/>
      <c r="E288" s="97"/>
      <c r="F288" s="97"/>
      <c r="G288" s="97"/>
      <c r="H288" s="97"/>
      <c r="I288" s="196"/>
      <c r="J288" s="196"/>
    </row>
    <row r="289" s="96" customFormat="true" ht="15.75" hidden="false" customHeight="true" outlineLevel="0" collapsed="false">
      <c r="A289" s="200"/>
      <c r="C289" s="181" t="s">
        <v>605</v>
      </c>
      <c r="D289" s="98"/>
      <c r="E289" s="97"/>
      <c r="F289" s="97"/>
      <c r="G289" s="97"/>
      <c r="H289" s="97"/>
      <c r="I289" s="196"/>
      <c r="J289" s="196"/>
    </row>
    <row r="290" s="96" customFormat="true" ht="15.75" hidden="false" customHeight="true" outlineLevel="0" collapsed="false">
      <c r="A290" s="200"/>
      <c r="C290" s="181" t="s">
        <v>475</v>
      </c>
      <c r="D290" s="181"/>
      <c r="E290" s="181"/>
      <c r="F290" s="97"/>
      <c r="G290" s="97"/>
      <c r="I290" s="196"/>
      <c r="J290" s="196"/>
    </row>
    <row r="291" s="202" customFormat="true" ht="15.75" hidden="false" customHeight="true" outlineLevel="0" collapsed="false">
      <c r="A291" s="200"/>
      <c r="B291" s="96"/>
      <c r="C291" s="181" t="s">
        <v>476</v>
      </c>
      <c r="D291" s="181"/>
      <c r="E291" s="181"/>
      <c r="F291" s="97"/>
      <c r="G291" s="97"/>
      <c r="H291" s="96"/>
      <c r="I291" s="97"/>
      <c r="J291" s="97"/>
    </row>
    <row r="292" s="96" customFormat="true" ht="15.75" hidden="false" customHeight="true" outlineLevel="0" collapsed="false">
      <c r="A292" s="200"/>
      <c r="C292" s="185" t="n">
        <f aca="false">$I$141</f>
        <v>1017.5</v>
      </c>
      <c r="F292" s="97"/>
      <c r="G292" s="97"/>
      <c r="I292" s="191"/>
      <c r="J292" s="199"/>
    </row>
    <row r="293" s="96" customFormat="true" ht="15.75" hidden="false" customHeight="true" outlineLevel="0" collapsed="false">
      <c r="A293" s="200"/>
      <c r="C293" s="187" t="n">
        <f aca="false">$J$141+$J$142</f>
        <v>8</v>
      </c>
      <c r="D293" s="98"/>
      <c r="E293" s="97"/>
      <c r="F293" s="97"/>
      <c r="G293" s="97"/>
      <c r="H293" s="98"/>
      <c r="I293" s="189"/>
      <c r="J293" s="190"/>
    </row>
    <row r="294" s="96" customFormat="true" ht="15.75" hidden="false" customHeight="true" outlineLevel="0" collapsed="false">
      <c r="A294" s="200"/>
      <c r="C294" s="185" t="n">
        <f aca="false">$I$143</f>
        <v>2508</v>
      </c>
      <c r="D294" s="98"/>
      <c r="E294" s="97"/>
      <c r="F294" s="97"/>
      <c r="G294" s="97"/>
      <c r="H294" s="97"/>
      <c r="I294" s="196"/>
      <c r="J294" s="196"/>
    </row>
    <row r="295" s="96" customFormat="true" ht="15.75" hidden="false" customHeight="true" outlineLevel="0" collapsed="false">
      <c r="A295" s="200"/>
      <c r="C295" s="187" t="n">
        <f aca="false">$J$143+$J$144+$J$145</f>
        <v>8</v>
      </c>
      <c r="D295" s="98"/>
      <c r="E295" s="97"/>
      <c r="F295" s="97"/>
      <c r="G295" s="97"/>
      <c r="H295" s="97"/>
      <c r="I295" s="196"/>
      <c r="J295" s="196"/>
    </row>
    <row r="296" s="96" customFormat="true" ht="15.75" hidden="false" customHeight="true" outlineLevel="0" collapsed="false">
      <c r="A296" s="200"/>
      <c r="D296" s="98"/>
      <c r="E296" s="97"/>
      <c r="F296" s="97"/>
      <c r="G296" s="97"/>
      <c r="H296" s="97"/>
      <c r="I296" s="196"/>
      <c r="J296" s="196"/>
    </row>
    <row r="297" s="96" customFormat="true" ht="15.75" hidden="false" customHeight="true" outlineLevel="0" collapsed="false">
      <c r="A297" s="200"/>
      <c r="D297" s="98"/>
      <c r="E297" s="97"/>
      <c r="F297" s="97"/>
      <c r="G297" s="97"/>
      <c r="H297" s="97"/>
      <c r="I297" s="196"/>
      <c r="J297" s="196"/>
    </row>
    <row r="298" s="96" customFormat="true" ht="15.75" hidden="false" customHeight="true" outlineLevel="0" collapsed="false">
      <c r="A298" s="200"/>
      <c r="D298" s="98"/>
      <c r="E298" s="97"/>
      <c r="F298" s="97"/>
      <c r="G298" s="97"/>
      <c r="H298" s="97"/>
      <c r="I298" s="97"/>
      <c r="J298" s="196"/>
    </row>
    <row r="299" s="96" customFormat="true" ht="15.75" hidden="false" customHeight="true" outlineLevel="0" collapsed="false">
      <c r="A299" s="200"/>
      <c r="C299" s="202"/>
      <c r="D299" s="98"/>
      <c r="E299" s="97"/>
      <c r="F299" s="97"/>
      <c r="G299" s="97"/>
      <c r="H299" s="97"/>
      <c r="I299" s="97"/>
      <c r="J299" s="196"/>
    </row>
    <row r="300" s="96" customFormat="true" ht="15.75" hidden="false" customHeight="true" outlineLevel="0" collapsed="false">
      <c r="A300" s="200"/>
      <c r="C300" s="184" t="s">
        <v>525</v>
      </c>
      <c r="D300" s="98"/>
      <c r="E300" s="97"/>
      <c r="F300" s="97"/>
      <c r="G300" s="97"/>
      <c r="H300" s="97"/>
      <c r="I300" s="97"/>
      <c r="J300" s="196"/>
    </row>
    <row r="301" s="96" customFormat="true" ht="15.75" hidden="false" customHeight="true" outlineLevel="0" collapsed="false">
      <c r="A301" s="200"/>
      <c r="C301" s="83" t="s">
        <v>589</v>
      </c>
      <c r="D301" s="98"/>
      <c r="E301" s="97"/>
      <c r="F301" s="97"/>
      <c r="G301" s="191"/>
      <c r="H301" s="191"/>
      <c r="I301" s="97"/>
      <c r="J301" s="196"/>
    </row>
    <row r="302" s="96" customFormat="true" ht="15.75" hidden="false" customHeight="true" outlineLevel="0" collapsed="false">
      <c r="A302" s="200"/>
      <c r="C302" s="181" t="s">
        <v>590</v>
      </c>
      <c r="D302" s="181"/>
      <c r="E302" s="181"/>
      <c r="F302" s="97"/>
      <c r="G302" s="190"/>
      <c r="H302" s="189"/>
      <c r="I302" s="97"/>
      <c r="J302" s="196"/>
    </row>
    <row r="303" s="96" customFormat="true" ht="15.75" hidden="false" customHeight="true" outlineLevel="0" collapsed="false">
      <c r="A303" s="107"/>
      <c r="C303" s="181" t="s">
        <v>478</v>
      </c>
      <c r="D303" s="181"/>
      <c r="E303" s="181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191"/>
      <c r="B304" s="191"/>
      <c r="C304" s="181" t="s">
        <v>479</v>
      </c>
      <c r="D304" s="203"/>
      <c r="E304" s="204"/>
      <c r="F304" s="191"/>
      <c r="G304" s="97"/>
      <c r="H304" s="97"/>
      <c r="I304" s="97"/>
      <c r="J304" s="196"/>
    </row>
    <row r="305" s="96" customFormat="true" ht="15.75" hidden="false" customHeight="true" outlineLevel="0" collapsed="false">
      <c r="A305" s="190"/>
      <c r="B305" s="190"/>
      <c r="C305" s="185" t="n">
        <f aca="false">$I$146</f>
        <v>906.3125</v>
      </c>
      <c r="D305" s="205"/>
      <c r="E305" s="206"/>
      <c r="F305" s="189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C306" s="187" t="n">
        <f aca="false">$J$146</f>
        <v>24</v>
      </c>
      <c r="D306" s="98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5" t="n">
        <f aca="false">$I$147</f>
        <v>-204.5</v>
      </c>
      <c r="D307" s="98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187" t="n">
        <f aca="false">$J$147</f>
        <v>16</v>
      </c>
      <c r="D308" s="98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5" t="n">
        <f aca="false">$I$148</f>
        <v>1233</v>
      </c>
      <c r="D309" s="98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7" t="n">
        <f aca="false">$J$148</f>
        <v>8</v>
      </c>
      <c r="D310" s="98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C312" s="184"/>
      <c r="D312" s="98"/>
      <c r="E312" s="97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LEFT($J$111,13)&amp;"-03"</f>
        <v>FG-240-4P2L2R-03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A316" s="97"/>
      <c r="B316" s="49"/>
      <c r="C316" s="49"/>
      <c r="D316" s="207"/>
      <c r="E316" s="200"/>
      <c r="F316" s="200"/>
      <c r="G316" s="200"/>
      <c r="H316" s="200"/>
      <c r="I316" s="208"/>
      <c r="J316" s="77" t="str">
        <f aca="false">$J$2</f>
        <v>HOMELIFE</v>
      </c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B324" s="81"/>
      <c r="D324" s="98"/>
      <c r="E324" s="83"/>
      <c r="F324" s="183"/>
      <c r="G324" s="183"/>
      <c r="H324" s="183"/>
      <c r="I324" s="83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240-4 Panel (2L2R)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195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91"/>
      <c r="D405" s="98"/>
      <c r="E405" s="97"/>
      <c r="F405" s="97"/>
      <c r="G405" s="97"/>
      <c r="H405" s="97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LEFT($J$111,13)&amp;"-04"</f>
        <v>FG-240-4P2L2R-04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77" t="str">
        <f aca="false">$J$2</f>
        <v>HOMELIFE</v>
      </c>
      <c r="K423" s="78"/>
      <c r="L423" s="78"/>
      <c r="M423" s="79"/>
      <c r="N423" s="79"/>
    </row>
    <row r="424" customFormat="false" ht="24.75" hidden="false" customHeight="true" outlineLevel="0" collapsed="false">
      <c r="A424" s="97"/>
      <c r="B424" s="96"/>
      <c r="C424" s="96"/>
      <c r="D424" s="98"/>
      <c r="E424" s="97"/>
      <c r="F424" s="97"/>
      <c r="G424" s="97"/>
      <c r="H424" s="97"/>
      <c r="I424" s="97"/>
      <c r="J424" s="80" t="str">
        <f aca="false">$J$3</f>
        <v>Fabricators Guide</v>
      </c>
      <c r="K424" s="78"/>
      <c r="L424" s="78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$J$4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240-4 Panel (2L2R)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81"/>
      <c r="C442" s="98"/>
      <c r="D442" s="98"/>
      <c r="E442" s="97"/>
      <c r="F442" s="78"/>
      <c r="H442" s="191"/>
      <c r="I442" s="191"/>
      <c r="J442" s="199"/>
    </row>
    <row r="443" s="96" customFormat="true" ht="15.75" hidden="false" customHeight="true" outlineLevel="0" collapsed="false">
      <c r="A443" s="81"/>
      <c r="C443" s="98"/>
      <c r="D443" s="98"/>
      <c r="E443" s="97"/>
      <c r="F443" s="78"/>
      <c r="H443" s="191"/>
      <c r="I443" s="191"/>
      <c r="J443" s="199"/>
    </row>
    <row r="444" s="96" customFormat="true" ht="15.75" hidden="false" customHeight="true" outlineLevel="0" collapsed="false">
      <c r="A444" s="191"/>
      <c r="C444" s="212"/>
      <c r="D444" s="98"/>
      <c r="E444" s="97"/>
      <c r="F444" s="97"/>
      <c r="H444" s="191"/>
      <c r="I444" s="191"/>
      <c r="J444" s="199"/>
    </row>
    <row r="445" s="96" customFormat="true" ht="15.75" hidden="false" customHeight="true" outlineLevel="0" collapsed="false">
      <c r="A445" s="190"/>
      <c r="C445" s="191"/>
      <c r="D445" s="192"/>
      <c r="E445" s="191"/>
      <c r="F445" s="191"/>
      <c r="H445" s="191"/>
      <c r="I445" s="191"/>
      <c r="J445" s="199"/>
    </row>
    <row r="446" customFormat="false" ht="15" hidden="false" customHeight="true" outlineLevel="0" collapsed="false">
      <c r="B446" s="211"/>
      <c r="C446" s="98"/>
      <c r="D446" s="98"/>
      <c r="E446" s="97"/>
      <c r="F446" s="98"/>
      <c r="G446" s="97"/>
      <c r="H446" s="97"/>
    </row>
    <row r="451" s="96" customFormat="true" ht="15.75" hidden="false" customHeight="true" outlineLevel="0" collapsed="false">
      <c r="A451" s="97"/>
      <c r="D451" s="73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191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196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97"/>
      <c r="J457" s="196"/>
    </row>
    <row r="458" s="96" customFormat="true" ht="15.75" hidden="false" customHeight="true" outlineLevel="0" collapsed="false">
      <c r="A458" s="97"/>
      <c r="C458" s="98"/>
      <c r="D458" s="98"/>
      <c r="E458" s="97"/>
      <c r="F458" s="98"/>
      <c r="G458" s="97"/>
      <c r="H458" s="97"/>
      <c r="I458" s="196"/>
      <c r="J458" s="196"/>
    </row>
    <row r="459" s="96" customFormat="true" ht="15.75" hidden="false" customHeight="true" outlineLevel="0" collapsed="false">
      <c r="A459" s="97"/>
      <c r="D459" s="98"/>
      <c r="E459" s="97"/>
      <c r="F459" s="97"/>
      <c r="G459" s="97"/>
      <c r="H459" s="97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195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96" customFormat="true" ht="15" hidden="false" customHeight="true" outlineLevel="0" collapsed="false">
      <c r="A477" s="97"/>
      <c r="D477" s="98"/>
      <c r="E477" s="97"/>
      <c r="F477" s="97"/>
      <c r="G477" s="97"/>
      <c r="H477" s="97"/>
      <c r="I477" s="196"/>
      <c r="J477" s="196"/>
    </row>
    <row r="478" s="202" customFormat="true" ht="15.75" hidden="false" customHeight="true" outlineLevel="0" collapsed="false">
      <c r="A478" s="97"/>
      <c r="B478" s="96"/>
      <c r="C478" s="96"/>
      <c r="D478" s="98"/>
      <c r="E478" s="97"/>
      <c r="F478" s="97"/>
      <c r="G478" s="97"/>
      <c r="H478" s="97"/>
      <c r="I478" s="97"/>
      <c r="J478" s="97"/>
    </row>
    <row r="479" s="96" customFormat="true" ht="15.75" hidden="false" customHeight="true" outlineLevel="0" collapsed="false">
      <c r="A479" s="191"/>
      <c r="D479" s="98"/>
      <c r="E479" s="97"/>
      <c r="F479" s="97"/>
      <c r="G479" s="97"/>
      <c r="H479" s="97"/>
      <c r="I479" s="191"/>
      <c r="J479" s="199"/>
    </row>
    <row r="480" s="96" customFormat="true" ht="15.75" hidden="false" customHeight="true" outlineLevel="0" collapsed="false">
      <c r="A480" s="190"/>
      <c r="B480" s="191"/>
      <c r="C480" s="191"/>
      <c r="D480" s="192"/>
      <c r="E480" s="191"/>
      <c r="F480" s="191"/>
      <c r="G480" s="191"/>
      <c r="H480" s="191"/>
      <c r="I480" s="189"/>
      <c r="J480" s="190"/>
    </row>
    <row r="481" s="96" customFormat="true" ht="15.75" hidden="false" customHeight="true" outlineLevel="0" collapsed="false">
      <c r="A481" s="200"/>
      <c r="B481" s="190"/>
      <c r="C481" s="191"/>
      <c r="D481" s="194"/>
      <c r="E481" s="190"/>
      <c r="F481" s="189"/>
      <c r="G481" s="190"/>
      <c r="H481" s="189"/>
      <c r="I481" s="196"/>
      <c r="J481" s="196"/>
    </row>
    <row r="482" s="96" customFormat="true" ht="15.75" hidden="false" customHeight="true" outlineLevel="0" collapsed="false">
      <c r="A482" s="200"/>
      <c r="C482" s="182"/>
      <c r="D482" s="98"/>
      <c r="E482" s="97"/>
      <c r="F482" s="97"/>
      <c r="G482" s="97"/>
      <c r="H482" s="182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J483" s="97"/>
    </row>
    <row r="484" s="96" customFormat="true" ht="15.75" hidden="false" customHeight="true" outlineLevel="0" collapsed="false">
      <c r="A484" s="200"/>
      <c r="C484" s="98"/>
      <c r="D484" s="98"/>
      <c r="E484" s="97"/>
      <c r="F484" s="97"/>
      <c r="G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C488" s="98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G495" s="97"/>
      <c r="H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97"/>
      <c r="I499" s="196"/>
      <c r="J499" s="196"/>
    </row>
    <row r="500" s="96" customFormat="true" ht="15.75" hidden="false" customHeight="true" outlineLevel="0" collapsed="false">
      <c r="A500" s="200"/>
      <c r="D500" s="98"/>
      <c r="E500" s="97"/>
      <c r="F500" s="97"/>
      <c r="G500" s="97"/>
      <c r="H500" s="182"/>
      <c r="J500" s="97"/>
    </row>
    <row r="501" s="96" customFormat="true" ht="15.75" hidden="false" customHeight="true" outlineLevel="0" collapsed="false">
      <c r="A501" s="200"/>
      <c r="C501" s="188"/>
      <c r="D501" s="98"/>
      <c r="E501" s="97"/>
      <c r="F501" s="97"/>
      <c r="G501" s="97"/>
      <c r="J501" s="97"/>
    </row>
    <row r="502" s="96" customFormat="true" ht="15.75" hidden="false" customHeight="true" outlineLevel="0" collapsed="false">
      <c r="A502" s="200"/>
      <c r="D502" s="98"/>
      <c r="E502" s="97"/>
      <c r="F502" s="97"/>
      <c r="G502" s="97"/>
      <c r="I502" s="196"/>
      <c r="J502" s="196"/>
    </row>
    <row r="503" s="96" customFormat="true" ht="15.75" hidden="false" customHeight="true" outlineLevel="0" collapsed="false">
      <c r="A503" s="200"/>
      <c r="C503" s="98"/>
      <c r="D503" s="98"/>
      <c r="E503" s="97"/>
      <c r="F503" s="97"/>
      <c r="G503" s="97"/>
      <c r="H503" s="182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J504" s="97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196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196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196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97"/>
      <c r="J513" s="196"/>
    </row>
    <row r="514" s="96" customFormat="true" ht="15.75" hidden="false" customHeight="true" outlineLevel="0" collapsed="false">
      <c r="A514" s="200"/>
      <c r="D514" s="98"/>
      <c r="E514" s="97"/>
      <c r="F514" s="97"/>
      <c r="G514" s="97"/>
      <c r="H514" s="97"/>
      <c r="I514" s="97"/>
      <c r="J514" s="196"/>
    </row>
    <row r="515" s="96" customFormat="true" ht="15.75" hidden="false" customHeight="true" outlineLevel="0" collapsed="false">
      <c r="A515" s="200"/>
      <c r="D515" s="98"/>
      <c r="E515" s="97"/>
      <c r="F515" s="97"/>
      <c r="G515" s="97"/>
      <c r="H515" s="97"/>
      <c r="I515" s="97"/>
      <c r="J515" s="196"/>
    </row>
    <row r="516" s="96" customFormat="true" ht="15.75" hidden="false" customHeight="true" outlineLevel="0" collapsed="false">
      <c r="A516" s="191"/>
      <c r="B516" s="191"/>
      <c r="C516" s="191"/>
      <c r="D516" s="192"/>
      <c r="E516" s="191"/>
      <c r="F516" s="191"/>
      <c r="G516" s="191"/>
      <c r="H516" s="191"/>
      <c r="I516" s="191"/>
      <c r="J516" s="199"/>
    </row>
    <row r="517" s="96" customFormat="true" ht="15.75" hidden="false" customHeight="true" outlineLevel="0" collapsed="false">
      <c r="B517" s="191"/>
      <c r="C517" s="191"/>
      <c r="D517" s="192"/>
      <c r="E517" s="191"/>
      <c r="F517" s="191"/>
      <c r="G517" s="191"/>
      <c r="H517" s="191"/>
    </row>
    <row r="518" s="96" customFormat="true" ht="15.75" hidden="false" customHeight="true" outlineLevel="0" collapsed="false"/>
    <row r="519" s="96" customFormat="true" ht="24.75" hidden="false" customHeight="true" outlineLevel="0" collapsed="false">
      <c r="A519" s="88" t="s">
        <v>482</v>
      </c>
      <c r="B519" s="88"/>
      <c r="C519" s="88"/>
      <c r="D519" s="88"/>
      <c r="E519" s="88"/>
      <c r="F519" s="88"/>
      <c r="G519" s="88"/>
      <c r="H519" s="88"/>
      <c r="I519" s="88"/>
      <c r="J519" s="88"/>
    </row>
    <row r="520" s="96" customFormat="true" ht="34.5" hidden="false" customHeight="true" outlineLevel="0" collapsed="false">
      <c r="A520" s="114" t="s">
        <v>319</v>
      </c>
      <c r="B520" s="115" t="s">
        <v>168</v>
      </c>
      <c r="C520" s="115" t="s">
        <v>168</v>
      </c>
      <c r="D520" s="116" t="s">
        <v>483</v>
      </c>
      <c r="E520" s="115" t="s">
        <v>321</v>
      </c>
      <c r="F520" s="239" t="s">
        <v>484</v>
      </c>
      <c r="G520" s="240"/>
      <c r="H520" s="116" t="s">
        <v>484</v>
      </c>
      <c r="I520" s="116" t="s">
        <v>485</v>
      </c>
      <c r="J520" s="117" t="s">
        <v>323</v>
      </c>
      <c r="N520" s="118" t="s">
        <v>168</v>
      </c>
      <c r="O520" s="118" t="s">
        <v>168</v>
      </c>
    </row>
    <row r="521" s="96" customFormat="true" ht="15.75" hidden="false" customHeight="true" outlineLevel="0" collapsed="false">
      <c r="A521" s="298" t="n">
        <f aca="false">IF(C521="","",1)</f>
        <v>1</v>
      </c>
      <c r="B521" s="121" t="str">
        <f aca="false">IF($D$127=5,N521,IF($D$127=6,N522,IF($D$127=8,N523,IF($D$127=10,N524,IF($D$127=12,N525,IF($D$127=14,N526,IF($D$127=18,N527,IF($D$127=20,N528,IF($D$127=22,N529,)))))))))</f>
        <v>กระจก 6 mm (สูง) (กว้าง)</v>
      </c>
      <c r="C521" s="121" t="str">
        <f aca="false">IF($D$127=5,O521,IF($D$127=6,O522,IF($D$127=8,O523,IF($D$127=10,O524,IF($D$127=12,O525,IF($D$127=14,O526,IF($D$127=18,O527,IF($D$127=20,O528,IF($D$127=22,O529,)))))))))</f>
        <v>GLASS thk.6 mm (H) (W)</v>
      </c>
      <c r="D521" s="225" t="n">
        <f aca="false">$I$126-85.5</f>
        <v>514.5</v>
      </c>
      <c r="E521" s="120" t="s">
        <v>486</v>
      </c>
      <c r="F521" s="224" t="s">
        <v>626</v>
      </c>
      <c r="G521" s="224"/>
      <c r="H521" s="120" t="s">
        <v>592</v>
      </c>
      <c r="I521" s="225" t="n">
        <f aca="false">(($J$128-185-(113.25*3))/4)-13</f>
        <v>893.3125</v>
      </c>
      <c r="J521" s="226" t="n">
        <f aca="false">$J$120*8</f>
        <v>8</v>
      </c>
      <c r="M521" s="96" t="n">
        <f aca="false">ROW()</f>
        <v>521</v>
      </c>
      <c r="N521" s="62" t="s">
        <v>489</v>
      </c>
      <c r="O521" s="62" t="s">
        <v>490</v>
      </c>
    </row>
    <row r="522" s="96" customFormat="true" ht="15.75" hidden="false" customHeight="true" outlineLevel="0" collapsed="false">
      <c r="A522" s="130" t="n">
        <f aca="false">IF(C522="","",+A521+1)</f>
        <v>2</v>
      </c>
      <c r="B522" s="228" t="str">
        <f aca="false">IF($D$127=5,N521,IF($D$127=6,N522,IF($D$127=8,N523,IF($D$127=10,N524,IF($D$127=12,N525,IF($D$127=14,N526,IF($D$127=18,N527,IF($D$127=20,N528,IF($D$127=22,N529,)))))))))</f>
        <v>กระจก 6 mm (สูง) (กว้าง)</v>
      </c>
      <c r="C522" s="228" t="str">
        <f aca="false">IF($D$127=5,O521,IF($D$127=6,O522,IF($D$127=8,O523,IF($D$127=10,O524,IF($D$127=12,O525,IF($D$127=14,O526,IF($D$127=18,O527,IF($D$127=20,O528,IF($D$127=22,O529,)))))))))</f>
        <v>GLASS thk.6 mm (H) (W)</v>
      </c>
      <c r="D522" s="299" t="n">
        <f aca="false">$J$126-48</f>
        <v>1952</v>
      </c>
      <c r="E522" s="167"/>
      <c r="F522" s="300" t="s">
        <v>627</v>
      </c>
      <c r="G522" s="300"/>
      <c r="H522" s="167" t="s">
        <v>592</v>
      </c>
      <c r="I522" s="299" t="n">
        <f aca="false">(($J$128-185-(113.25*3))/4)-13</f>
        <v>893.3125</v>
      </c>
      <c r="J522" s="232" t="n">
        <f aca="false">$J$120*4</f>
        <v>4</v>
      </c>
      <c r="M522" s="96" t="n">
        <f aca="false">ROW()</f>
        <v>522</v>
      </c>
      <c r="N522" s="62" t="s">
        <v>491</v>
      </c>
      <c r="O522" s="62" t="s">
        <v>492</v>
      </c>
    </row>
    <row r="523" s="96" customFormat="true" ht="15.75" hidden="false" customHeight="true" outlineLevel="0" collapsed="false">
      <c r="A523" s="130" t="str">
        <f aca="false">IF(C523="","",+A522+1)</f>
        <v/>
      </c>
      <c r="B523" s="228"/>
      <c r="C523" s="228"/>
      <c r="D523" s="176"/>
      <c r="E523" s="167"/>
      <c r="F523" s="229"/>
      <c r="G523" s="230"/>
      <c r="H523" s="167"/>
      <c r="I523" s="231"/>
      <c r="J523" s="232"/>
      <c r="M523" s="96" t="n">
        <f aca="false">ROW()</f>
        <v>523</v>
      </c>
      <c r="N523" s="62" t="s">
        <v>493</v>
      </c>
      <c r="O523" s="62" t="s">
        <v>494</v>
      </c>
    </row>
    <row r="524" s="96" customFormat="true" ht="15.75" hidden="false" customHeight="true" outlineLevel="0" collapsed="false">
      <c r="A524" s="130" t="str">
        <f aca="false">IF(C524="","",+A523+1)</f>
        <v/>
      </c>
      <c r="B524" s="131"/>
      <c r="C524" s="131"/>
      <c r="D524" s="132"/>
      <c r="E524" s="130"/>
      <c r="F524" s="233"/>
      <c r="G524" s="270"/>
      <c r="H524" s="130"/>
      <c r="I524" s="142"/>
      <c r="J524" s="133"/>
      <c r="M524" s="96" t="n">
        <f aca="false">ROW()</f>
        <v>524</v>
      </c>
      <c r="N524" s="62" t="s">
        <v>495</v>
      </c>
      <c r="O524" s="62" t="s">
        <v>496</v>
      </c>
    </row>
    <row r="525" s="96" customFormat="true" ht="15.75" hidden="false" customHeight="true" outlineLevel="0" collapsed="false">
      <c r="A525" s="136" t="str">
        <f aca="false">IF(C525="","",+A524+1)</f>
        <v/>
      </c>
      <c r="B525" s="135"/>
      <c r="C525" s="135"/>
      <c r="D525" s="139"/>
      <c r="E525" s="136"/>
      <c r="F525" s="236"/>
      <c r="G525" s="237"/>
      <c r="H525" s="136"/>
      <c r="I525" s="180"/>
      <c r="J525" s="140"/>
      <c r="M525" s="96" t="n">
        <f aca="false">ROW()</f>
        <v>525</v>
      </c>
      <c r="N525" s="62" t="s">
        <v>497</v>
      </c>
      <c r="O525" s="62" t="s">
        <v>498</v>
      </c>
    </row>
    <row r="526" s="96" customFormat="true" ht="15.75" hidden="false" customHeight="true" outlineLevel="0" collapsed="false">
      <c r="A526" s="97"/>
      <c r="D526" s="98"/>
      <c r="E526" s="97"/>
      <c r="F526" s="97"/>
      <c r="G526" s="97"/>
      <c r="H526" s="97"/>
      <c r="I526" s="97"/>
      <c r="J526" s="196"/>
      <c r="M526" s="96" t="n">
        <f aca="false">ROW()</f>
        <v>526</v>
      </c>
      <c r="N526" s="62" t="s">
        <v>499</v>
      </c>
      <c r="O526" s="62" t="s">
        <v>500</v>
      </c>
    </row>
    <row r="527" customFormat="false" ht="14.25" hidden="false" customHeight="false" outlineLevel="0" collapsed="false">
      <c r="J527" s="92" t="str">
        <f aca="false">LEFT($J$111,13)&amp;"-05"</f>
        <v>FG-240-4P2L2R-05</v>
      </c>
      <c r="M527" s="96" t="n">
        <f aca="false">ROW()</f>
        <v>527</v>
      </c>
      <c r="N527" s="62" t="s">
        <v>501</v>
      </c>
      <c r="O527" s="62" t="s">
        <v>502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503</v>
      </c>
      <c r="O528" s="62" t="s">
        <v>504</v>
      </c>
    </row>
    <row r="529" customFormat="false" ht="14.25" hidden="false" customHeight="false" outlineLevel="0" collapsed="false">
      <c r="M529" s="96" t="n">
        <f aca="false">ROW()</f>
        <v>529</v>
      </c>
      <c r="N529" s="62" t="s">
        <v>505</v>
      </c>
      <c r="O529" s="62" t="s">
        <v>506</v>
      </c>
    </row>
  </sheetData>
  <mergeCells count="44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7:G127"/>
    <mergeCell ref="H128:I129"/>
    <mergeCell ref="J128:J129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7"/>
    <mergeCell ref="H163:H167"/>
    <mergeCell ref="I166:J167"/>
    <mergeCell ref="D168:D170"/>
    <mergeCell ref="H168:H170"/>
    <mergeCell ref="I168:J168"/>
    <mergeCell ref="I170:J170"/>
    <mergeCell ref="A172:J172"/>
    <mergeCell ref="A213:J213"/>
    <mergeCell ref="A320:J320"/>
    <mergeCell ref="F330:G330"/>
    <mergeCell ref="F331:G331"/>
    <mergeCell ref="F334:G334"/>
    <mergeCell ref="A427:J427"/>
    <mergeCell ref="A519:J519"/>
    <mergeCell ref="F521:G521"/>
    <mergeCell ref="F522:G522"/>
  </mergeCells>
  <dataValidations count="4">
    <dataValidation allowBlank="true" errorStyle="stop" operator="between" showDropDown="false" showErrorMessage="true" showInputMessage="true" sqref="D123:G123" type="list">
      <formula1>$P$119:$P$128</formula1>
      <formula2>0</formula2>
    </dataValidation>
    <dataValidation allowBlank="true" errorStyle="stop" operator="between" showDropDown="false" showErrorMessage="true" showInputMessage="true" sqref="D129:G129" type="list">
      <formula1>$O$120</formula1>
      <formula2>0</formula2>
    </dataValidation>
    <dataValidation allowBlank="true" errorStyle="stop" operator="between" showDropDown="false" showErrorMessage="true" showInputMessage="true" sqref="C206" type="list">
      <formula1>$AA$174:$AA$192</formula1>
      <formula2>0</formula2>
    </dataValidation>
    <dataValidation allowBlank="true" errorStyle="stop" operator="between" showDropDown="false" showErrorMessage="true" showInputMessage="true" sqref="D127:G127" type="list">
      <formula1>$N$120:$N$128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AI528"/>
  <sheetViews>
    <sheetView showFormulas="false" showGridLines="false" showRowColHeaders="true" showZeros="true" rightToLeft="false" tabSelected="false" showOutlineSymbols="true" defaultGridColor="true" view="pageBreakPreview" topLeftCell="A115" colorId="64" zoomScale="75" zoomScaleNormal="75" zoomScalePageLayoutView="75" workbookViewId="0">
      <selection pane="topLeft" activeCell="J128" activeCellId="0" sqref="J128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34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7.88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false" outlineLevel="0" max="13" min="13" style="0" width="9.11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0.11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628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>
      <c r="G45" s="91"/>
    </row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629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5" hidden="false" customHeight="true" outlineLevel="0" collapsed="false">
      <c r="A118" s="97"/>
      <c r="C118" s="81"/>
      <c r="D118" s="98"/>
      <c r="E118" s="83"/>
      <c r="J118" s="99"/>
      <c r="K118" s="83"/>
    </row>
    <row r="119" s="96" customFormat="true" ht="15" hidden="false" customHeight="true" outlineLevel="0" collapsed="false">
      <c r="A119" s="97"/>
      <c r="C119" s="100" t="s">
        <v>286</v>
      </c>
      <c r="D119" s="101"/>
      <c r="E119" s="101"/>
      <c r="F119" s="101"/>
      <c r="G119" s="101"/>
      <c r="I119" s="83"/>
      <c r="J119" s="97"/>
      <c r="N119" s="258" t="s">
        <v>288</v>
      </c>
      <c r="O119" s="97" t="s">
        <v>289</v>
      </c>
      <c r="P119" s="102" t="s">
        <v>290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5</v>
      </c>
      <c r="O120" s="97" t="s">
        <v>509</v>
      </c>
      <c r="P120" s="106" t="s">
        <v>294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6</v>
      </c>
      <c r="O121" s="97" t="s">
        <v>296</v>
      </c>
      <c r="P121" s="106" t="s">
        <v>297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8</v>
      </c>
      <c r="P122" s="106" t="s">
        <v>299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2500</v>
      </c>
      <c r="N123" s="259" t="n">
        <v>10</v>
      </c>
      <c r="P123" s="106" t="s">
        <v>303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12</v>
      </c>
      <c r="P124" s="106" t="s">
        <v>305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272" t="s">
        <v>510</v>
      </c>
      <c r="E125" s="273"/>
      <c r="F125" s="273"/>
      <c r="G125" s="274"/>
      <c r="H125" s="107"/>
      <c r="I125" s="107"/>
      <c r="J125" s="97"/>
      <c r="K125" s="110"/>
      <c r="L125" s="110"/>
      <c r="N125" s="259" t="n">
        <v>14</v>
      </c>
      <c r="P125" s="106" t="s">
        <v>308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3500</v>
      </c>
      <c r="K126" s="110"/>
      <c r="L126" s="110"/>
      <c r="N126" s="259" t="n">
        <v>18</v>
      </c>
      <c r="P126" s="106" t="s">
        <v>311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259" t="n">
        <v>20</v>
      </c>
      <c r="P127" s="106" t="s">
        <v>313</v>
      </c>
    </row>
    <row r="128" s="96" customFormat="true" ht="18.75" hidden="false" customHeight="true" outlineLevel="0" collapsed="false">
      <c r="C128" s="108" t="s">
        <v>314</v>
      </c>
      <c r="I128" s="97"/>
      <c r="J128" s="97"/>
      <c r="N128" s="259" t="n">
        <v>22</v>
      </c>
      <c r="P128" s="106" t="s">
        <v>315</v>
      </c>
    </row>
    <row r="129" s="96" customFormat="true" ht="15" hidden="false" customHeight="true" outlineLevel="0" collapsed="false">
      <c r="A129" s="89" t="str">
        <f aca="false">A18</f>
        <v>240-4 Panel (3L1R)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3440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8</v>
      </c>
      <c r="U133" s="127" t="s">
        <v>572</v>
      </c>
      <c r="V133" s="247" t="n">
        <f aca="false">($J$126-185-(113.25*3))/4</f>
        <v>743.8125</v>
      </c>
      <c r="W133" s="129" t="n">
        <f aca="false">$J$121*T133</f>
        <v>0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3414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8</v>
      </c>
      <c r="U134" s="127" t="s">
        <v>573</v>
      </c>
      <c r="V134" s="247" t="n">
        <f aca="false">($J$126-185-(113.25*3))/4</f>
        <v>743.8125</v>
      </c>
      <c r="W134" s="134" t="n">
        <f aca="false">$J$121*T134</f>
        <v>0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3440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8</v>
      </c>
      <c r="U135" s="127" t="s">
        <v>574</v>
      </c>
      <c r="V135" s="247" t="n">
        <f aca="false">($J$126-185-(113.25*3))/4</f>
        <v>743.8125</v>
      </c>
      <c r="W135" s="137" t="n">
        <f aca="false">$J$121*T135</f>
        <v>0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3440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8</v>
      </c>
      <c r="U136" s="127" t="s">
        <v>360</v>
      </c>
      <c r="V136" s="138" t="n">
        <f aca="false">$J$123-242</f>
        <v>2258</v>
      </c>
      <c r="W136" s="129" t="n">
        <f aca="false">$J$121*T136</f>
        <v>0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2500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8</v>
      </c>
      <c r="U137" s="130" t="s">
        <v>360</v>
      </c>
      <c r="V137" s="133" t="n">
        <f aca="false">$J$123-242</f>
        <v>2258</v>
      </c>
      <c r="W137" s="134" t="n">
        <f aca="false">$J$121*T137</f>
        <v>0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2500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8</v>
      </c>
      <c r="U138" s="136" t="s">
        <v>360</v>
      </c>
      <c r="V138" s="140" t="n">
        <f aca="false">$J$123-242</f>
        <v>2258</v>
      </c>
      <c r="W138" s="137" t="n">
        <f aca="false">$J$121*T138</f>
        <v>0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2404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2404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4</v>
      </c>
      <c r="H141" s="130" t="s">
        <v>575</v>
      </c>
      <c r="I141" s="141" t="n">
        <f aca="false">($J$126-60-(4+1)*4)/4</f>
        <v>855</v>
      </c>
      <c r="J141" s="134" t="n">
        <f aca="false">$J$120*G141</f>
        <v>4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4</v>
      </c>
      <c r="H142" s="130" t="s">
        <v>575</v>
      </c>
      <c r="I142" s="141" t="n">
        <f aca="false">($J$126-60-(4+1)*4)/4</f>
        <v>855</v>
      </c>
      <c r="J142" s="134" t="n">
        <f aca="false">$J$120*G142</f>
        <v>4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6</v>
      </c>
      <c r="H143" s="130" t="s">
        <v>389</v>
      </c>
      <c r="I143" s="133" t="n">
        <f aca="false">$J$123-92</f>
        <v>2408</v>
      </c>
      <c r="J143" s="134" t="n">
        <f aca="false">$J$120*G143</f>
        <v>6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1</v>
      </c>
      <c r="H144" s="130" t="s">
        <v>389</v>
      </c>
      <c r="I144" s="133" t="n">
        <f aca="false">$J$123-92</f>
        <v>2408</v>
      </c>
      <c r="J144" s="134" t="n">
        <f aca="false">$J$120*G144</f>
        <v>1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531</v>
      </c>
      <c r="C145" s="131" t="s">
        <v>532</v>
      </c>
      <c r="D145" s="132" t="s">
        <v>74</v>
      </c>
      <c r="E145" s="130" t="n">
        <v>1.106</v>
      </c>
      <c r="F145" s="132" t="s">
        <v>564</v>
      </c>
      <c r="G145" s="130" t="n">
        <v>1</v>
      </c>
      <c r="H145" s="130" t="s">
        <v>389</v>
      </c>
      <c r="I145" s="133" t="n">
        <f aca="false">$J$123-92</f>
        <v>2408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6" s="131" t="str">
        <f aca="false">IF($D$127=5,Q133,IF($D$127=6,Q133,IF($D$127=8,Q134,IF($D$127=10,Q134,IF($D$127=12,Q134,IF($D$127=14,Q135,IF($D$127=18,Q135,IF($D$127=20,Q135,IF($D$127=22,Q135,)))))))))</f>
        <v>B24008</v>
      </c>
      <c r="E146" s="131" t="n">
        <f aca="false">IF($D$127=5,R133,IF($D$127=6,R133,IF($D$127=8,R134,IF($D$127=10,R134,IF($D$127=12,R134,IF($D$127=14,R135,IF($D$127=18,R135,IF($D$127=20,R135,IF($D$127=22,R135,)))))))))</f>
        <v>0.231</v>
      </c>
      <c r="F146" s="131" t="str">
        <f aca="false">IF($D$127=5,S133,IF($D$127=6,S133,IF($D$127=8,S134,IF($D$127=10,S134,IF($D$127=12,S134,IF($D$127=14,S135,IF($D$127=18,S135,IF($D$127=20,S135,IF($D$127=22,S135,)))))))))</f>
        <v>B24008-001</v>
      </c>
      <c r="G146" s="130" t="n">
        <f aca="false">IF($D$127=5,T133,IF($D$127=6,T133,IF($D$127=8,T134,IF($D$127=10,T134,IF($D$127=12,T134,IF($D$127=14,T135,IF($D$127=18,T135,IF($D$127=20,T135,IF($D$127=22,T135,)))))))))</f>
        <v>8</v>
      </c>
      <c r="H146" s="130" t="str">
        <f aca="false">IF($D$127=5,U133,IF($D$127=6,U133,IF($D$127=8,U134,IF($D$127=10,U134,IF($D$127=12,U134,IF($D$127=14,U135,IF($D$127=18,U135,IF($D$127=20,U135,IF($D$127=22,U135,)))))))))</f>
        <v>(W-185-(113.25 × 3))/4</v>
      </c>
      <c r="I146" s="141" t="n">
        <f aca="false">IF($D$127=5,V133,IF($D$127=6,V133,IF($D$127=8,V134,IF($D$127=10,V134,IF($D$127=12,V134,IF($D$127=14,V135,IF($D$127=18,V135,IF($D$127=20,V135,IF($D$127=22,V135,)))))))))</f>
        <v>743.8125</v>
      </c>
      <c r="J146" s="134" t="n">
        <f aca="false">$J$120*G146</f>
        <v>8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7" s="131" t="str">
        <f aca="false">IF($D$127=5,Q136,IF($D$127=6,Q136,IF($D$127=8,Q137,IF($D$127=10,Q137,IF($D$127=12,Q137,IF($D$127=14,Q138,IF($D$127=18,Q138,IF($D$127=20,Q138,IF($D$127=22,Q138,)))))))))</f>
        <v>B24008</v>
      </c>
      <c r="E147" s="131" t="n">
        <f aca="false">IF($D$127=5,R136,IF($D$127=6,R136,IF($D$127=8,R137,IF($D$127=10,R137,IF($D$127=12,R137,IF($D$127=14,R138,IF($D$127=18,R138,IF($D$127=20,R138,IF($D$127=22,R138,)))))))))</f>
        <v>0.231</v>
      </c>
      <c r="F147" s="131" t="str">
        <f aca="false">IF($D$127=5,S136,IF($D$127=6,S136,IF($D$127=8,S137,IF($D$127=10,S137,IF($D$127=12,S137,IF($D$127=14,S138,IF($D$127=18,S138,IF($D$127=20,S138,IF($D$127=22,S138,)))))))))</f>
        <v>B24008-002</v>
      </c>
      <c r="G147" s="130" t="n">
        <f aca="false">IF($D$127=5,T136,IF($D$127=6,T136,IF($D$127=8,T137,IF($D$127=10,T137,IF($D$127=12,T137,IF($D$127=14,T138,IF($D$127=18,T138,IF($D$127=20,T138,IF($D$127=22,T138,)))))))))</f>
        <v>8</v>
      </c>
      <c r="H147" s="130" t="str">
        <f aca="false">IF($D$127=5,U136,IF($D$127=6,U136,IF($D$127=8,U137,IF($D$127=10,U137,IF($D$127=12,U137,IF($D$127=14,U138,IF($D$127=18,U138,IF($D$127=20,U138,IF($D$127=22,U138,)))))))))</f>
        <v>H-242</v>
      </c>
      <c r="I147" s="133" t="n">
        <f aca="false">IF($D$127=5,V136,IF($D$127=6,V136,IF($D$127=8,V137,IF($D$127=10,V137,IF($D$127=12,V137,IF($D$127=14,V138,IF($D$127=18,V138,IF($D$127=20,V138,IF($D$127=22,V138,)))))))))</f>
        <v>2258</v>
      </c>
      <c r="J147" s="134" t="n">
        <f aca="false">$J$120*G147</f>
        <v>8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">
        <v>534</v>
      </c>
      <c r="C148" s="131" t="s">
        <v>535</v>
      </c>
      <c r="D148" s="132" t="s">
        <v>536</v>
      </c>
      <c r="E148" s="130"/>
      <c r="F148" s="132" t="s">
        <v>537</v>
      </c>
      <c r="G148" s="130" t="n">
        <v>1</v>
      </c>
      <c r="H148" s="130" t="s">
        <v>389</v>
      </c>
      <c r="I148" s="133" t="n">
        <f aca="false">$J$123-92</f>
        <v>2408</v>
      </c>
      <c r="J148" s="134" t="n">
        <f aca="false">$J$120*G148</f>
        <v>1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535</v>
      </c>
      <c r="D149" s="132" t="s">
        <v>536</v>
      </c>
      <c r="E149" s="130"/>
      <c r="F149" s="132" t="s">
        <v>539</v>
      </c>
      <c r="G149" s="130" t="n">
        <v>1</v>
      </c>
      <c r="H149" s="130" t="s">
        <v>389</v>
      </c>
      <c r="I149" s="133" t="n">
        <f aca="false">$J$123-92</f>
        <v>2408</v>
      </c>
      <c r="J149" s="134" t="n">
        <f aca="false">$J$120*G149</f>
        <v>1</v>
      </c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33"/>
      <c r="J150" s="134"/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33"/>
      <c r="J151" s="134"/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3440</v>
      </c>
      <c r="G155" s="155" t="n">
        <f aca="false">VLOOKUP(C155,$C$133:$J$153,8,0)</f>
        <v>1</v>
      </c>
      <c r="H155" s="264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VLOOKUP(C156,$C$133:$I$153,7,0)</f>
        <v>3414</v>
      </c>
      <c r="G156" s="155" t="n">
        <f aca="false">VLOOKUP(C156,$C$133:$J$153,8,0)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VLOOKUP(C157,$C$133:$I$153,7,0)</f>
        <v>3440</v>
      </c>
      <c r="G157" s="155" t="n">
        <f aca="false">VLOOKUP(C157,$C$133:$J$153,8,0)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VLOOKUP(C158,$C$133:$I$153,7,0)</f>
        <v>3440</v>
      </c>
      <c r="G158" s="155" t="n">
        <f aca="false">VLOOKUP(C158,$C$133:$J$153,8,0)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VLOOKUP(C159,$C$133:$I$153,7,0)</f>
        <v>2500</v>
      </c>
      <c r="G159" s="155" t="n">
        <f aca="false">VLOOKUP(C159,$C$133:$J$153,8,0)</f>
        <v>1</v>
      </c>
      <c r="H159" s="160" t="n">
        <f aca="false">ROUNDUP(((F159*G159)+(F160*G160))/6400,0)</f>
        <v>1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VLOOKUP(C160,$C$133:$I$153,7,0)</f>
        <v>2500</v>
      </c>
      <c r="G160" s="155" t="n">
        <f aca="false">VLOOKUP(C160,$C$133:$J$153,8,0)</f>
        <v>1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VLOOKUP(C161,$C$133:$I$153,7,0)</f>
        <v>2404</v>
      </c>
      <c r="G161" s="155" t="n">
        <f aca="false">VLOOKUP(C161,$C$133:$J$153,8,0)</f>
        <v>1</v>
      </c>
      <c r="H161" s="160" t="n">
        <f aca="false">ROUNDUP(((F161*G161)+(F162*G162))/6400,0)</f>
        <v>1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155" t="n">
        <f aca="false">VLOOKUP(C162,$C$133:$H$153,3,0)</f>
        <v>0.235</v>
      </c>
      <c r="F162" s="263" t="n">
        <f aca="false">VLOOKUP(C162,$C$133:$I$153,7,0)</f>
        <v>2404</v>
      </c>
      <c r="G162" s="155" t="n">
        <f aca="false">VLOOKUP(C162,$C$133:$J$153,8,0)</f>
        <v>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155" t="n">
        <f aca="false">VLOOKUP(C163,$C$133:$H$153,3,0)</f>
        <v>1.106</v>
      </c>
      <c r="F163" s="263" t="n">
        <f aca="false">VLOOKUP(C163,$C$133:$I$153,7,0)</f>
        <v>855</v>
      </c>
      <c r="G163" s="155" t="n">
        <f aca="false">VLOOKUP(C163,$C$133:$J$153,8,0)</f>
        <v>4</v>
      </c>
      <c r="H163" s="160" t="n">
        <f aca="false">ROUNDUP(((F163*G163)+(F164*G164)+(F165*G165)+(F166*G166)+(F167*G167))/6400,0)</f>
        <v>5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155" t="n">
        <f aca="false">VLOOKUP(C164,$C$133:$H$153,3,0)</f>
        <v>1.106</v>
      </c>
      <c r="F164" s="263" t="n">
        <f aca="false">VLOOKUP(C164,$C$133:$I$153,7,0)</f>
        <v>855</v>
      </c>
      <c r="G164" s="155" t="n">
        <f aca="false">VLOOKUP(C164,$C$133:$J$153,8,0)</f>
        <v>4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155" t="n">
        <f aca="false">VLOOKUP(C165,$C$133:$H$153,3,0)</f>
        <v>1.106</v>
      </c>
      <c r="F165" s="263" t="n">
        <f aca="false">VLOOKUP(C165,$C$133:$I$153,7,0)</f>
        <v>2408</v>
      </c>
      <c r="G165" s="155" t="n">
        <f aca="false">VLOOKUP(C165,$C$133:$J$153,8,0)</f>
        <v>6</v>
      </c>
      <c r="H165" s="160"/>
      <c r="I165" s="161"/>
      <c r="J165" s="161"/>
    </row>
    <row r="166" s="96" customFormat="true" ht="13.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155" t="n">
        <f aca="false">VLOOKUP(C166,$C$133:$H$153,3,0)</f>
        <v>1.106</v>
      </c>
      <c r="F166" s="263" t="n">
        <f aca="false">VLOOKUP(C166,$C$133:$I$153,7,0)</f>
        <v>2408</v>
      </c>
      <c r="G166" s="155" t="n">
        <f aca="false">VLOOKUP(C166,$C$133:$J$153,8,0)</f>
        <v>1</v>
      </c>
      <c r="H166" s="160"/>
      <c r="I166" s="161"/>
      <c r="J166" s="161"/>
    </row>
    <row r="167" s="96" customFormat="true" ht="15" hidden="false" customHeight="true" outlineLevel="1" collapsed="false">
      <c r="A167" s="158" t="n">
        <f aca="false">IF(B167="","",+A166+1)</f>
        <v>13</v>
      </c>
      <c r="B167" s="153" t="str">
        <f aca="false">B145</f>
        <v>เสากุญแจมือจับ</v>
      </c>
      <c r="C167" s="153" t="str">
        <f aca="false">C145</f>
        <v>SASH (Ver) LOCK HANDLE</v>
      </c>
      <c r="D167" s="159"/>
      <c r="E167" s="155" t="n">
        <f aca="false">VLOOKUP(C167,$C$133:$H$153,3,0)</f>
        <v>1.106</v>
      </c>
      <c r="F167" s="263" t="n">
        <f aca="false">VLOOKUP(C167,$C$133:$I$153,7,0)</f>
        <v>2408</v>
      </c>
      <c r="G167" s="155" t="n">
        <f aca="false">VLOOKUP(C167,$C$133:$J$153,8,0)</f>
        <v>1</v>
      </c>
      <c r="H167" s="160"/>
      <c r="I167" s="161"/>
      <c r="J167" s="161"/>
    </row>
    <row r="168" s="96" customFormat="true" ht="13.5" hidden="false" customHeight="true" outlineLevel="1" collapsed="false">
      <c r="A168" s="158" t="n">
        <f aca="false">IF(B168="","",+A167+1)</f>
        <v>14</v>
      </c>
      <c r="B168" s="153" t="str">
        <f aca="false">B146</f>
        <v>5-6mm คิ้วตบกระจกแนวนอน</v>
      </c>
      <c r="C168" s="153" t="str">
        <f aca="false">C146</f>
        <v>5-6mm GLAZING BEAD HORIZONTAL</v>
      </c>
      <c r="D168" s="159" t="str">
        <f aca="false">VLOOKUP(C168,$C$133:$H$153,2,0)</f>
        <v>B24008</v>
      </c>
      <c r="E168" s="155" t="n">
        <f aca="false">VLOOKUP(C168,$C$133:$H$153,3,0)</f>
        <v>0.231</v>
      </c>
      <c r="F168" s="267" t="n">
        <f aca="false">VLOOKUP(C168,$C$133:$I$153,7,0)</f>
        <v>743.8125</v>
      </c>
      <c r="G168" s="155" t="n">
        <f aca="false">VLOOKUP(C168,$C$133:$J$153,8,0)</f>
        <v>8</v>
      </c>
      <c r="H168" s="160" t="n">
        <f aca="false">ROUNDUP(((F168*G168)+(F169*G169))/6400,0)</f>
        <v>4</v>
      </c>
      <c r="I168" s="265"/>
      <c r="J168" s="265"/>
    </row>
    <row r="169" s="96" customFormat="true" ht="15" hidden="false" customHeight="true" outlineLevel="1" collapsed="false">
      <c r="A169" s="158" t="n">
        <f aca="false">IF(B169="","",+A168+1)</f>
        <v>15</v>
      </c>
      <c r="B169" s="153" t="str">
        <f aca="false">B147</f>
        <v>5-6mm คิ้วตบกระจกแนวตั้ง</v>
      </c>
      <c r="C169" s="153" t="str">
        <f aca="false">C147</f>
        <v>5-6mm GLAZING BEAD VERTICAL</v>
      </c>
      <c r="D169" s="159"/>
      <c r="E169" s="155" t="n">
        <f aca="false">VLOOKUP(C169,$C$133:$H$153,3,0)</f>
        <v>0.231</v>
      </c>
      <c r="F169" s="263" t="n">
        <f aca="false">VLOOKUP(C169,$C$133:$I$153,7,0)</f>
        <v>2258</v>
      </c>
      <c r="G169" s="155" t="n">
        <f aca="false">VLOOKUP(C169,$C$133:$J$153,8,0)</f>
        <v>8</v>
      </c>
      <c r="H169" s="160"/>
      <c r="I169" s="196"/>
      <c r="J169" s="196"/>
    </row>
    <row r="170" s="96" customFormat="true" ht="13.5" hidden="false" customHeight="true" outlineLevel="1" collapsed="false">
      <c r="A170" s="158" t="n">
        <f aca="false">IF(B170="","",+A169+1)</f>
        <v>16</v>
      </c>
      <c r="B170" s="153" t="str">
        <f aca="false">B148</f>
        <v>บังใบ</v>
      </c>
      <c r="C170" s="153" t="str">
        <f aca="false">C148</f>
        <v>SASH STOP</v>
      </c>
      <c r="D170" s="163" t="str">
        <f aca="false">VLOOKUP(C170,$C$133:$H$153,2,0)</f>
        <v>B24009</v>
      </c>
      <c r="E170" s="155" t="n">
        <f aca="false">VLOOKUP(C170,$C$133:$H$153,3,0)</f>
        <v>0</v>
      </c>
      <c r="F170" s="263" t="n">
        <f aca="false">VLOOKUP(C170,$C$133:$I$153,7,0)</f>
        <v>2408</v>
      </c>
      <c r="G170" s="155" t="n">
        <f aca="false">VLOOKUP(C170,$C$133:$J$153,8,0)</f>
        <v>1</v>
      </c>
      <c r="H170" s="160" t="n">
        <f aca="false">ROUNDUP(((F170*G170)+(F171*G171))/6400,0)</f>
        <v>1</v>
      </c>
      <c r="I170" s="196"/>
      <c r="J170" s="196"/>
    </row>
    <row r="171" s="96" customFormat="true" ht="14.25" hidden="false" customHeight="false" outlineLevel="1" collapsed="false">
      <c r="A171" s="158" t="n">
        <f aca="false">IF(B171="","",+A170+1)</f>
        <v>17</v>
      </c>
      <c r="B171" s="153" t="str">
        <f aca="false">B149</f>
        <v>บังใบ</v>
      </c>
      <c r="C171" s="153" t="str">
        <f aca="false">C149</f>
        <v>SASH STOP</v>
      </c>
      <c r="D171" s="163"/>
      <c r="E171" s="155" t="n">
        <f aca="false">VLOOKUP(C171,$C$133:$H$153,3,0)</f>
        <v>0</v>
      </c>
      <c r="F171" s="263" t="n">
        <f aca="false">VLOOKUP(C171,$C$133:$I$153,7,0)</f>
        <v>2408</v>
      </c>
      <c r="G171" s="155" t="n">
        <f aca="false">VLOOKUP(C171,$C$133:$J$153,8,0)</f>
        <v>1</v>
      </c>
      <c r="H171" s="160"/>
      <c r="I171" s="196"/>
      <c r="J171" s="196"/>
    </row>
    <row r="172" s="96" customFormat="true" ht="24.75" hidden="false" customHeight="true" outlineLevel="0" collapsed="false">
      <c r="A172" s="113" t="s">
        <v>396</v>
      </c>
      <c r="B172" s="113"/>
      <c r="C172" s="113"/>
      <c r="D172" s="113"/>
      <c r="E172" s="113"/>
      <c r="F172" s="113"/>
      <c r="G172" s="113"/>
      <c r="H172" s="113"/>
      <c r="I172" s="113"/>
      <c r="J172" s="113"/>
    </row>
    <row r="173" s="96" customFormat="true" ht="34.5" hidden="false" customHeight="true" outlineLevel="0" collapsed="false">
      <c r="A173" s="114" t="s">
        <v>319</v>
      </c>
      <c r="B173" s="115" t="s">
        <v>320</v>
      </c>
      <c r="C173" s="115" t="s">
        <v>168</v>
      </c>
      <c r="D173" s="115" t="s">
        <v>397</v>
      </c>
      <c r="E173" s="115" t="s">
        <v>321</v>
      </c>
      <c r="F173" s="116" t="s">
        <v>398</v>
      </c>
      <c r="G173" s="115" t="s">
        <v>399</v>
      </c>
      <c r="H173" s="116" t="s">
        <v>400</v>
      </c>
      <c r="I173" s="116" t="s">
        <v>401</v>
      </c>
      <c r="J173" s="117" t="s">
        <v>402</v>
      </c>
      <c r="N173" s="107" t="s">
        <v>288</v>
      </c>
      <c r="O173" s="165" t="s">
        <v>320</v>
      </c>
      <c r="P173" s="165" t="s">
        <v>168</v>
      </c>
      <c r="Q173" s="165" t="s">
        <v>397</v>
      </c>
      <c r="R173" s="165" t="s">
        <v>321</v>
      </c>
      <c r="S173" s="165" t="s">
        <v>398</v>
      </c>
      <c r="T173" s="165" t="s">
        <v>399</v>
      </c>
      <c r="U173" s="165" t="s">
        <v>400</v>
      </c>
      <c r="V173" s="165" t="s">
        <v>401</v>
      </c>
      <c r="W173" s="165" t="s">
        <v>402</v>
      </c>
    </row>
    <row r="174" s="96" customFormat="true" ht="18" hidden="false" customHeight="true" outlineLevel="0" collapsed="false">
      <c r="A174" s="166" t="n">
        <f aca="false">IF(B174="","",1)</f>
        <v>1</v>
      </c>
      <c r="B174" s="131" t="s">
        <v>403</v>
      </c>
      <c r="C174" s="131" t="s">
        <v>404</v>
      </c>
      <c r="D174" s="132" t="s">
        <v>576</v>
      </c>
      <c r="E174" s="130"/>
      <c r="F174" s="130" t="s">
        <v>576</v>
      </c>
      <c r="G174" s="130" t="s">
        <v>405</v>
      </c>
      <c r="H174" s="130" t="n">
        <v>1</v>
      </c>
      <c r="I174" s="133"/>
      <c r="J174" s="134" t="n">
        <f aca="false">$J$120*H174</f>
        <v>1</v>
      </c>
      <c r="N174" s="107" t="s">
        <v>406</v>
      </c>
      <c r="O174" s="55" t="s">
        <v>407</v>
      </c>
      <c r="P174" s="62" t="s">
        <v>408</v>
      </c>
      <c r="Q174" s="55" t="s">
        <v>227</v>
      </c>
      <c r="R174" s="158"/>
      <c r="S174" s="158" t="s">
        <v>227</v>
      </c>
      <c r="T174" s="158" t="s">
        <v>409</v>
      </c>
      <c r="U174" s="168" t="n">
        <f aca="false">((($I$141*$G$141)+($I$142*$G$142)+($I$143*$G$143)+($I$144*$G$144)+($I$145*$G$145))/1000)*$J$120</f>
        <v>26.104</v>
      </c>
      <c r="V174" s="168" t="n">
        <v>100</v>
      </c>
      <c r="W174" s="169" t="n">
        <f aca="false">ROUNDUP((U174)/100,0)</f>
        <v>1</v>
      </c>
    </row>
    <row r="175" s="96" customFormat="true" ht="18" hidden="false" customHeight="true" outlineLevel="0" collapsed="false">
      <c r="A175" s="170" t="n">
        <f aca="false">IF(B175="","",+A174+1)</f>
        <v>2</v>
      </c>
      <c r="B175" s="131" t="s">
        <v>403</v>
      </c>
      <c r="C175" s="131" t="s">
        <v>404</v>
      </c>
      <c r="D175" s="132" t="s">
        <v>276</v>
      </c>
      <c r="E175" s="130"/>
      <c r="F175" s="130" t="s">
        <v>276</v>
      </c>
      <c r="G175" s="130" t="s">
        <v>405</v>
      </c>
      <c r="H175" s="130" t="n">
        <v>1</v>
      </c>
      <c r="I175" s="133"/>
      <c r="J175" s="134" t="n">
        <f aca="false">$J$120*H175</f>
        <v>1</v>
      </c>
      <c r="N175" s="107" t="s">
        <v>412</v>
      </c>
      <c r="O175" s="55" t="s">
        <v>413</v>
      </c>
      <c r="P175" s="62" t="s">
        <v>414</v>
      </c>
      <c r="Q175" s="55" t="s">
        <v>234</v>
      </c>
      <c r="R175" s="158"/>
      <c r="S175" s="158" t="s">
        <v>234</v>
      </c>
      <c r="T175" s="158" t="s">
        <v>409</v>
      </c>
      <c r="U175" s="168" t="n">
        <f aca="false">((($I$141*$G$141)+($I$142*$G$142)+($I$143*$G$143)+($I$144*$G$144)+($I$145*$G$145))/1000)*$J$120</f>
        <v>26.104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3</v>
      </c>
      <c r="B176" s="131" t="s">
        <v>410</v>
      </c>
      <c r="C176" s="131" t="s">
        <v>411</v>
      </c>
      <c r="D176" s="132" t="s">
        <v>267</v>
      </c>
      <c r="E176" s="130"/>
      <c r="F176" s="130" t="s">
        <v>267</v>
      </c>
      <c r="G176" s="130" t="s">
        <v>405</v>
      </c>
      <c r="H176" s="130" t="n">
        <v>8</v>
      </c>
      <c r="I176" s="133"/>
      <c r="J176" s="134" t="n">
        <f aca="false">$J$120*H176</f>
        <v>8</v>
      </c>
      <c r="N176" s="107" t="s">
        <v>417</v>
      </c>
      <c r="O176" s="62" t="s">
        <v>418</v>
      </c>
      <c r="P176" s="62" t="s">
        <v>419</v>
      </c>
      <c r="Q176" s="55" t="s">
        <v>236</v>
      </c>
      <c r="R176" s="158"/>
      <c r="S176" s="158" t="s">
        <v>236</v>
      </c>
      <c r="T176" s="158" t="s">
        <v>409</v>
      </c>
      <c r="U176" s="168" t="n">
        <f aca="false">((($I$141*$G$141)+($I$142*$G$142)+($I$143*$G$143)+($I$144*$G$144)+($I$145*$G$145))/1000)*$J$120</f>
        <v>26.104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4</v>
      </c>
      <c r="B177" s="131" t="s">
        <v>415</v>
      </c>
      <c r="C177" s="131" t="s">
        <v>416</v>
      </c>
      <c r="D177" s="132" t="s">
        <v>222</v>
      </c>
      <c r="E177" s="130"/>
      <c r="F177" s="130" t="s">
        <v>222</v>
      </c>
      <c r="G177" s="130" t="s">
        <v>405</v>
      </c>
      <c r="H177" s="130" t="n">
        <v>2</v>
      </c>
      <c r="I177" s="133"/>
      <c r="J177" s="134" t="n">
        <f aca="false">$J$120*H177</f>
        <v>2</v>
      </c>
      <c r="N177" s="107" t="s">
        <v>422</v>
      </c>
      <c r="O177" s="62" t="s">
        <v>423</v>
      </c>
      <c r="P177" s="62" t="s">
        <v>424</v>
      </c>
      <c r="Q177" s="55" t="s">
        <v>238</v>
      </c>
      <c r="R177" s="158"/>
      <c r="S177" s="158" t="s">
        <v>238</v>
      </c>
      <c r="T177" s="158" t="s">
        <v>409</v>
      </c>
      <c r="U177" s="168" t="n">
        <f aca="false">((($I$141*$G$141)+($I$142*$G$142)+($I$143*$G$143)+($I$144*$G$144)+($I$145*$G$145))/1000)*$J$120</f>
        <v>26.104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5</v>
      </c>
      <c r="B178" s="131" t="s">
        <v>420</v>
      </c>
      <c r="C178" s="131" t="s">
        <v>421</v>
      </c>
      <c r="D178" s="132" t="s">
        <v>225</v>
      </c>
      <c r="E178" s="130"/>
      <c r="F178" s="130" t="s">
        <v>225</v>
      </c>
      <c r="G178" s="130" t="s">
        <v>405</v>
      </c>
      <c r="H178" s="130" t="n">
        <v>2</v>
      </c>
      <c r="I178" s="133"/>
      <c r="J178" s="134" t="n">
        <f aca="false">$J$120*H178</f>
        <v>2</v>
      </c>
      <c r="N178" s="107" t="s">
        <v>427</v>
      </c>
      <c r="O178" s="62" t="s">
        <v>428</v>
      </c>
      <c r="P178" s="62" t="s">
        <v>429</v>
      </c>
      <c r="Q178" s="55" t="s">
        <v>240</v>
      </c>
      <c r="R178" s="158"/>
      <c r="S178" s="158" t="s">
        <v>240</v>
      </c>
      <c r="T178" s="158" t="s">
        <v>409</v>
      </c>
      <c r="U178" s="168" t="n">
        <f aca="false">((($I$141*$G$141)+($I$142*$G$142)+($I$143*$G$143)+($I$144*$G$144)+($I$145*$G$145))/1000)*$J$120</f>
        <v>26.104</v>
      </c>
      <c r="V178" s="168" t="n">
        <v>100</v>
      </c>
      <c r="W178" s="169" t="n">
        <f aca="false">ROUNDUP((U178)/100,0)</f>
        <v>1</v>
      </c>
    </row>
    <row r="179" s="96" customFormat="true" ht="18" hidden="false" customHeight="true" outlineLevel="0" collapsed="false">
      <c r="A179" s="170" t="n">
        <f aca="false">IF(B179="","",+A178+1)</f>
        <v>6</v>
      </c>
      <c r="B179" s="131" t="s">
        <v>425</v>
      </c>
      <c r="C179" s="131" t="s">
        <v>426</v>
      </c>
      <c r="D179" s="132" t="n">
        <v>9</v>
      </c>
      <c r="E179" s="130"/>
      <c r="F179" s="130" t="n">
        <v>9</v>
      </c>
      <c r="G179" s="130" t="s">
        <v>405</v>
      </c>
      <c r="H179" s="130" t="n">
        <v>8</v>
      </c>
      <c r="I179" s="133"/>
      <c r="J179" s="134" t="n">
        <f aca="false">$J$120*H179</f>
        <v>8</v>
      </c>
    </row>
    <row r="180" s="96" customFormat="true" ht="18" hidden="false" customHeight="true" outlineLevel="0" collapsed="false">
      <c r="A180" s="170" t="n">
        <f aca="false">IF(B180="","",+A179+1)</f>
        <v>7</v>
      </c>
      <c r="B180" s="131" t="s">
        <v>430</v>
      </c>
      <c r="C180" s="131" t="s">
        <v>431</v>
      </c>
      <c r="D180" s="132" t="n">
        <v>9</v>
      </c>
      <c r="E180" s="130"/>
      <c r="F180" s="130" t="n">
        <v>9</v>
      </c>
      <c r="G180" s="130" t="s">
        <v>405</v>
      </c>
      <c r="H180" s="130" t="n">
        <v>110</v>
      </c>
      <c r="I180" s="133"/>
      <c r="J180" s="134" t="n">
        <f aca="false">$J$120*H180</f>
        <v>110</v>
      </c>
    </row>
    <row r="181" s="96" customFormat="true" ht="18" hidden="false" customHeight="true" outlineLevel="0" collapsed="false">
      <c r="A181" s="170" t="n">
        <f aca="false">IF(B181="","",+A180+1)</f>
        <v>8</v>
      </c>
      <c r="B181" s="131" t="s">
        <v>432</v>
      </c>
      <c r="C181" s="131" t="s">
        <v>433</v>
      </c>
      <c r="D181" s="132" t="s">
        <v>6</v>
      </c>
      <c r="E181" s="130"/>
      <c r="F181" s="130" t="s">
        <v>6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9</v>
      </c>
      <c r="B182" s="131" t="s">
        <v>512</v>
      </c>
      <c r="C182" s="131" t="s">
        <v>513</v>
      </c>
      <c r="D182" s="132" t="s">
        <v>7</v>
      </c>
      <c r="E182" s="130"/>
      <c r="F182" s="130" t="s">
        <v>7</v>
      </c>
      <c r="G182" s="130" t="s">
        <v>434</v>
      </c>
      <c r="H182" s="130" t="n">
        <v>1</v>
      </c>
      <c r="I182" s="142"/>
      <c r="J182" s="134" t="n">
        <f aca="false">$J$120*H182</f>
        <v>1</v>
      </c>
    </row>
    <row r="183" s="96" customFormat="true" ht="18" hidden="false" customHeight="true" outlineLevel="0" collapsed="false">
      <c r="A183" s="170" t="n">
        <f aca="false">IF(B183="","",+A182+1)</f>
        <v>10</v>
      </c>
      <c r="B183" s="131" t="s">
        <v>514</v>
      </c>
      <c r="C183" s="131" t="s">
        <v>555</v>
      </c>
      <c r="D183" s="132" t="s">
        <v>11</v>
      </c>
      <c r="E183" s="130"/>
      <c r="F183" s="130" t="s">
        <v>11</v>
      </c>
      <c r="G183" s="130" t="s">
        <v>434</v>
      </c>
      <c r="H183" s="130" t="n">
        <v>1</v>
      </c>
      <c r="I183" s="142"/>
      <c r="J183" s="134" t="n">
        <f aca="false">$J$120*H183</f>
        <v>1</v>
      </c>
      <c r="Q183" s="172"/>
      <c r="R183" s="172"/>
      <c r="S183" s="172"/>
      <c r="T183" s="97"/>
      <c r="U183" s="97"/>
      <c r="V183" s="97"/>
    </row>
    <row r="184" s="96" customFormat="true" ht="18" hidden="false" customHeight="true" outlineLevel="0" collapsed="false">
      <c r="A184" s="170" t="n">
        <f aca="false">IF(B184="","",+A183+1)</f>
        <v>11</v>
      </c>
      <c r="B184" s="131" t="s">
        <v>556</v>
      </c>
      <c r="C184" s="131" t="s">
        <v>557</v>
      </c>
      <c r="D184" s="132" t="s">
        <v>5</v>
      </c>
      <c r="E184" s="130"/>
      <c r="F184" s="130" t="s">
        <v>5</v>
      </c>
      <c r="G184" s="130" t="s">
        <v>434</v>
      </c>
      <c r="H184" s="130" t="n">
        <v>1</v>
      </c>
      <c r="I184" s="142"/>
      <c r="J184" s="134" t="n">
        <f aca="false">$J$120*H184</f>
        <v>1</v>
      </c>
      <c r="N184" s="107" t="s">
        <v>289</v>
      </c>
      <c r="O184" s="165" t="s">
        <v>320</v>
      </c>
      <c r="P184" s="165" t="s">
        <v>168</v>
      </c>
      <c r="Q184" s="165" t="s">
        <v>397</v>
      </c>
      <c r="R184" s="165" t="s">
        <v>321</v>
      </c>
      <c r="S184" s="165" t="s">
        <v>398</v>
      </c>
      <c r="T184" s="165" t="s">
        <v>399</v>
      </c>
      <c r="U184" s="165" t="s">
        <v>400</v>
      </c>
      <c r="V184" s="165" t="s">
        <v>401</v>
      </c>
      <c r="W184" s="165" t="s">
        <v>402</v>
      </c>
    </row>
    <row r="185" s="96" customFormat="true" ht="18" hidden="false" customHeight="true" outlineLevel="0" collapsed="false">
      <c r="A185" s="170" t="n">
        <f aca="false">IF(B185="","",+A184+1)</f>
        <v>12</v>
      </c>
      <c r="B185" s="131" t="s">
        <v>439</v>
      </c>
      <c r="C185" s="131" t="s">
        <v>440</v>
      </c>
      <c r="D185" s="132" t="s">
        <v>12</v>
      </c>
      <c r="E185" s="130"/>
      <c r="F185" s="130" t="s">
        <v>12</v>
      </c>
      <c r="G185" s="130" t="s">
        <v>434</v>
      </c>
      <c r="H185" s="130" t="n">
        <v>1</v>
      </c>
      <c r="I185" s="142"/>
      <c r="J185" s="134" t="n">
        <f aca="false">$J$120*H185</f>
        <v>1</v>
      </c>
      <c r="N185" s="107" t="s">
        <v>445</v>
      </c>
      <c r="O185" s="62" t="s">
        <v>446</v>
      </c>
      <c r="P185" s="62" t="s">
        <v>447</v>
      </c>
      <c r="Q185" s="55" t="s">
        <v>230</v>
      </c>
      <c r="R185" s="158"/>
      <c r="S185" s="158" t="s">
        <v>230</v>
      </c>
      <c r="T185" s="158" t="s">
        <v>409</v>
      </c>
      <c r="U185" s="168" t="n">
        <f aca="false">((($I$134*$G$134)+($I$136*$G$136)+($I$139*$G$139))/1000)*$J$120</f>
        <v>9.258</v>
      </c>
      <c r="V185" s="168" t="n">
        <v>300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13</v>
      </c>
      <c r="B186" s="131" t="s">
        <v>540</v>
      </c>
      <c r="C186" s="131" t="s">
        <v>541</v>
      </c>
      <c r="D186" s="132" t="s">
        <v>542</v>
      </c>
      <c r="E186" s="130"/>
      <c r="F186" s="130" t="s">
        <v>542</v>
      </c>
      <c r="G186" s="130" t="s">
        <v>434</v>
      </c>
      <c r="H186" s="130" t="n">
        <v>1</v>
      </c>
      <c r="I186" s="133"/>
      <c r="J186" s="134" t="n">
        <f aca="false">$J$120*H186</f>
        <v>1</v>
      </c>
      <c r="N186" s="107" t="s">
        <v>448</v>
      </c>
      <c r="O186" s="62" t="s">
        <v>449</v>
      </c>
      <c r="P186" s="62" t="s">
        <v>450</v>
      </c>
      <c r="Q186" s="55" t="s">
        <v>451</v>
      </c>
      <c r="R186" s="158"/>
      <c r="S186" s="158" t="s">
        <v>451</v>
      </c>
      <c r="T186" s="158" t="s">
        <v>409</v>
      </c>
      <c r="U186" s="168" t="n">
        <f aca="false">((($I$134*$G$134)+($I$136*$G$136)+($I$139*$G$139))/1000)*$J$120</f>
        <v>9.258</v>
      </c>
      <c r="V186" s="168" t="n">
        <v>100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14</v>
      </c>
      <c r="B187" s="131" t="s">
        <v>577</v>
      </c>
      <c r="C187" s="131" t="s">
        <v>578</v>
      </c>
      <c r="D187" s="132" t="s">
        <v>215</v>
      </c>
      <c r="E187" s="130"/>
      <c r="F187" s="130" t="s">
        <v>215</v>
      </c>
      <c r="G187" s="130" t="s">
        <v>434</v>
      </c>
      <c r="H187" s="130" t="n">
        <v>1</v>
      </c>
      <c r="I187" s="133"/>
      <c r="J187" s="134" t="n">
        <f aca="false">$J$120*H187</f>
        <v>1</v>
      </c>
      <c r="N187" s="107" t="s">
        <v>445</v>
      </c>
      <c r="O187" s="62" t="s">
        <v>452</v>
      </c>
      <c r="P187" s="62" t="s">
        <v>453</v>
      </c>
      <c r="Q187" s="55" t="s">
        <v>232</v>
      </c>
      <c r="R187" s="158"/>
      <c r="S187" s="158" t="s">
        <v>232</v>
      </c>
      <c r="T187" s="158" t="s">
        <v>409</v>
      </c>
      <c r="U187" s="168" t="n">
        <f aca="false">((($I$141*$G$141*2)+($I$142*$G$142*2)+($I$143*$G$143*2))/1000)*$J$120</f>
        <v>42.576</v>
      </c>
      <c r="V187" s="168" t="n">
        <v>350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15</v>
      </c>
      <c r="B188" s="131" t="s">
        <v>579</v>
      </c>
      <c r="C188" s="131" t="s">
        <v>578</v>
      </c>
      <c r="D188" s="132" t="s">
        <v>220</v>
      </c>
      <c r="E188" s="130"/>
      <c r="F188" s="130" t="s">
        <v>220</v>
      </c>
      <c r="G188" s="130" t="s">
        <v>434</v>
      </c>
      <c r="H188" s="130" t="n">
        <v>1</v>
      </c>
      <c r="I188" s="133"/>
      <c r="J188" s="134" t="n">
        <f aca="false">$J$120*H188</f>
        <v>1</v>
      </c>
      <c r="N188" s="107" t="s">
        <v>448</v>
      </c>
      <c r="O188" s="62" t="s">
        <v>454</v>
      </c>
      <c r="P188" s="62" t="s">
        <v>455</v>
      </c>
      <c r="Q188" s="55" t="s">
        <v>456</v>
      </c>
      <c r="R188" s="158"/>
      <c r="S188" s="158" t="s">
        <v>456</v>
      </c>
      <c r="T188" s="158" t="s">
        <v>409</v>
      </c>
      <c r="U188" s="168" t="n">
        <f aca="false">((($I$141*$G$141*2)+($I$142*$G$142*2)+($I$143*$G$143*2))/1000)*$J$120</f>
        <v>42.576</v>
      </c>
      <c r="V188" s="168" t="n">
        <v>100</v>
      </c>
      <c r="W188" s="169" t="n">
        <f aca="false">ROUNDUP((U188)/V188,0)</f>
        <v>1</v>
      </c>
    </row>
    <row r="189" s="96" customFormat="true" ht="18" hidden="false" customHeight="true" outlineLevel="0" collapsed="false">
      <c r="A189" s="170" t="n">
        <f aca="false">IF(B189="","",+A188+1)</f>
        <v>16</v>
      </c>
      <c r="B189" s="131" t="s">
        <v>441</v>
      </c>
      <c r="C189" s="131" t="s">
        <v>442</v>
      </c>
      <c r="D189" s="132" t="s">
        <v>274</v>
      </c>
      <c r="E189" s="130"/>
      <c r="F189" s="130" t="s">
        <v>274</v>
      </c>
      <c r="G189" s="130" t="s">
        <v>405</v>
      </c>
      <c r="H189" s="130" t="n">
        <v>4</v>
      </c>
      <c r="I189" s="133"/>
      <c r="J189" s="134" t="n">
        <f aca="false">$J$120*H189</f>
        <v>4</v>
      </c>
    </row>
    <row r="190" s="96" customFormat="true" ht="18" hidden="false" customHeight="true" outlineLevel="0" collapsed="false">
      <c r="A190" s="170" t="n">
        <f aca="false">IF(B190="","",+A189+1)</f>
        <v>17</v>
      </c>
      <c r="B190" s="131" t="s">
        <v>443</v>
      </c>
      <c r="C190" s="131" t="s">
        <v>444</v>
      </c>
      <c r="D190" s="132" t="s">
        <v>272</v>
      </c>
      <c r="E190" s="130"/>
      <c r="F190" s="130" t="s">
        <v>272</v>
      </c>
      <c r="G190" s="130" t="s">
        <v>405</v>
      </c>
      <c r="H190" s="130" t="n">
        <v>1</v>
      </c>
      <c r="I190" s="133"/>
      <c r="J190" s="134" t="n">
        <f aca="false">$J$120*H190</f>
        <v>1</v>
      </c>
    </row>
    <row r="191" s="96" customFormat="true" ht="18" hidden="false" customHeight="true" outlineLevel="0" collapsed="false">
      <c r="A191" s="170" t="n">
        <f aca="false">IF(B191="","",+A190+1)</f>
        <v>18</v>
      </c>
      <c r="B191" s="131" t="s">
        <v>580</v>
      </c>
      <c r="C191" s="131" t="s">
        <v>581</v>
      </c>
      <c r="D191" s="132" t="s">
        <v>582</v>
      </c>
      <c r="E191" s="130"/>
      <c r="F191" s="130" t="s">
        <v>582</v>
      </c>
      <c r="G191" s="130" t="s">
        <v>409</v>
      </c>
      <c r="H191" s="173" t="n">
        <f aca="false">((($I$148*$G$148)+($I$149*$G$149))/1000)*$J$120</f>
        <v>4.816</v>
      </c>
      <c r="I191" s="174" t="n">
        <v>100</v>
      </c>
      <c r="J191" s="175" t="n">
        <f aca="false">ROUNDUP((H191)/100,0)</f>
        <v>1</v>
      </c>
    </row>
    <row r="192" s="96" customFormat="true" ht="18" hidden="false" customHeight="true" outlineLevel="0" collapsed="false">
      <c r="A192" s="170" t="n">
        <f aca="false">IF(B192="","",+A191+1)</f>
        <v>19</v>
      </c>
      <c r="B192" s="131" t="s">
        <v>583</v>
      </c>
      <c r="C192" s="131" t="s">
        <v>584</v>
      </c>
      <c r="D192" s="132" t="s">
        <v>585</v>
      </c>
      <c r="E192" s="130"/>
      <c r="F192" s="130" t="s">
        <v>585</v>
      </c>
      <c r="G192" s="130" t="s">
        <v>409</v>
      </c>
      <c r="H192" s="173" t="n">
        <f aca="false">((($I$144*$G$144)+($I$145*$G$145))/1000)*$J$120</f>
        <v>4.816</v>
      </c>
      <c r="I192" s="174" t="n">
        <v>100</v>
      </c>
      <c r="J192" s="175" t="n">
        <f aca="false">ROUNDUP((H192)/100,0)</f>
        <v>1</v>
      </c>
    </row>
    <row r="193" s="96" customFormat="true" ht="18" hidden="false" customHeight="true" outlineLevel="0" collapsed="false">
      <c r="A193" s="170" t="n">
        <f aca="false">IF(B193="","",+A192+1)</f>
        <v>20</v>
      </c>
      <c r="B193" s="132" t="str">
        <f aca="false">IF($D$129="Standard",$O$185,IF($D$129="Soumdproof",$O$186,))</f>
        <v>ยางเฟรมกันน้ำ (ธรรมดา)</v>
      </c>
      <c r="C193" s="132" t="str">
        <f aca="false">IF($D$129="Standard",$P$185,IF($D$129="Soumdproof",$P$186,))</f>
        <v>FRAME SEAL (Standard)</v>
      </c>
      <c r="D193" s="132" t="str">
        <f aca="false">IF($D$129="Standard",$Q$185,IF($D$129="Soumdproof",$Q$186,))</f>
        <v>02-026</v>
      </c>
      <c r="E193" s="130" t="n">
        <f aca="false">IF($D$129="Standard",R191,IF($D$129="Soumdproof",R192,))</f>
        <v>0</v>
      </c>
      <c r="F193" s="130" t="str">
        <f aca="false">IF($D$129="Standard",$S$185,IF($D$129="Soumdproof",$S$186,))</f>
        <v>02-026</v>
      </c>
      <c r="G193" s="130" t="str">
        <f aca="false">IF($D$129="Standard",$T$185,IF($D$129="Soumdproof",$T$186,))</f>
        <v>M</v>
      </c>
      <c r="H193" s="173" t="n">
        <f aca="false">IF($D$129="Standard",$U$185,IF($D$129="Soumdproof",$U$186,))</f>
        <v>9.258</v>
      </c>
      <c r="I193" s="174" t="n">
        <f aca="false">IF($D$129="Standard",$V$185,IF($D$129="Soumdproof",$V$186,))</f>
        <v>300</v>
      </c>
      <c r="J193" s="175" t="n">
        <f aca="false">ROUNDUP((H193)/100,0)</f>
        <v>1</v>
      </c>
      <c r="Y193" s="202"/>
      <c r="Z193" s="202"/>
      <c r="AA193" s="202"/>
      <c r="AB193" s="202"/>
      <c r="AC193" s="202"/>
      <c r="AD193" s="202"/>
      <c r="AE193" s="202"/>
      <c r="AF193" s="202"/>
      <c r="AG193" s="202"/>
      <c r="AH193" s="202"/>
      <c r="AI193" s="202"/>
    </row>
    <row r="194" customFormat="false" ht="18" hidden="false" customHeight="true" outlineLevel="0" collapsed="false">
      <c r="A194" s="170" t="n">
        <f aca="false">IF(B194="","",+A193+1)</f>
        <v>21</v>
      </c>
      <c r="B194" s="132" t="str">
        <f aca="false">IF($D$129="Standard",$O$187,IF($D$129="Soumdproof",$O$188,))</f>
        <v>ยางแซชกันน้ำ (ธรรมดา)</v>
      </c>
      <c r="C194" s="132" t="str">
        <f aca="false">IF($D$129="Standard",$P$187,IF($D$129="Soumdproof",$P$188,))</f>
        <v>SASH SEAL FOAM (Standard)</v>
      </c>
      <c r="D194" s="132" t="str">
        <f aca="false">IF($D$129="Standard",$Q$187,IF($D$129="Soumdproof",$Q$188,))</f>
        <v>02-031</v>
      </c>
      <c r="E194" s="130" t="n">
        <f aca="false">IF($D$129="Standard",R193,IF($D$129="Soumdproof",R194,))</f>
        <v>0</v>
      </c>
      <c r="F194" s="130" t="str">
        <f aca="false">IF($D$129="Standard",$S$187,IF($D$129="Soumdproof",$S$188,))</f>
        <v>02-031</v>
      </c>
      <c r="G194" s="130" t="str">
        <f aca="false">IF($D$129="Standard",$T$187,IF($D$129="Soumdproof",$T$188,))</f>
        <v>M</v>
      </c>
      <c r="H194" s="173" t="n">
        <f aca="false">IF($D$129="Standard",$U$187,IF($D$129="Soumdproof",$U$188,))</f>
        <v>42.576</v>
      </c>
      <c r="I194" s="174" t="n">
        <f aca="false">IF($D$129="Standard",$V$187,IF($D$129="Soumdproof",$V$188,))</f>
        <v>350</v>
      </c>
      <c r="J194" s="175" t="n">
        <f aca="false">ROUNDUP((H194)/100,0)</f>
        <v>1</v>
      </c>
      <c r="Y194" s="96"/>
      <c r="Z194" s="96"/>
      <c r="AA194" s="96"/>
      <c r="AB194" s="96"/>
      <c r="AC194" s="96"/>
      <c r="AD194" s="96"/>
      <c r="AE194" s="96"/>
      <c r="AF194" s="96"/>
      <c r="AG194" s="96"/>
      <c r="AH194" s="96"/>
      <c r="AI194" s="96"/>
    </row>
    <row r="195" s="96" customFormat="true" ht="18" hidden="false" customHeight="true" outlineLevel="0" collapsed="false">
      <c r="A195" s="170" t="n">
        <f aca="false">IF(B195="","",+A194+1)</f>
        <v>22</v>
      </c>
      <c r="B195" s="176" t="str">
        <f aca="false">IF($D$127=5,$O$176,IF($D$127=6,$O$177,IF($D$127=8,$O$178,IF($D$127=10,$O$176,IF($D$127=12,$O$176,IF($D$127=14,$O$178,IF($D$127=18,$O$176,IF($D$127=20,$O$177,IF($D$127=22,"")))))))))</f>
        <v>6,20 mm ยางอัดกระจก</v>
      </c>
      <c r="C195" s="176" t="str">
        <f aca="false">IF($D$127=5,$P$176,IF($D$127=6,$P$177,IF($D$127=8,$P$178,IF($D$127=10,$P$176,IF($D$127=12,$P$176,IF($D$127=14,$P$178,IF($D$127=18,$P$176,IF($D$127=20,$P$177,IF($D$127=22,"")))))))))</f>
        <v>6,20 mm ROLL IN WEDGE</v>
      </c>
      <c r="D195" s="176" t="str">
        <f aca="false">IF($D$127=5,$Q$176,IF($D$127=6,$Q$177,IF($D$127=8,$Q$178,IF($D$127=10,$Q$176,IF($D$127=12,$Q$176,IF($D$127=14,$Q$178,IF($D$127=18,$Q$176,IF($D$127=20,$Q$177,IF($D$127=22,"")))))))))</f>
        <v>02-034</v>
      </c>
      <c r="E195" s="176" t="n">
        <f aca="false">IF($D$127=5,R182,IF($D$127=6,R183,IF($D$127=8,R184,IF($D$127=10,R182,IF($D$127=12,R182,IF($D$127=14,R184,IF($D$127=18,R182,IF($D$127=20,R183,IF($D$127=22,"",)))))))))</f>
        <v>0</v>
      </c>
      <c r="F195" s="167" t="str">
        <f aca="false">IF($D$127=5,$S$176,IF($D$127=6,$S$177,IF($D$127=8,$S$178,IF($D$127=10,$S$176,IF($D$127=12,$S$176,IF($D$127=14,$S$178,IF($D$127=18,$S$176,IF($D$127=20,$S$177,IF($D$127=22,"")))))))))</f>
        <v>02-034</v>
      </c>
      <c r="G195" s="167" t="str">
        <f aca="false">IF($D$127=5,$T$176,IF($D$127=6,$T$177,IF($D$127=8,$T$178,IF($D$127=10,$T$176,IF($D$127=12,$T$176,IF($D$127=14,$T$178,IF($D$127=18,$T$176,IF($D$127=20,$T$177,IF($D$127=22,"")))))))))</f>
        <v>M</v>
      </c>
      <c r="H195" s="173" t="n">
        <f aca="false">IF($D$127=5,$U$176,IF($D$127=6,$U$177,IF($D$127=8,$U$178,IF($D$127=10,$U$176*2,IF($D$127=12,$U$176,IF($D$127=14,$U$178*2,IF($D$127=18,$U$176,IF($D$127=20,$U$177,IF($D$127=22,"")))))))))</f>
        <v>26.104</v>
      </c>
      <c r="I195" s="174" t="n">
        <f aca="false">IF($D$127=5,$V$176,IF($D$127=6,$V$177,IF($D$127=8,$V$178,IF($D$127=10,$V$176,IF($D$127=12,$V$176,IF($D$127=14,$V$178,IF($D$127=18,$V$176,IF($D$127=20,$V$177,IF($D$127=22,"")))))))))</f>
        <v>100</v>
      </c>
      <c r="J195" s="175" t="n">
        <f aca="false">ROUNDUP((H195)/100,0)</f>
        <v>1</v>
      </c>
    </row>
    <row r="196" s="96" customFormat="true" ht="18" hidden="false" customHeight="true" outlineLevel="0" collapsed="false">
      <c r="A196" s="170" t="n">
        <f aca="false">IF(B196="","",+A195+1)</f>
        <v>23</v>
      </c>
      <c r="B196" s="176" t="str">
        <f aca="false">IF($D$127=5,$O$174,IF($D$127=6,$O$174,IF($D$127=8,$O$176,IF($D$127=10,"",IF($D$127=12,$O$175,IF($D$127=14,"",IF($D$127=18,$O$174,IF($D$127=20,$O$175,IF($D$127=22,"",)))))))))</f>
        <v>5,6,18 mm ยางรองกระจก</v>
      </c>
      <c r="C196" s="176" t="str">
        <f aca="false">IF($D$127=5,$P$174,IF($D$127=6,$P$174,IF($D$127=8,$P$176,IF($D$127=10,"",IF($D$127=12,$P$175,IF($D$127=14,"",IF($D$127=18,$P$174,IF($D$127=20,$P$175,IF($D$127=22,"",)))))))))</f>
        <v>5,6,18 mm CAPTIVE WEDGE</v>
      </c>
      <c r="D196" s="176" t="str">
        <f aca="false">IF($D$127=5,$Q$174,IF($D$127=6,$Q$174,IF($D$127=8,$Q$176,IF($D$127=10,"",IF($D$127=12,$Q$175,IF($D$127=14,"",IF($D$127=18,$Q$174,IF($D$127=20,$Q$175,IF($D$127=22,"",)))))))))</f>
        <v>02-022</v>
      </c>
      <c r="E196" s="176" t="n">
        <f aca="false">IF($D$127=5,R180,IF($D$127=6,R180,IF($D$127=8,R182,IF($D$127=10,"",IF($D$127=12,R181,IF($D$127=14,"",IF($D$127=18,R180,IF($D$127=20,R181,IF($D$127=22,"",)))))))))</f>
        <v>0</v>
      </c>
      <c r="F196" s="167" t="str">
        <f aca="false">IF($D$127=5,$S$174,IF($D$127=6,$S$174,IF($D$127=8,$S$176,IF($D$127=10,"",IF($D$127=12,$S$175,IF($D$127=14,"",IF($D$127=18,$S$174,IF($D$127=20,$S$175,IF($D$127=22,"",)))))))))</f>
        <v>02-022</v>
      </c>
      <c r="G196" s="167" t="str">
        <f aca="false">IF($D$127=5,$T$174,IF($D$127=6,$T$174,IF($D$127=8,$T$176,IF($D$127=10,"",IF($D$127=12,$T$175,IF($D$127=14,"",IF($D$127=18,$T$174,IF($D$127=20,$T$175,IF($D$127=22,"",)))))))))</f>
        <v>M</v>
      </c>
      <c r="H196" s="173" t="n">
        <f aca="false">IF($D$127=5,$U$174,IF($D$127=6,$U$174,IF($D$127=8,$U$176,IF($D$127=10,"",IF($D$127=12,$U$175,IF($D$127=14,"",IF($D$127=18,$U$174,IF($D$127=20,$U$175,IF($D$127=22,"")))))))))</f>
        <v>26.104</v>
      </c>
      <c r="I196" s="174" t="n">
        <f aca="false">IF($D$127=5,$V$174,IF($D$127=6,$V$174,IF($D$127=8,$V$176,IF($D$127=10,"",IF($D$127=12,$V$175,IF($D$127=14,"",IF($D$127=18,$V$174,IF($D$127=20,$V$175,IF($D$127=22,"",)))))))))</f>
        <v>100</v>
      </c>
      <c r="J196" s="175" t="n">
        <f aca="false">ROUNDUP((H196)/100,0)</f>
        <v>1</v>
      </c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$J$120*H197</f>
        <v>0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$J$120*H198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/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/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$J$120*H204</f>
        <v>0</v>
      </c>
    </row>
    <row r="205" s="96" customFormat="true" ht="18" hidden="false" customHeight="true" outlineLevel="0" collapsed="false">
      <c r="A205" s="179" t="str">
        <f aca="false">IF(B205="","",+""+1)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$J$120*H205</f>
        <v>0</v>
      </c>
    </row>
    <row r="206" s="96" customFormat="true" ht="18" hidden="false" customHeight="true" outlineLevel="0" collapsed="false">
      <c r="A206" s="200"/>
      <c r="B206" s="98"/>
      <c r="D206" s="98"/>
      <c r="E206" s="97"/>
      <c r="F206" s="98"/>
      <c r="G206" s="98"/>
      <c r="H206" s="98"/>
      <c r="I206" s="196"/>
      <c r="J206" s="196"/>
    </row>
    <row r="207" customFormat="false" ht="18" hidden="false" customHeight="true" outlineLevel="0" collapsed="false">
      <c r="A207" s="97"/>
      <c r="J207" s="92" t="str">
        <f aca="false">LEFT($J$111,13)&amp;"-02"</f>
        <v>FG-240-4P3L1R-02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516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3440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517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3414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519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3440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97"/>
      <c r="H252" s="97"/>
      <c r="I252" s="196"/>
      <c r="J252" s="196"/>
    </row>
    <row r="253" s="96" customFormat="true" ht="15.75" hidden="false" customHeight="true" outlineLevel="0" collapsed="false">
      <c r="A253" s="191"/>
      <c r="B253" s="191"/>
      <c r="D253" s="192"/>
      <c r="E253" s="191"/>
      <c r="F253" s="191"/>
      <c r="G253" s="97"/>
      <c r="H253" s="97"/>
      <c r="I253" s="196"/>
      <c r="J253" s="196"/>
    </row>
    <row r="254" s="96" customFormat="true" ht="15.75" hidden="false" customHeight="true" outlineLevel="0" collapsed="false">
      <c r="A254" s="190"/>
      <c r="B254" s="190"/>
      <c r="C254" s="184" t="s">
        <v>520</v>
      </c>
      <c r="D254" s="194"/>
      <c r="E254" s="190"/>
      <c r="F254" s="189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459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460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5" t="n">
        <f aca="false">$I$136</f>
        <v>3440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7" t="n">
        <f aca="false">$J$136</f>
        <v>1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C262" s="98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184" t="s">
        <v>586</v>
      </c>
      <c r="D264" s="98"/>
      <c r="E264" s="97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522</v>
      </c>
      <c r="D265" s="181"/>
      <c r="E265" s="181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468</v>
      </c>
      <c r="D266" s="181"/>
      <c r="E266" s="181"/>
      <c r="F266" s="97"/>
      <c r="G266" s="97"/>
      <c r="H266" s="97"/>
      <c r="J266" s="97"/>
    </row>
    <row r="267" s="96" customFormat="true" ht="15.75" hidden="false" customHeight="true" outlineLevel="0" collapsed="false">
      <c r="A267" s="200"/>
      <c r="C267" s="185" t="n">
        <f aca="false">$I$137</f>
        <v>2500</v>
      </c>
      <c r="D267" s="98"/>
      <c r="E267" s="97"/>
      <c r="F267" s="97"/>
      <c r="J267" s="97"/>
    </row>
    <row r="268" s="96" customFormat="true" ht="15.75" hidden="false" customHeight="true" outlineLevel="0" collapsed="false">
      <c r="A268" s="200"/>
      <c r="C268" s="187" t="n">
        <f aca="false">$J$137+$J$138</f>
        <v>2</v>
      </c>
      <c r="D268" s="98"/>
      <c r="E268" s="97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I272" s="196"/>
      <c r="J272" s="196"/>
    </row>
    <row r="273" s="96" customFormat="true" ht="15.75" hidden="false" customHeight="true" outlineLevel="0" collapsed="false">
      <c r="A273" s="200"/>
      <c r="D273" s="98"/>
      <c r="E273" s="97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C274" s="184" t="s">
        <v>523</v>
      </c>
      <c r="D274" s="201"/>
      <c r="E274" s="196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1" t="s">
        <v>470</v>
      </c>
      <c r="D275" s="181"/>
      <c r="E275" s="181"/>
      <c r="F275" s="97"/>
      <c r="G275" s="97"/>
      <c r="I275" s="97"/>
      <c r="J275" s="196"/>
    </row>
    <row r="276" s="96" customFormat="true" ht="15.75" hidden="false" customHeight="true" outlineLevel="0" collapsed="false">
      <c r="A276" s="200"/>
      <c r="C276" s="181" t="s">
        <v>471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5" t="n">
        <f aca="false">$I$139</f>
        <v>2404</v>
      </c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7" t="n">
        <f aca="false">$J$139+$J$140</f>
        <v>2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F279" s="97"/>
      <c r="G279" s="97"/>
      <c r="H279" s="97"/>
      <c r="J279" s="97"/>
    </row>
    <row r="280" s="96" customFormat="true" ht="15.75" hidden="false" customHeight="true" outlineLevel="0" collapsed="false">
      <c r="A280" s="200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D281" s="98"/>
      <c r="E281" s="97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J282" s="97"/>
    </row>
    <row r="283" s="96" customFormat="true" ht="15.75" hidden="false" customHeight="true" outlineLevel="0" collapsed="false">
      <c r="A283" s="200"/>
      <c r="F283" s="97"/>
      <c r="G283" s="97"/>
      <c r="H283" s="97"/>
      <c r="I283" s="201"/>
      <c r="J283" s="196"/>
    </row>
    <row r="284" s="96" customFormat="true" ht="15.75" hidden="false" customHeight="true" outlineLevel="0" collapsed="false">
      <c r="A284" s="200"/>
      <c r="C284" s="184" t="s">
        <v>524</v>
      </c>
      <c r="F284" s="97"/>
      <c r="G284" s="97"/>
      <c r="H284" s="97"/>
      <c r="I284" s="97"/>
      <c r="J284" s="196"/>
    </row>
    <row r="285" s="96" customFormat="true" ht="15.75" hidden="false" customHeight="true" outlineLevel="0" collapsed="false">
      <c r="A285" s="200"/>
      <c r="C285" s="83" t="s">
        <v>589</v>
      </c>
      <c r="D285" s="98"/>
      <c r="E285" s="97"/>
      <c r="F285" s="97"/>
      <c r="G285" s="97"/>
      <c r="H285" s="97"/>
      <c r="I285" s="196"/>
      <c r="J285" s="196"/>
    </row>
    <row r="286" s="96" customFormat="true" ht="15.75" hidden="false" customHeight="true" outlineLevel="0" collapsed="false">
      <c r="A286" s="200"/>
      <c r="C286" s="181" t="s">
        <v>590</v>
      </c>
      <c r="D286" s="98"/>
      <c r="E286" s="97"/>
      <c r="F286" s="97"/>
      <c r="G286" s="97"/>
      <c r="H286" s="97"/>
      <c r="I286" s="196"/>
      <c r="J286" s="196"/>
    </row>
    <row r="287" s="96" customFormat="true" ht="15.75" hidden="false" customHeight="true" outlineLevel="0" collapsed="false">
      <c r="A287" s="200"/>
      <c r="C287" s="181" t="s">
        <v>475</v>
      </c>
      <c r="D287" s="181"/>
      <c r="E287" s="181"/>
      <c r="F287" s="97"/>
      <c r="G287" s="97"/>
      <c r="I287" s="196"/>
      <c r="J287" s="196"/>
    </row>
    <row r="288" s="202" customFormat="true" ht="15.75" hidden="false" customHeight="true" outlineLevel="0" collapsed="false">
      <c r="A288" s="200"/>
      <c r="B288" s="96"/>
      <c r="C288" s="181" t="s">
        <v>476</v>
      </c>
      <c r="D288" s="181"/>
      <c r="E288" s="181"/>
      <c r="F288" s="97"/>
      <c r="G288" s="97"/>
      <c r="H288" s="96"/>
      <c r="I288" s="97"/>
      <c r="J288" s="97"/>
    </row>
    <row r="289" s="96" customFormat="true" ht="15.75" hidden="false" customHeight="true" outlineLevel="0" collapsed="false">
      <c r="A289" s="200"/>
      <c r="C289" s="185" t="n">
        <f aca="false">$I$141</f>
        <v>855</v>
      </c>
      <c r="F289" s="97"/>
      <c r="G289" s="97"/>
      <c r="I289" s="191"/>
      <c r="J289" s="199"/>
    </row>
    <row r="290" s="96" customFormat="true" ht="15.75" hidden="false" customHeight="true" outlineLevel="0" collapsed="false">
      <c r="A290" s="200"/>
      <c r="C290" s="187" t="n">
        <f aca="false">$J$141+$J$142</f>
        <v>8</v>
      </c>
      <c r="D290" s="98"/>
      <c r="E290" s="97"/>
      <c r="F290" s="97"/>
      <c r="G290" s="97"/>
      <c r="H290" s="98"/>
      <c r="I290" s="189"/>
      <c r="J290" s="190"/>
    </row>
    <row r="291" s="96" customFormat="true" ht="15.75" hidden="false" customHeight="true" outlineLevel="0" collapsed="false">
      <c r="A291" s="200"/>
      <c r="C291" s="185" t="n">
        <f aca="false">$I$143</f>
        <v>2408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C292" s="187" t="n">
        <f aca="false">$J$143+$J$144+$J$145</f>
        <v>8</v>
      </c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D293" s="98"/>
      <c r="E293" s="97"/>
      <c r="F293" s="97"/>
      <c r="G293" s="97"/>
      <c r="H293" s="97"/>
      <c r="I293" s="196"/>
      <c r="J293" s="196"/>
    </row>
    <row r="294" s="96" customFormat="true" ht="15.75" hidden="false" customHeight="true" outlineLevel="0" collapsed="false">
      <c r="A294" s="200"/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202"/>
      <c r="D295" s="98"/>
      <c r="E295" s="97"/>
      <c r="F295" s="97"/>
      <c r="G295" s="97"/>
      <c r="H295" s="97"/>
      <c r="I295" s="97"/>
      <c r="J295" s="196"/>
    </row>
    <row r="296" s="96" customFormat="true" ht="15.75" hidden="false" customHeight="true" outlineLevel="0" collapsed="false">
      <c r="A296" s="200"/>
      <c r="C296" s="184" t="s">
        <v>630</v>
      </c>
      <c r="D296" s="98"/>
      <c r="E296" s="97"/>
      <c r="F296" s="97"/>
      <c r="G296" s="97"/>
      <c r="H296" s="97"/>
      <c r="I296" s="97"/>
      <c r="J296" s="196"/>
    </row>
    <row r="297" s="96" customFormat="true" ht="15.75" hidden="false" customHeight="true" outlineLevel="0" collapsed="false">
      <c r="A297" s="200"/>
      <c r="C297" s="83" t="s">
        <v>589</v>
      </c>
      <c r="D297" s="98"/>
      <c r="E297" s="97"/>
      <c r="F297" s="97"/>
      <c r="G297" s="191"/>
      <c r="H297" s="191"/>
      <c r="I297" s="97"/>
      <c r="J297" s="196"/>
    </row>
    <row r="298" s="96" customFormat="true" ht="15.75" hidden="false" customHeight="true" outlineLevel="0" collapsed="false">
      <c r="A298" s="200"/>
      <c r="C298" s="181" t="s">
        <v>590</v>
      </c>
      <c r="D298" s="181"/>
      <c r="E298" s="181"/>
      <c r="F298" s="97"/>
      <c r="G298" s="190"/>
      <c r="H298" s="189"/>
      <c r="I298" s="97"/>
      <c r="J298" s="196"/>
    </row>
    <row r="299" s="96" customFormat="true" ht="15.75" hidden="false" customHeight="true" outlineLevel="0" collapsed="false">
      <c r="A299" s="107"/>
      <c r="C299" s="181" t="s">
        <v>478</v>
      </c>
      <c r="D299" s="181"/>
      <c r="E299" s="181"/>
      <c r="F299" s="97"/>
      <c r="G299" s="97"/>
      <c r="H299" s="97"/>
      <c r="I299" s="97"/>
      <c r="J299" s="196"/>
    </row>
    <row r="300" s="96" customFormat="true" ht="15.75" hidden="false" customHeight="true" outlineLevel="0" collapsed="false">
      <c r="A300" s="191"/>
      <c r="B300" s="191"/>
      <c r="C300" s="181" t="s">
        <v>479</v>
      </c>
      <c r="D300" s="203"/>
      <c r="E300" s="204"/>
      <c r="F300" s="191"/>
      <c r="G300" s="97"/>
      <c r="H300" s="97"/>
      <c r="I300" s="97"/>
      <c r="J300" s="196"/>
    </row>
    <row r="301" s="96" customFormat="true" ht="15.75" hidden="false" customHeight="true" outlineLevel="0" collapsed="false">
      <c r="A301" s="190"/>
      <c r="B301" s="190"/>
      <c r="C301" s="185" t="n">
        <f aca="false">$I$146</f>
        <v>743.8125</v>
      </c>
      <c r="D301" s="205"/>
      <c r="E301" s="206"/>
      <c r="F301" s="189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7" t="n">
        <f aca="false">$J$146</f>
        <v>8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5" t="n">
        <f aca="false">$I$147</f>
        <v>2258</v>
      </c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C304" s="187" t="n">
        <f aca="false">$J$147</f>
        <v>8</v>
      </c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C306" s="184" t="s">
        <v>591</v>
      </c>
      <c r="D306" s="98"/>
      <c r="E306" s="97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1" t="s">
        <v>475</v>
      </c>
      <c r="D307" s="181"/>
      <c r="E307" s="181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249" t="s">
        <v>476</v>
      </c>
      <c r="D308" s="249"/>
      <c r="E308" s="249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5" t="n">
        <f aca="false">$I$148</f>
        <v>2408</v>
      </c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7" t="n">
        <f aca="false">$J$148+$J$149</f>
        <v>2</v>
      </c>
      <c r="D310" s="181"/>
      <c r="E310" s="181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LEFT($J$111,13)&amp;"-03"</f>
        <v>FG-240-4P3L1R-03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A316" s="97"/>
      <c r="B316" s="49"/>
      <c r="C316" s="49"/>
      <c r="D316" s="207"/>
      <c r="E316" s="200"/>
      <c r="F316" s="200"/>
      <c r="G316" s="200"/>
      <c r="H316" s="200"/>
      <c r="I316" s="208"/>
      <c r="J316" s="77" t="str">
        <f aca="false">$J$2</f>
        <v>HOMELIFE</v>
      </c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188"/>
      <c r="D323" s="73"/>
      <c r="I323" s="183"/>
      <c r="J323" s="99"/>
    </row>
    <row r="324" s="96" customFormat="true" ht="15" hidden="false" customHeight="true" outlineLevel="0" collapsed="false">
      <c r="A324" s="97"/>
      <c r="B324" s="81"/>
      <c r="D324" s="98"/>
      <c r="E324" s="83"/>
      <c r="F324" s="183"/>
      <c r="G324" s="183"/>
      <c r="H324" s="183"/>
      <c r="I324" s="83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240-4 Panel (3L1R)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195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202" customFormat="true" ht="15.75" hidden="false" customHeight="true" outlineLevel="0" collapsed="false">
      <c r="A403" s="107"/>
      <c r="B403" s="96"/>
      <c r="C403" s="96"/>
      <c r="D403" s="98"/>
      <c r="E403" s="97"/>
      <c r="F403" s="97"/>
      <c r="G403" s="97"/>
      <c r="H403" s="97"/>
      <c r="I403" s="97"/>
      <c r="J403" s="97"/>
    </row>
    <row r="404" s="96" customFormat="true" ht="15.75" hidden="false" customHeight="true" outlineLevel="0" collapsed="false">
      <c r="A404" s="191"/>
      <c r="D404" s="98"/>
      <c r="E404" s="97"/>
      <c r="F404" s="97"/>
      <c r="G404" s="97"/>
      <c r="H404" s="97"/>
      <c r="I404" s="191"/>
      <c r="J404" s="199"/>
    </row>
    <row r="405" s="96" customFormat="true" ht="15.75" hidden="false" customHeight="true" outlineLevel="0" collapsed="false">
      <c r="A405" s="191"/>
      <c r="B405" s="191"/>
      <c r="C405" s="191"/>
      <c r="D405" s="192"/>
      <c r="E405" s="191"/>
      <c r="F405" s="191"/>
      <c r="G405" s="191"/>
      <c r="H405" s="191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LEFT($J$111,13)&amp;"-04"</f>
        <v>FG-240-4P3L1R-04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77" t="str">
        <f aca="false">$J$2</f>
        <v>HOMELIFE</v>
      </c>
      <c r="K423" s="78"/>
      <c r="L423" s="78"/>
      <c r="M423" s="79"/>
      <c r="N423" s="79"/>
    </row>
    <row r="424" customFormat="false" ht="24.75" hidden="false" customHeight="true" outlineLevel="0" collapsed="false">
      <c r="A424" s="97"/>
      <c r="B424" s="96"/>
      <c r="C424" s="96"/>
      <c r="D424" s="98"/>
      <c r="E424" s="97"/>
      <c r="F424" s="97"/>
      <c r="G424" s="97"/>
      <c r="H424" s="97"/>
      <c r="I424" s="97"/>
      <c r="J424" s="80" t="str">
        <f aca="false">$J$3</f>
        <v>Fabricators Guide</v>
      </c>
      <c r="K424" s="78"/>
      <c r="L424" s="78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$J$4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240-4 Panel (3L1R)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191"/>
      <c r="C442" s="212"/>
      <c r="D442" s="98"/>
      <c r="E442" s="97"/>
      <c r="F442" s="97"/>
      <c r="H442" s="191"/>
      <c r="I442" s="191"/>
      <c r="J442" s="199"/>
    </row>
    <row r="443" s="96" customFormat="true" ht="15.75" hidden="false" customHeight="true" outlineLevel="0" collapsed="false">
      <c r="A443" s="190"/>
      <c r="C443" s="191"/>
      <c r="D443" s="192"/>
      <c r="E443" s="191"/>
      <c r="F443" s="191"/>
      <c r="H443" s="191"/>
      <c r="I443" s="191"/>
      <c r="J443" s="199"/>
    </row>
    <row r="444" s="96" customFormat="true" ht="34.5" hidden="false" customHeight="true" outlineLevel="0" collapsed="false">
      <c r="A444" s="97"/>
      <c r="C444" s="98"/>
      <c r="D444" s="194"/>
      <c r="E444" s="190"/>
      <c r="F444" s="189"/>
      <c r="H444" s="191"/>
      <c r="I444" s="196"/>
      <c r="J444" s="196"/>
    </row>
    <row r="445" customFormat="false" ht="15" hidden="false" customHeight="true" outlineLevel="0" collapsed="false">
      <c r="B445" s="211"/>
      <c r="C445" s="98"/>
      <c r="D445" s="98"/>
      <c r="E445" s="97"/>
      <c r="F445" s="98"/>
      <c r="G445" s="97"/>
      <c r="H445" s="97"/>
    </row>
    <row r="450" s="96" customFormat="true" ht="15.75" hidden="false" customHeight="true" outlineLevel="0" collapsed="false">
      <c r="A450" s="97"/>
      <c r="D450" s="73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191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97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196"/>
      <c r="J457" s="196"/>
    </row>
    <row r="458" s="96" customFormat="true" ht="15.7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195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202" customFormat="true" ht="15.75" hidden="false" customHeight="true" outlineLevel="0" collapsed="false">
      <c r="A477" s="97"/>
      <c r="B477" s="96"/>
      <c r="C477" s="96"/>
      <c r="D477" s="98"/>
      <c r="E477" s="97"/>
      <c r="F477" s="97"/>
      <c r="G477" s="97"/>
      <c r="H477" s="97"/>
      <c r="I477" s="97"/>
      <c r="J477" s="97"/>
    </row>
    <row r="478" s="96" customFormat="true" ht="15.75" hidden="false" customHeight="true" outlineLevel="0" collapsed="false">
      <c r="A478" s="191"/>
      <c r="D478" s="98"/>
      <c r="E478" s="97"/>
      <c r="F478" s="97"/>
      <c r="G478" s="97"/>
      <c r="H478" s="97"/>
      <c r="I478" s="191"/>
      <c r="J478" s="199"/>
    </row>
    <row r="479" s="96" customFormat="true" ht="15.75" hidden="false" customHeight="true" outlineLevel="0" collapsed="false">
      <c r="A479" s="190"/>
      <c r="B479" s="191"/>
      <c r="C479" s="191"/>
      <c r="D479" s="192"/>
      <c r="E479" s="191"/>
      <c r="F479" s="191"/>
      <c r="G479" s="191"/>
      <c r="H479" s="191"/>
      <c r="I479" s="189"/>
      <c r="J479" s="190"/>
    </row>
    <row r="480" s="96" customFormat="true" ht="15.75" hidden="false" customHeight="true" outlineLevel="0" collapsed="false">
      <c r="A480" s="200"/>
      <c r="B480" s="190"/>
      <c r="C480" s="191"/>
      <c r="D480" s="194"/>
      <c r="E480" s="190"/>
      <c r="F480" s="189"/>
      <c r="G480" s="190"/>
      <c r="H480" s="189"/>
      <c r="I480" s="196"/>
      <c r="J480" s="196"/>
    </row>
    <row r="481" s="96" customFormat="true" ht="15.75" hidden="false" customHeight="true" outlineLevel="0" collapsed="false">
      <c r="A481" s="200"/>
      <c r="C481" s="182"/>
      <c r="D481" s="98"/>
      <c r="E481" s="97"/>
      <c r="F481" s="97"/>
      <c r="G481" s="97"/>
      <c r="H481" s="182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C487" s="98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182"/>
      <c r="J499" s="97"/>
    </row>
    <row r="500" s="96" customFormat="true" ht="15.75" hidden="false" customHeight="true" outlineLevel="0" collapsed="false">
      <c r="A500" s="200"/>
      <c r="C500" s="188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I501" s="196"/>
      <c r="J501" s="196"/>
    </row>
    <row r="502" s="96" customFormat="true" ht="15.75" hidden="false" customHeight="true" outlineLevel="0" collapsed="false">
      <c r="A502" s="200"/>
      <c r="C502" s="98"/>
      <c r="D502" s="98"/>
      <c r="E502" s="97"/>
      <c r="F502" s="97"/>
      <c r="G502" s="97"/>
      <c r="H502" s="182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196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196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212"/>
      <c r="J513" s="195"/>
    </row>
    <row r="514" s="96" customFormat="true" ht="15.75" hidden="false" customHeight="true" outlineLevel="0" collapsed="false">
      <c r="A514" s="191"/>
      <c r="B514" s="191"/>
      <c r="C514" s="191"/>
      <c r="D514" s="192"/>
      <c r="E514" s="191"/>
      <c r="F514" s="191"/>
      <c r="G514" s="191"/>
      <c r="H514" s="191"/>
      <c r="I514" s="191"/>
      <c r="J514" s="199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B516" s="191"/>
      <c r="C516" s="191"/>
      <c r="D516" s="192"/>
      <c r="E516" s="191"/>
      <c r="F516" s="191"/>
      <c r="G516" s="191"/>
      <c r="H516" s="191"/>
    </row>
    <row r="517" s="96" customFormat="true" ht="15.75" hidden="false" customHeight="true" outlineLevel="0" collapsed="false"/>
    <row r="518" s="96" customFormat="true" ht="24.75" hidden="false" customHeight="true" outlineLevel="0" collapsed="false">
      <c r="A518" s="88" t="s">
        <v>482</v>
      </c>
      <c r="B518" s="88"/>
      <c r="C518" s="88"/>
      <c r="D518" s="88"/>
      <c r="E518" s="88"/>
      <c r="F518" s="88"/>
      <c r="G518" s="88"/>
      <c r="H518" s="88"/>
      <c r="I518" s="88"/>
      <c r="J518" s="88"/>
    </row>
    <row r="519" s="96" customFormat="true" ht="34.5" hidden="false" customHeight="true" outlineLevel="0" collapsed="false">
      <c r="A519" s="114" t="s">
        <v>319</v>
      </c>
      <c r="B519" s="115" t="s">
        <v>168</v>
      </c>
      <c r="C519" s="115" t="s">
        <v>168</v>
      </c>
      <c r="D519" s="116" t="s">
        <v>483</v>
      </c>
      <c r="E519" s="115" t="s">
        <v>321</v>
      </c>
      <c r="F519" s="239" t="s">
        <v>484</v>
      </c>
      <c r="G519" s="240"/>
      <c r="H519" s="116" t="s">
        <v>484</v>
      </c>
      <c r="I519" s="116" t="s">
        <v>485</v>
      </c>
      <c r="J519" s="117" t="s">
        <v>323</v>
      </c>
      <c r="N519" s="118" t="s">
        <v>168</v>
      </c>
      <c r="O519" s="118" t="s">
        <v>168</v>
      </c>
    </row>
    <row r="520" s="96" customFormat="true" ht="15.75" hidden="false" customHeight="true" outlineLevel="0" collapsed="false">
      <c r="A520" s="120" t="n">
        <f aca="false">IF(C520="","",1)</f>
        <v>1</v>
      </c>
      <c r="B520" s="121" t="str">
        <f aca="false"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 aca="false">IF($D$127=5,O520,IF($D$127=6,O521,IF($D$127=8,O522,IF($D$127=10,O523,IF($D$127=12,O524,IF($D$127=14,O525,IF($D$127=18,O526,IF($D$127=20,O527,IF($D$127=22,O528,)))))))))</f>
        <v>GLASS thk.6 mm (H) (W)</v>
      </c>
      <c r="D520" s="123" t="n">
        <f aca="false">$J$123-215</f>
        <v>2285</v>
      </c>
      <c r="E520" s="120" t="s">
        <v>486</v>
      </c>
      <c r="F520" s="224" t="s">
        <v>487</v>
      </c>
      <c r="G520" s="224"/>
      <c r="H520" s="120" t="s">
        <v>592</v>
      </c>
      <c r="I520" s="225" t="n">
        <f aca="false">(($J$126-185-(113.25*3))/4)-13</f>
        <v>730.8125</v>
      </c>
      <c r="J520" s="226" t="n">
        <f aca="false">$J$120*4</f>
        <v>4</v>
      </c>
      <c r="M520" s="96" t="n">
        <f aca="false">ROW()</f>
        <v>520</v>
      </c>
      <c r="N520" s="62" t="s">
        <v>489</v>
      </c>
      <c r="O520" s="62" t="s">
        <v>490</v>
      </c>
    </row>
    <row r="521" s="96" customFormat="true" ht="15.75" hidden="false" customHeight="true" outlineLevel="0" collapsed="false">
      <c r="A521" s="269"/>
      <c r="B521" s="228"/>
      <c r="C521" s="228"/>
      <c r="D521" s="176"/>
      <c r="E521" s="167"/>
      <c r="F521" s="229"/>
      <c r="G521" s="230"/>
      <c r="H521" s="167"/>
      <c r="I521" s="231"/>
      <c r="J521" s="232"/>
      <c r="M521" s="96" t="n">
        <f aca="false">ROW()</f>
        <v>521</v>
      </c>
      <c r="N521" s="62" t="s">
        <v>491</v>
      </c>
      <c r="O521" s="62" t="s">
        <v>492</v>
      </c>
    </row>
    <row r="522" s="96" customFormat="true" ht="15.75" hidden="false" customHeight="true" outlineLevel="0" collapsed="false">
      <c r="A522" s="269"/>
      <c r="B522" s="228"/>
      <c r="C522" s="228"/>
      <c r="D522" s="176"/>
      <c r="E522" s="167"/>
      <c r="F522" s="229"/>
      <c r="G522" s="230"/>
      <c r="H522" s="167"/>
      <c r="I522" s="231"/>
      <c r="J522" s="232"/>
      <c r="M522" s="96" t="n">
        <f aca="false">ROW()</f>
        <v>522</v>
      </c>
      <c r="N522" s="62" t="s">
        <v>493</v>
      </c>
      <c r="O522" s="62" t="s">
        <v>494</v>
      </c>
    </row>
    <row r="523" s="96" customFormat="true" ht="15.75" hidden="false" customHeight="true" outlineLevel="0" collapsed="false">
      <c r="A523" s="130" t="str">
        <f aca="false">IF(B523="","",+""+1)</f>
        <v/>
      </c>
      <c r="B523" s="131"/>
      <c r="C523" s="131"/>
      <c r="D523" s="132"/>
      <c r="E523" s="130"/>
      <c r="F523" s="233"/>
      <c r="G523" s="270"/>
      <c r="H523" s="130"/>
      <c r="I523" s="142"/>
      <c r="J523" s="133"/>
      <c r="M523" s="96" t="n">
        <f aca="false">ROW()</f>
        <v>523</v>
      </c>
      <c r="N523" s="62" t="s">
        <v>495</v>
      </c>
      <c r="O523" s="62" t="s">
        <v>496</v>
      </c>
    </row>
    <row r="524" s="96" customFormat="true" ht="15.75" hidden="false" customHeight="true" outlineLevel="0" collapsed="false">
      <c r="A524" s="136" t="str">
        <f aca="false">IF(B524="","",+A523+1)</f>
        <v/>
      </c>
      <c r="B524" s="135"/>
      <c r="C524" s="135"/>
      <c r="D524" s="139"/>
      <c r="E524" s="136"/>
      <c r="F524" s="236"/>
      <c r="G524" s="237"/>
      <c r="H524" s="136"/>
      <c r="I524" s="180"/>
      <c r="J524" s="140"/>
      <c r="M524" s="96" t="n">
        <f aca="false">ROW()</f>
        <v>524</v>
      </c>
      <c r="N524" s="62" t="s">
        <v>497</v>
      </c>
      <c r="O524" s="62" t="s">
        <v>498</v>
      </c>
    </row>
    <row r="525" s="96" customFormat="true" ht="15.75" hidden="false" customHeight="true" outlineLevel="0" collapsed="false">
      <c r="A525" s="97"/>
      <c r="D525" s="98"/>
      <c r="E525" s="97"/>
      <c r="F525" s="97"/>
      <c r="G525" s="97"/>
      <c r="H525" s="97"/>
      <c r="I525" s="97"/>
      <c r="J525" s="196"/>
      <c r="M525" s="96" t="n">
        <f aca="false">ROW()</f>
        <v>525</v>
      </c>
      <c r="N525" s="62" t="s">
        <v>499</v>
      </c>
      <c r="O525" s="62" t="s">
        <v>500</v>
      </c>
    </row>
    <row r="526" customFormat="false" ht="14.25" hidden="false" customHeight="false" outlineLevel="0" collapsed="false">
      <c r="J526" s="92" t="str">
        <f aca="false">LEFT($J$111,13)&amp;"-05"</f>
        <v>FG-240-4P3L1R-05</v>
      </c>
      <c r="M526" s="96" t="n">
        <f aca="false">ROW()</f>
        <v>526</v>
      </c>
      <c r="N526" s="62" t="s">
        <v>501</v>
      </c>
      <c r="O526" s="62" t="s">
        <v>502</v>
      </c>
      <c r="P526" s="96"/>
      <c r="Q526" s="96"/>
      <c r="R526" s="96"/>
      <c r="S526" s="96"/>
      <c r="T526" s="96"/>
      <c r="U526" s="96"/>
      <c r="V526" s="96"/>
    </row>
    <row r="527" customFormat="false" ht="14.25" hidden="false" customHeight="false" outlineLevel="0" collapsed="false">
      <c r="M527" s="96" t="n">
        <f aca="false">ROW()</f>
        <v>527</v>
      </c>
      <c r="N527" s="62" t="s">
        <v>503</v>
      </c>
      <c r="O527" s="62" t="s">
        <v>504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505</v>
      </c>
      <c r="O528" s="62" t="s">
        <v>506</v>
      </c>
    </row>
  </sheetData>
  <mergeCells count="45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7"/>
    <mergeCell ref="H163:H167"/>
    <mergeCell ref="I166:J167"/>
    <mergeCell ref="D168:D169"/>
    <mergeCell ref="H168:H169"/>
    <mergeCell ref="I168:J168"/>
    <mergeCell ref="D170:D171"/>
    <mergeCell ref="H170:H171"/>
    <mergeCell ref="A172:J172"/>
    <mergeCell ref="A213:J213"/>
    <mergeCell ref="C308:E308"/>
    <mergeCell ref="A320:J320"/>
    <mergeCell ref="F330:G330"/>
    <mergeCell ref="F331:G331"/>
    <mergeCell ref="F334:G334"/>
    <mergeCell ref="A427:J427"/>
    <mergeCell ref="A518:J518"/>
    <mergeCell ref="F520:G520"/>
  </mergeCells>
  <dataValidations count="4">
    <dataValidation allowBlank="true" errorStyle="stop" operator="between" showDropDown="false" showErrorMessage="true" showInputMessage="true" sqref="D127:G127" type="list">
      <formula1>$N$120:$N$128</formula1>
      <formula2>0</formula2>
    </dataValidation>
    <dataValidation allowBlank="true" errorStyle="stop" operator="between" showDropDown="false" showErrorMessage="true" showInputMessage="true" sqref="C206" type="list">
      <formula1>$Z$174:$Z$192</formula1>
      <formula2>0</formula2>
    </dataValidation>
    <dataValidation allowBlank="true" errorStyle="stop" operator="between" showDropDown="false" showErrorMessage="true" showInputMessage="true" sqref="D129:G129" type="list">
      <formula1>$O$120</formula1>
      <formula2>0</formula2>
    </dataValidation>
    <dataValidation allowBlank="true" errorStyle="stop" operator="between" showDropDown="false" showErrorMessage="true" showInputMessage="true" sqref="D123:G123" type="list">
      <formula1>$P$119:$P$128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Y528"/>
  <sheetViews>
    <sheetView showFormulas="false" showGridLines="false" showRowColHeaders="true" showZeros="true" rightToLeft="false" tabSelected="false" showOutlineSymbols="true" defaultGridColor="true" view="pageBreakPreview" topLeftCell="A148" colorId="64" zoomScale="75" zoomScaleNormal="75" zoomScalePageLayoutView="75" workbookViewId="0">
      <selection pane="topLeft" activeCell="J128" activeCellId="0" sqref="J128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34"/>
    <col collapsed="false" customWidth="true" hidden="false" outlineLevel="0" max="4" min="4" style="73" width="13.44"/>
    <col collapsed="false" customWidth="true" hidden="true" outlineLevel="1" max="5" min="5" style="0" width="12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7.88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false" outlineLevel="0" max="11" min="11" style="0" width="10.44"/>
    <col collapsed="false" customWidth="true" hidden="false" outlineLevel="0" max="12" min="12" style="0" width="10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3.44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631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>
      <c r="G45" s="91"/>
    </row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632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5" hidden="false" customHeight="true" outlineLevel="0" collapsed="false">
      <c r="A118" s="97"/>
      <c r="C118" s="81"/>
      <c r="D118" s="98"/>
      <c r="E118" s="83"/>
      <c r="J118" s="99"/>
      <c r="K118" s="83"/>
    </row>
    <row r="119" s="96" customFormat="true" ht="15" hidden="false" customHeight="true" outlineLevel="0" collapsed="false">
      <c r="A119" s="97"/>
      <c r="C119" s="100" t="s">
        <v>286</v>
      </c>
      <c r="D119" s="271" t="s">
        <v>633</v>
      </c>
      <c r="E119" s="271"/>
      <c r="F119" s="271"/>
      <c r="G119" s="271"/>
      <c r="I119" s="83"/>
      <c r="J119" s="97"/>
      <c r="N119" s="258" t="s">
        <v>288</v>
      </c>
      <c r="O119" s="97" t="s">
        <v>289</v>
      </c>
      <c r="P119" s="102" t="s">
        <v>290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5</v>
      </c>
      <c r="O120" s="97" t="s">
        <v>509</v>
      </c>
      <c r="P120" s="106" t="s">
        <v>294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6</v>
      </c>
      <c r="O121" s="97" t="s">
        <v>296</v>
      </c>
      <c r="P121" s="106" t="s">
        <v>297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8</v>
      </c>
      <c r="P122" s="106" t="s">
        <v>299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303</v>
      </c>
      <c r="E123" s="101"/>
      <c r="F123" s="101"/>
      <c r="G123" s="101"/>
      <c r="H123" s="104" t="s">
        <v>302</v>
      </c>
      <c r="I123" s="104"/>
      <c r="J123" s="105" t="n">
        <v>2385</v>
      </c>
      <c r="N123" s="259" t="n">
        <v>10</v>
      </c>
      <c r="P123" s="106" t="s">
        <v>303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12</v>
      </c>
      <c r="P124" s="106" t="s">
        <v>305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14</v>
      </c>
      <c r="P125" s="106" t="s">
        <v>308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2385</v>
      </c>
      <c r="K126" s="110"/>
      <c r="L126" s="110"/>
      <c r="N126" s="259" t="n">
        <v>18</v>
      </c>
      <c r="P126" s="106" t="s">
        <v>311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259" t="n">
        <v>20</v>
      </c>
      <c r="P127" s="106" t="s">
        <v>313</v>
      </c>
    </row>
    <row r="128" s="96" customFormat="true" ht="18.75" hidden="false" customHeight="true" outlineLevel="0" collapsed="false">
      <c r="C128" s="108" t="s">
        <v>314</v>
      </c>
      <c r="D128" s="98"/>
      <c r="E128" s="97"/>
      <c r="F128" s="78"/>
      <c r="I128" s="97"/>
      <c r="J128" s="97"/>
      <c r="N128" s="259" t="n">
        <v>22</v>
      </c>
      <c r="P128" s="106" t="s">
        <v>315</v>
      </c>
    </row>
    <row r="129" s="96" customFormat="true" ht="15" hidden="false" customHeight="true" outlineLevel="0" collapsed="false">
      <c r="A129" s="89" t="str">
        <f aca="false">A18</f>
        <v>240-4 Panel (4L)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  <c r="P129" s="96" t="s">
        <v>634</v>
      </c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330</v>
      </c>
      <c r="G133" s="120" t="n">
        <v>1</v>
      </c>
      <c r="H133" s="120" t="s">
        <v>331</v>
      </c>
      <c r="I133" s="123" t="n">
        <f aca="false">$J$126-60</f>
        <v>2325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8</v>
      </c>
      <c r="U133" s="127" t="s">
        <v>635</v>
      </c>
      <c r="V133" s="128" t="n">
        <f aca="false">($J$126-182-(113.25*3))/4</f>
        <v>465.8125</v>
      </c>
      <c r="W133" s="129" t="n">
        <f aca="false">$J$121*T133</f>
        <v>0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2299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8</v>
      </c>
      <c r="U134" s="127" t="s">
        <v>635</v>
      </c>
      <c r="V134" s="128" t="n">
        <f aca="false">($J$126-182-(113.25*3))/4</f>
        <v>465.8125</v>
      </c>
      <c r="W134" s="134" t="n">
        <f aca="false">$J$121*T134</f>
        <v>0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1.377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2325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8</v>
      </c>
      <c r="U135" s="127" t="s">
        <v>635</v>
      </c>
      <c r="V135" s="128" t="n">
        <f aca="false">($J$126-182-(113.25*3))/4</f>
        <v>465.8125</v>
      </c>
      <c r="W135" s="137" t="n">
        <f aca="false">$J$121*T135</f>
        <v>0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2325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8</v>
      </c>
      <c r="U136" s="127" t="s">
        <v>360</v>
      </c>
      <c r="V136" s="138" t="n">
        <f aca="false">$J$123-242</f>
        <v>2143</v>
      </c>
      <c r="W136" s="129" t="n">
        <f aca="false">$J$121*T136</f>
        <v>0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2385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8</v>
      </c>
      <c r="U137" s="130" t="s">
        <v>360</v>
      </c>
      <c r="V137" s="133" t="n">
        <f aca="false">$J$123-242</f>
        <v>2143</v>
      </c>
      <c r="W137" s="134" t="n">
        <f aca="false">$J$121*T137</f>
        <v>0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2385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8</v>
      </c>
      <c r="U138" s="136" t="s">
        <v>360</v>
      </c>
      <c r="V138" s="140" t="n">
        <f aca="false">$J$123-242</f>
        <v>2143</v>
      </c>
      <c r="W138" s="137" t="n">
        <f aca="false">$J$121*T138</f>
        <v>0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2289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2289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4</v>
      </c>
      <c r="H141" s="130" t="s">
        <v>575</v>
      </c>
      <c r="I141" s="141" t="n">
        <f aca="false">($J$126-60-(4+1)*4)/4</f>
        <v>576.25</v>
      </c>
      <c r="J141" s="134" t="n">
        <f aca="false">$J$120*G141</f>
        <v>4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4</v>
      </c>
      <c r="H142" s="130" t="s">
        <v>575</v>
      </c>
      <c r="I142" s="141" t="n">
        <f aca="false">($J$126-60-(4+1)*4)/4</f>
        <v>576.25</v>
      </c>
      <c r="J142" s="134" t="n">
        <f aca="false">$J$120*G142</f>
        <v>4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6</v>
      </c>
      <c r="H143" s="130" t="s">
        <v>389</v>
      </c>
      <c r="I143" s="133" t="n">
        <f aca="false">$J$123-92</f>
        <v>2293</v>
      </c>
      <c r="J143" s="134" t="n">
        <f aca="false">$J$120*G143</f>
        <v>6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2</v>
      </c>
      <c r="H144" s="130" t="s">
        <v>389</v>
      </c>
      <c r="I144" s="133" t="n">
        <f aca="false">$J$123-92</f>
        <v>2293</v>
      </c>
      <c r="J144" s="134" t="n">
        <f aca="false">$J$120*G144</f>
        <v>2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5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5" s="131" t="str">
        <f aca="false">IF($D$127=5,Q133,IF($D$127=6,Q133,IF($D$127=8,Q134,IF($D$127=10,Q134,IF($D$127=12,Q134,IF($D$127=14,Q135,IF($D$127=18,Q135,IF($D$127=20,Q135,IF($D$127=22,Q135,)))))))))</f>
        <v>B24008</v>
      </c>
      <c r="E145" s="131" t="n">
        <f aca="false">IF($D$127=5,R133,IF($D$127=6,R133,IF($D$127=8,R134,IF($D$127=10,R134,IF($D$127=12,R134,IF($D$127=14,R135,IF($D$127=18,R135,IF($D$127=20,R135,IF($D$127=22,R135,)))))))))</f>
        <v>0.231</v>
      </c>
      <c r="F145" s="131" t="str">
        <f aca="false">IF($D$127=5,S133,IF($D$127=6,S133,IF($D$127=8,S134,IF($D$127=10,S134,IF($D$127=12,S134,IF($D$127=14,S135,IF($D$127=18,S135,IF($D$127=20,S135,IF($D$127=22,S135,)))))))))</f>
        <v>B24008-001</v>
      </c>
      <c r="G145" s="130" t="n">
        <f aca="false">IF($D$127=5,T133,IF($D$127=6,T133,IF($D$127=8,T134,IF($D$127=10,T134,IF($D$127=12,T134,IF($D$127=14,T135,IF($D$127=18,T135,IF($D$127=20,T135,IF($D$127=22,T135,)))))))))</f>
        <v>8</v>
      </c>
      <c r="H145" s="130" t="str">
        <f aca="false">IF($D$127=5,U133,IF($D$127=6,U133,IF($D$127=8,U134,IF($D$127=10,U134,IF($D$127=12,U134,IF($D$127=14,U135,IF($D$127=18,U135,IF($D$127=20,U135,IF($D$127=22,U135,)))))))))</f>
        <v>(W-182-(113.25 × 3))/4</v>
      </c>
      <c r="I145" s="141" t="n">
        <f aca="false">IF($D$127=5,V133,IF($D$127=6,V133,IF($D$127=8,V134,IF($D$127=10,V134,IF($D$127=12,V134,IF($D$127=14,V135,IF($D$127=18,V135,IF($D$127=20,V135,IF($D$127=22,V135,)))))))))</f>
        <v>465.8125</v>
      </c>
      <c r="J145" s="134" t="n">
        <f aca="false">$J$120*G145</f>
        <v>8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6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6" s="131" t="str">
        <f aca="false">IF($D$127=5,Q136,IF($D$127=6,Q136,IF($D$127=8,Q137,IF($D$127=10,Q137,IF($D$127=12,Q137,IF($D$127=14,Q138,IF($D$127=18,Q138,IF($D$127=20,Q138,IF($D$127=22,Q138,)))))))))</f>
        <v>B24008</v>
      </c>
      <c r="E146" s="131" t="n">
        <f aca="false">IF($D$127=5,R136,IF($D$127=6,R136,IF($D$127=8,R137,IF($D$127=10,R137,IF($D$127=12,R137,IF($D$127=14,R138,IF($D$127=18,R138,IF($D$127=20,R138,IF($D$127=22,R138,)))))))))</f>
        <v>0.231</v>
      </c>
      <c r="F146" s="131" t="str">
        <f aca="false">IF($D$127=5,S136,IF($D$127=6,S136,IF($D$127=8,S137,IF($D$127=10,S137,IF($D$127=12,S137,IF($D$127=14,S138,IF($D$127=18,S138,IF($D$127=20,S138,IF($D$127=22,S138,)))))))))</f>
        <v>B24008-002</v>
      </c>
      <c r="G146" s="130" t="n">
        <f aca="false">IF($D$127=5,T136,IF($D$127=6,T136,IF($D$127=8,T137,IF($D$127=10,T137,IF($D$127=12,T137,IF($D$127=14,T138,IF($D$127=18,T138,IF($D$127=20,T138,IF($D$127=22,T138,)))))))))</f>
        <v>8</v>
      </c>
      <c r="H146" s="130" t="str">
        <f aca="false">IF($D$127=5,U136,IF($D$127=6,U136,IF($D$127=8,U137,IF($D$127=10,U137,IF($D$127=12,U137,IF($D$127=14,U138,IF($D$127=18,U138,IF($D$127=20,U138,IF($D$127=22,U138,)))))))))</f>
        <v>H-242</v>
      </c>
      <c r="I146" s="133" t="n">
        <f aca="false">IF($D$127=5,V136,IF($D$127=6,V136,IF($D$127=8,V137,IF($D$127=10,V137,IF($D$127=12,V137,IF($D$127=14,V138,IF($D$127=18,V138,IF($D$127=20,V138,IF($D$127=22,V138,)))))))))</f>
        <v>2143</v>
      </c>
      <c r="J146" s="134" t="n">
        <f aca="false">$J$120*G146</f>
        <v>8</v>
      </c>
    </row>
    <row r="147" s="96" customFormat="true" ht="18" hidden="false" customHeight="true" outlineLevel="0" collapsed="false">
      <c r="A147" s="130" t="str">
        <f aca="false">IF(B147="","",+A146+1)</f>
        <v/>
      </c>
      <c r="B147" s="131"/>
      <c r="C147" s="131"/>
      <c r="D147" s="132"/>
      <c r="E147" s="130"/>
      <c r="F147" s="132"/>
      <c r="G147" s="130"/>
      <c r="H147" s="130"/>
      <c r="I147" s="133"/>
      <c r="J147" s="134" t="n">
        <f aca="false">$J$120*G147</f>
        <v>0</v>
      </c>
    </row>
    <row r="148" s="96" customFormat="true" ht="18" hidden="false" customHeight="true" outlineLevel="0" collapsed="false">
      <c r="A148" s="130" t="str">
        <f aca="false">IF(B148="","",+A147+1)</f>
        <v/>
      </c>
      <c r="B148" s="131"/>
      <c r="C148" s="131"/>
      <c r="D148" s="132"/>
      <c r="E148" s="130"/>
      <c r="F148" s="132"/>
      <c r="G148" s="130"/>
      <c r="H148" s="130"/>
      <c r="I148" s="133"/>
      <c r="J148" s="134" t="n">
        <f aca="false">$J$120*G148</f>
        <v>0</v>
      </c>
    </row>
    <row r="149" s="96" customFormat="true" ht="18" hidden="false" customHeight="true" outlineLevel="0" collapsed="false">
      <c r="A149" s="130" t="str">
        <f aca="false">IF(B149="","",+A148+1)</f>
        <v/>
      </c>
      <c r="B149" s="131"/>
      <c r="C149" s="131"/>
      <c r="D149" s="132"/>
      <c r="E149" s="130"/>
      <c r="F149" s="132"/>
      <c r="G149" s="130"/>
      <c r="H149" s="130"/>
      <c r="I149" s="133"/>
      <c r="J149" s="134"/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33"/>
      <c r="J150" s="134" t="n">
        <f aca="false">$J$120*G150</f>
        <v>0</v>
      </c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33"/>
      <c r="J151" s="134" t="n">
        <f aca="false">$J$120*G151</f>
        <v>0</v>
      </c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275" t="s">
        <v>599</v>
      </c>
      <c r="J154" s="275"/>
      <c r="K154" s="96" t="n">
        <v>110</v>
      </c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276" t="n">
        <f aca="false">VLOOKUP(C155,$C$133:$H$153,3,0)</f>
        <v>1.603</v>
      </c>
      <c r="F155" s="263" t="n">
        <f aca="false">VLOOKUP(C155,$C$133:$J$153,7,0)</f>
        <v>2325</v>
      </c>
      <c r="G155" s="155" t="n">
        <f aca="false">VLOOKUP(C155,$C$133:$J$153,8,0)</f>
        <v>1</v>
      </c>
      <c r="H155" s="277" t="n">
        <f aca="false">ROUNDUP((F155*G155)/6400,0)</f>
        <v>1</v>
      </c>
      <c r="I155" s="278" t="n">
        <f aca="false">$K$154*K155</f>
        <v>409.96725</v>
      </c>
      <c r="J155" s="278"/>
      <c r="K155" s="172" t="n">
        <f aca="false">(F155/1000)*E155</f>
        <v>3.726975</v>
      </c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276" t="n">
        <f aca="false">VLOOKUP(C156,$C$133:$H$153,3,0)</f>
        <v>0.278</v>
      </c>
      <c r="F156" s="263" t="n">
        <f aca="false">VLOOKUP(C156,$C$133:$I$153,7,0)</f>
        <v>2299</v>
      </c>
      <c r="G156" s="155" t="n">
        <f aca="false">VLOOKUP(C156,$C$133:$J$153,8,0)</f>
        <v>1</v>
      </c>
      <c r="H156" s="155" t="n">
        <f aca="false">ROUNDUP((F156*G156)/6400,0)</f>
        <v>1</v>
      </c>
      <c r="I156" s="279" t="n">
        <f aca="false">$K$154*K156</f>
        <v>70.30342</v>
      </c>
      <c r="J156" s="279"/>
      <c r="K156" s="172" t="n">
        <f aca="false">(F156/1000)*E156</f>
        <v>0.639122</v>
      </c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276" t="n">
        <f aca="false">VLOOKUP(C157,$C$133:$H$153,3,0)</f>
        <v>1.377</v>
      </c>
      <c r="F157" s="263" t="n">
        <f aca="false">VLOOKUP(C157,$C$133:$I$153,7,0)</f>
        <v>2325</v>
      </c>
      <c r="G157" s="155" t="n">
        <f aca="false">VLOOKUP(C157,$C$133:$J$153,8,0)</f>
        <v>1</v>
      </c>
      <c r="H157" s="155" t="n">
        <f aca="false">ROUNDUP((F157*G157)/6400,0)</f>
        <v>1</v>
      </c>
      <c r="I157" s="279" t="n">
        <f aca="false">$K$154*K157</f>
        <v>352.16775</v>
      </c>
      <c r="J157" s="279"/>
      <c r="K157" s="172" t="n">
        <f aca="false">(F157/1000)*E157</f>
        <v>3.201525</v>
      </c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276" t="n">
        <f aca="false">VLOOKUP(C158,$C$133:$H$153,3,0)</f>
        <v>0.516</v>
      </c>
      <c r="F158" s="263" t="n">
        <f aca="false">VLOOKUP(C158,$C$133:$I$153,7,0)</f>
        <v>2325</v>
      </c>
      <c r="G158" s="155" t="n">
        <f aca="false">VLOOKUP(C158,$C$133:$J$153,8,0)</f>
        <v>1</v>
      </c>
      <c r="H158" s="155" t="n">
        <f aca="false">ROUNDUP((F158*G158)/6400,0)</f>
        <v>1</v>
      </c>
      <c r="I158" s="279" t="n">
        <f aca="false">$K$154*K158</f>
        <v>131.967</v>
      </c>
      <c r="J158" s="279"/>
      <c r="K158" s="172" t="n">
        <f aca="false">(F158/1000)*E158</f>
        <v>1.1997</v>
      </c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276" t="n">
        <f aca="false">VLOOKUP(C159,$C$133:$H$153,3,0)</f>
        <v>0.893</v>
      </c>
      <c r="F159" s="263" t="n">
        <f aca="false">VLOOKUP(C159,$C$133:$I$153,7,0)</f>
        <v>2385</v>
      </c>
      <c r="G159" s="155" t="n">
        <f aca="false">VLOOKUP(C159,$C$133:$J$153,8,0)</f>
        <v>1</v>
      </c>
      <c r="H159" s="280" t="n">
        <f aca="false">ROUNDUP(((F159*G159)+(F160*G160))/6400,0)</f>
        <v>1</v>
      </c>
      <c r="I159" s="279" t="n">
        <f aca="false">$K$154*K159</f>
        <v>234.27855</v>
      </c>
      <c r="J159" s="279"/>
      <c r="K159" s="172" t="n">
        <f aca="false">(F159/1000)*E159</f>
        <v>2.129805</v>
      </c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276" t="n">
        <f aca="false">VLOOKUP(C160,$C$133:$H$153,3,0)</f>
        <v>0.893</v>
      </c>
      <c r="F160" s="263" t="n">
        <f aca="false">VLOOKUP(C160,$C$133:$I$153,7,0)</f>
        <v>2385</v>
      </c>
      <c r="G160" s="155" t="n">
        <f aca="false">VLOOKUP(C160,$C$133:$J$153,8,0)</f>
        <v>1</v>
      </c>
      <c r="H160" s="280"/>
      <c r="I160" s="279" t="n">
        <f aca="false">$K$154*K160</f>
        <v>234.27855</v>
      </c>
      <c r="J160" s="279"/>
      <c r="K160" s="172" t="n">
        <f aca="false">(F160/1000)*E160</f>
        <v>2.129805</v>
      </c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276" t="n">
        <f aca="false">VLOOKUP(C161,$C$133:$H$153,3,0)</f>
        <v>0.235</v>
      </c>
      <c r="F161" s="263" t="n">
        <f aca="false">VLOOKUP(C161,$C$133:$I$153,7,0)</f>
        <v>2289</v>
      </c>
      <c r="G161" s="155" t="n">
        <f aca="false">VLOOKUP(C161,$C$133:$J$153,8,0)</f>
        <v>1</v>
      </c>
      <c r="H161" s="280" t="n">
        <f aca="false">ROUNDUP(((F161*G161)+(F162*G162))/6400,0)</f>
        <v>1</v>
      </c>
      <c r="I161" s="279" t="n">
        <f aca="false">$K$154*K161</f>
        <v>59.17065</v>
      </c>
      <c r="J161" s="279"/>
      <c r="K161" s="172" t="n">
        <f aca="false">(F161/1000)*E161</f>
        <v>0.537915</v>
      </c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276" t="n">
        <f aca="false">VLOOKUP(C162,$C$133:$H$153,3,0)</f>
        <v>0.235</v>
      </c>
      <c r="F162" s="263" t="n">
        <f aca="false">VLOOKUP(C162,$C$133:$I$153,7,0)</f>
        <v>2289</v>
      </c>
      <c r="G162" s="155" t="n">
        <f aca="false">VLOOKUP(C162,$C$133:$J$153,8,0)</f>
        <v>1</v>
      </c>
      <c r="H162" s="280"/>
      <c r="I162" s="279" t="n">
        <f aca="false">$K$154*K162</f>
        <v>59.17065</v>
      </c>
      <c r="J162" s="279"/>
      <c r="K162" s="172" t="n">
        <f aca="false">(F162/1000)*E162</f>
        <v>0.537915</v>
      </c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276" t="n">
        <f aca="false">VLOOKUP(C163,$C$133:$H$153,3,0)</f>
        <v>1.106</v>
      </c>
      <c r="F163" s="267" t="n">
        <f aca="false">VLOOKUP(C163,$C$133:$I$153,7,0)</f>
        <v>576.25</v>
      </c>
      <c r="G163" s="155" t="n">
        <f aca="false">VLOOKUP(C163,$C$133:$J$153,8,0)</f>
        <v>4</v>
      </c>
      <c r="H163" s="280" t="n">
        <f aca="false">ROUNDUP(((F163*G163)+(F164*G164)+(F165*G165)+(F166*G166))/6400,0)</f>
        <v>4</v>
      </c>
      <c r="I163" s="279" t="n">
        <f aca="false">$K$154*K163</f>
        <v>70.106575</v>
      </c>
      <c r="J163" s="279"/>
      <c r="K163" s="172" t="n">
        <f aca="false">(F163/1000)*E163</f>
        <v>0.6373325</v>
      </c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276" t="n">
        <f aca="false">VLOOKUP(C164,$C$133:$H$153,3,0)</f>
        <v>1.106</v>
      </c>
      <c r="F164" s="267" t="n">
        <f aca="false">VLOOKUP(C164,$C$133:$I$153,7,0)</f>
        <v>576.25</v>
      </c>
      <c r="G164" s="155" t="n">
        <f aca="false">VLOOKUP(C164,$C$133:$J$153,8,0)</f>
        <v>4</v>
      </c>
      <c r="H164" s="280"/>
      <c r="I164" s="279" t="n">
        <f aca="false">$K$154*K164</f>
        <v>70.106575</v>
      </c>
      <c r="J164" s="279"/>
      <c r="K164" s="172" t="n">
        <f aca="false">(F164/1000)*E164</f>
        <v>0.6373325</v>
      </c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276" t="n">
        <f aca="false">VLOOKUP(C165,$C$133:$H$153,3,0)</f>
        <v>1.106</v>
      </c>
      <c r="F165" s="263" t="n">
        <f aca="false">VLOOKUP(C165,$C$133:$I$153,7,0)</f>
        <v>2293</v>
      </c>
      <c r="G165" s="155" t="n">
        <f aca="false">VLOOKUP(C165,$C$133:$J$153,8,0)</f>
        <v>6</v>
      </c>
      <c r="H165" s="280"/>
      <c r="I165" s="279" t="n">
        <f aca="false">$K$154*K165</f>
        <v>278.96638</v>
      </c>
      <c r="J165" s="279"/>
      <c r="K165" s="172" t="n">
        <f aca="false">(F165/1000)*E165</f>
        <v>2.536058</v>
      </c>
    </row>
    <row r="166" s="96" customFormat="true" ht="1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276" t="n">
        <f aca="false">VLOOKUP(C166,$C$133:$H$153,3,0)</f>
        <v>1.106</v>
      </c>
      <c r="F166" s="263" t="n">
        <f aca="false">VLOOKUP(C166,$C$133:$I$153,7,0)</f>
        <v>2293</v>
      </c>
      <c r="G166" s="155" t="n">
        <f aca="false">VLOOKUP(C166,$C$133:$J$153,8,0)</f>
        <v>2</v>
      </c>
      <c r="H166" s="280"/>
      <c r="I166" s="279" t="n">
        <f aca="false">$K$154*K166</f>
        <v>278.96638</v>
      </c>
      <c r="J166" s="279"/>
      <c r="K166" s="172" t="n">
        <f aca="false">(F166/1000)*E166</f>
        <v>2.536058</v>
      </c>
    </row>
    <row r="167" s="96" customFormat="true" ht="15" hidden="false" customHeight="true" outlineLevel="1" collapsed="false">
      <c r="A167" s="158" t="n">
        <f aca="false">IF(B167="","",+A166+1)</f>
        <v>13</v>
      </c>
      <c r="B167" s="153" t="str">
        <f aca="false">B145</f>
        <v>5-6mm คิ้วตบกระจกแนวนอน</v>
      </c>
      <c r="C167" s="153" t="str">
        <f aca="false">C145</f>
        <v>5-6mm GLAZING BEAD HORIZONTAL</v>
      </c>
      <c r="D167" s="280" t="str">
        <f aca="false">VLOOKUP(C167,$C$133:$H$153,2,0)</f>
        <v>B24008</v>
      </c>
      <c r="E167" s="276" t="n">
        <f aca="false">VLOOKUP(C167,$C$133:$H$153,3,0)</f>
        <v>0.231</v>
      </c>
      <c r="F167" s="267" t="n">
        <f aca="false">VLOOKUP(C167,$C$133:$I$153,7,0)</f>
        <v>465.8125</v>
      </c>
      <c r="G167" s="155" t="n">
        <f aca="false">VLOOKUP(C167,$C$133:$J$153,8,0)</f>
        <v>8</v>
      </c>
      <c r="H167" s="280" t="n">
        <f aca="false">ROUNDUP(((F167*G167)+(F168*G168))/6400,0)</f>
        <v>4</v>
      </c>
      <c r="I167" s="279" t="n">
        <f aca="false">$K$154*K167</f>
        <v>11.836295625</v>
      </c>
      <c r="J167" s="279"/>
      <c r="K167" s="172" t="n">
        <f aca="false">(F167/1000)*E167</f>
        <v>0.1076026875</v>
      </c>
    </row>
    <row r="168" s="96" customFormat="true" ht="15" hidden="false" customHeight="true" outlineLevel="1" collapsed="false">
      <c r="A168" s="158" t="n">
        <f aca="false">IF(B168="","",+A167+1)</f>
        <v>14</v>
      </c>
      <c r="B168" s="153" t="str">
        <f aca="false">B146</f>
        <v>5-6mm คิ้วตบกระจกแนวตั้ง</v>
      </c>
      <c r="C168" s="153" t="str">
        <f aca="false">C146</f>
        <v>5-6mm GLAZING BEAD VERTICAL</v>
      </c>
      <c r="D168" s="280"/>
      <c r="E168" s="276" t="n">
        <f aca="false">VLOOKUP(C168,$C$133:$H$153,3,0)</f>
        <v>0.231</v>
      </c>
      <c r="F168" s="263" t="n">
        <f aca="false">VLOOKUP(C168,$C$133:$I$153,7,0)</f>
        <v>2143</v>
      </c>
      <c r="G168" s="155" t="n">
        <f aca="false">VLOOKUP(C168,$C$133:$J$153,8,0)</f>
        <v>8</v>
      </c>
      <c r="H168" s="280"/>
      <c r="I168" s="279" t="n">
        <f aca="false">$K$154*K168</f>
        <v>54.45363</v>
      </c>
      <c r="J168" s="279"/>
      <c r="K168" s="172" t="n">
        <f aca="false">(F168/1000)*E168</f>
        <v>0.495033</v>
      </c>
    </row>
    <row r="169" s="96" customFormat="true" ht="14.25" hidden="false" customHeight="false" outlineLevel="1" collapsed="false">
      <c r="D169" s="301"/>
      <c r="H169" s="281" t="s">
        <v>600</v>
      </c>
      <c r="I169" s="282" t="n">
        <f aca="false">SUM(I155:J168)</f>
        <v>2315.739655625</v>
      </c>
      <c r="J169" s="282"/>
    </row>
    <row r="170" s="96" customFormat="true" ht="24.75" hidden="false" customHeight="true" outlineLevel="0" collapsed="false">
      <c r="A170" s="113" t="s">
        <v>396</v>
      </c>
      <c r="B170" s="113"/>
      <c r="C170" s="113"/>
      <c r="D170" s="113"/>
      <c r="E170" s="113"/>
      <c r="F170" s="113"/>
      <c r="G170" s="113"/>
      <c r="H170" s="113"/>
      <c r="I170" s="113"/>
      <c r="J170" s="113"/>
    </row>
    <row r="171" s="96" customFormat="true" ht="34.5" hidden="false" customHeight="true" outlineLevel="0" collapsed="false">
      <c r="A171" s="114" t="s">
        <v>319</v>
      </c>
      <c r="B171" s="115" t="s">
        <v>320</v>
      </c>
      <c r="C171" s="115" t="s">
        <v>168</v>
      </c>
      <c r="D171" s="115" t="s">
        <v>397</v>
      </c>
      <c r="E171" s="115" t="s">
        <v>321</v>
      </c>
      <c r="F171" s="116" t="s">
        <v>398</v>
      </c>
      <c r="G171" s="115" t="s">
        <v>399</v>
      </c>
      <c r="H171" s="116" t="s">
        <v>400</v>
      </c>
      <c r="I171" s="275" t="s">
        <v>601</v>
      </c>
      <c r="J171" s="275"/>
      <c r="K171" s="283" t="n">
        <v>0.2</v>
      </c>
      <c r="N171" s="107" t="s">
        <v>288</v>
      </c>
      <c r="O171" s="165" t="s">
        <v>320</v>
      </c>
      <c r="P171" s="165" t="s">
        <v>168</v>
      </c>
      <c r="Q171" s="165" t="s">
        <v>397</v>
      </c>
      <c r="R171" s="165" t="s">
        <v>321</v>
      </c>
      <c r="S171" s="165" t="s">
        <v>398</v>
      </c>
      <c r="T171" s="165" t="s">
        <v>399</v>
      </c>
      <c r="U171" s="165" t="s">
        <v>400</v>
      </c>
      <c r="V171" s="165" t="s">
        <v>401</v>
      </c>
      <c r="W171" s="165" t="s">
        <v>402</v>
      </c>
    </row>
    <row r="172" s="96" customFormat="true" ht="18" hidden="false" customHeight="true" outlineLevel="0" collapsed="false">
      <c r="A172" s="166" t="n">
        <f aca="false">IF(B172="","",1)</f>
        <v>1</v>
      </c>
      <c r="B172" s="131" t="s">
        <v>403</v>
      </c>
      <c r="C172" s="131" t="s">
        <v>404</v>
      </c>
      <c r="D172" s="132" t="s">
        <v>276</v>
      </c>
      <c r="E172" s="130"/>
      <c r="F172" s="130" t="s">
        <v>276</v>
      </c>
      <c r="G172" s="130" t="s">
        <v>405</v>
      </c>
      <c r="H172" s="130" t="n">
        <v>2</v>
      </c>
      <c r="I172" s="284" t="n">
        <f aca="false">(K172+$K$172)*H172</f>
        <v>6.692</v>
      </c>
      <c r="J172" s="284"/>
      <c r="K172" s="285" t="n">
        <v>1.673</v>
      </c>
      <c r="N172" s="107" t="s">
        <v>406</v>
      </c>
      <c r="O172" s="55" t="s">
        <v>407</v>
      </c>
      <c r="P172" s="62" t="s">
        <v>408</v>
      </c>
      <c r="Q172" s="55" t="s">
        <v>227</v>
      </c>
      <c r="R172" s="158"/>
      <c r="S172" s="158" t="s">
        <v>227</v>
      </c>
      <c r="T172" s="158" t="s">
        <v>409</v>
      </c>
      <c r="U172" s="168" t="n">
        <f aca="false">((($I$141*$G$141)+($I$142*$G$142)+($I$143*$G$143)+($I$144*$G$144))/1000)*$J$120</f>
        <v>22.954</v>
      </c>
      <c r="V172" s="168" t="n">
        <v>100</v>
      </c>
      <c r="W172" s="169" t="n">
        <f aca="false">ROUNDUP((U172)/100,0)</f>
        <v>1</v>
      </c>
    </row>
    <row r="173" s="96" customFormat="true" ht="18" hidden="false" customHeight="true" outlineLevel="0" collapsed="false">
      <c r="A173" s="170" t="n">
        <f aca="false">IF(B173="","",+A172+1)</f>
        <v>2</v>
      </c>
      <c r="B173" s="131" t="s">
        <v>410</v>
      </c>
      <c r="C173" s="131" t="s">
        <v>411</v>
      </c>
      <c r="D173" s="132" t="s">
        <v>267</v>
      </c>
      <c r="E173" s="130"/>
      <c r="F173" s="130" t="s">
        <v>267</v>
      </c>
      <c r="G173" s="130" t="s">
        <v>405</v>
      </c>
      <c r="H173" s="130" t="n">
        <v>8</v>
      </c>
      <c r="I173" s="286" t="n">
        <f aca="false">(K173+$K$172)*H173</f>
        <v>37.384</v>
      </c>
      <c r="J173" s="286"/>
      <c r="K173" s="285" t="n">
        <v>3</v>
      </c>
      <c r="N173" s="107" t="s">
        <v>412</v>
      </c>
      <c r="O173" s="55" t="s">
        <v>413</v>
      </c>
      <c r="P173" s="62" t="s">
        <v>414</v>
      </c>
      <c r="Q173" s="55" t="s">
        <v>234</v>
      </c>
      <c r="R173" s="158"/>
      <c r="S173" s="158" t="s">
        <v>234</v>
      </c>
      <c r="T173" s="158" t="s">
        <v>409</v>
      </c>
      <c r="U173" s="168" t="n">
        <f aca="false">((($I$141*$G$141)+($I$142*$G$142)+($I$143*$G$143)+($I$144*$G$144))/1000)*$J$120</f>
        <v>22.954</v>
      </c>
      <c r="V173" s="168" t="n">
        <v>100</v>
      </c>
      <c r="W173" s="169" t="n">
        <f aca="false">ROUNDUP((U173)/100,0)</f>
        <v>1</v>
      </c>
    </row>
    <row r="174" s="96" customFormat="true" ht="18" hidden="false" customHeight="true" outlineLevel="0" collapsed="false">
      <c r="A174" s="170" t="n">
        <f aca="false">IF(B174="","",+A173+1)</f>
        <v>3</v>
      </c>
      <c r="B174" s="131" t="s">
        <v>415</v>
      </c>
      <c r="C174" s="131" t="s">
        <v>416</v>
      </c>
      <c r="D174" s="132" t="s">
        <v>222</v>
      </c>
      <c r="E174" s="130"/>
      <c r="F174" s="130" t="s">
        <v>222</v>
      </c>
      <c r="G174" s="130" t="s">
        <v>405</v>
      </c>
      <c r="H174" s="130" t="n">
        <v>2</v>
      </c>
      <c r="I174" s="286" t="n">
        <f aca="false">(K174+$K$172)*H174</f>
        <v>9.092</v>
      </c>
      <c r="J174" s="286"/>
      <c r="K174" s="285" t="n">
        <v>2.873</v>
      </c>
      <c r="N174" s="107" t="s">
        <v>417</v>
      </c>
      <c r="O174" s="62" t="s">
        <v>418</v>
      </c>
      <c r="P174" s="62" t="s">
        <v>419</v>
      </c>
      <c r="Q174" s="55" t="s">
        <v>236</v>
      </c>
      <c r="R174" s="158"/>
      <c r="S174" s="158" t="s">
        <v>236</v>
      </c>
      <c r="T174" s="158" t="s">
        <v>409</v>
      </c>
      <c r="U174" s="168" t="n">
        <f aca="false">((($I$141*$G$141)+($I$142*$G$142)+($I$143*$G$143)+($I$144*$G$144))/1000)*$J$120</f>
        <v>22.954</v>
      </c>
      <c r="V174" s="168" t="n">
        <v>100</v>
      </c>
      <c r="W174" s="169" t="n">
        <f aca="false">ROUNDUP((U174)/100,0)</f>
        <v>1</v>
      </c>
    </row>
    <row r="175" s="96" customFormat="true" ht="18" hidden="false" customHeight="true" outlineLevel="0" collapsed="false">
      <c r="A175" s="170" t="n">
        <f aca="false">IF(B175="","",+A174+1)</f>
        <v>4</v>
      </c>
      <c r="B175" s="131" t="s">
        <v>420</v>
      </c>
      <c r="C175" s="131" t="s">
        <v>421</v>
      </c>
      <c r="D175" s="132" t="s">
        <v>225</v>
      </c>
      <c r="E175" s="130"/>
      <c r="F175" s="130" t="s">
        <v>225</v>
      </c>
      <c r="G175" s="130" t="s">
        <v>405</v>
      </c>
      <c r="H175" s="130" t="n">
        <v>2</v>
      </c>
      <c r="I175" s="286" t="n">
        <f aca="false">(K175+$K$172)*H175</f>
        <v>13.9852</v>
      </c>
      <c r="J175" s="286"/>
      <c r="K175" s="285" t="n">
        <v>5.3196</v>
      </c>
      <c r="N175" s="107" t="s">
        <v>422</v>
      </c>
      <c r="O175" s="62" t="s">
        <v>423</v>
      </c>
      <c r="P175" s="62" t="s">
        <v>424</v>
      </c>
      <c r="Q175" s="55" t="s">
        <v>238</v>
      </c>
      <c r="R175" s="158"/>
      <c r="S175" s="158" t="s">
        <v>238</v>
      </c>
      <c r="T175" s="158" t="s">
        <v>409</v>
      </c>
      <c r="U175" s="168" t="n">
        <f aca="false">((($I$141*$G$141)+($I$142*$G$142)+($I$143*$G$143)+($I$144*$G$144))/1000)*$J$120</f>
        <v>22.954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5</v>
      </c>
      <c r="B176" s="131" t="s">
        <v>425</v>
      </c>
      <c r="C176" s="131" t="s">
        <v>426</v>
      </c>
      <c r="D176" s="132" t="n">
        <v>9</v>
      </c>
      <c r="E176" s="130"/>
      <c r="F176" s="130" t="n">
        <v>9</v>
      </c>
      <c r="G176" s="130" t="s">
        <v>405</v>
      </c>
      <c r="H176" s="130" t="n">
        <v>16</v>
      </c>
      <c r="I176" s="287" t="n">
        <v>0</v>
      </c>
      <c r="J176" s="287"/>
      <c r="K176" s="285" t="n">
        <v>0</v>
      </c>
      <c r="N176" s="107" t="s">
        <v>427</v>
      </c>
      <c r="O176" s="62" t="s">
        <v>428</v>
      </c>
      <c r="P176" s="62" t="s">
        <v>429</v>
      </c>
      <c r="Q176" s="55" t="s">
        <v>240</v>
      </c>
      <c r="R176" s="158"/>
      <c r="S176" s="158" t="s">
        <v>240</v>
      </c>
      <c r="T176" s="158" t="s">
        <v>409</v>
      </c>
      <c r="U176" s="168" t="n">
        <f aca="false">((($I$141*$G$141)+($I$142*$G$142)+($I$143*$G$143)+($I$144*$G$144))/1000)*$J$120</f>
        <v>22.954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6</v>
      </c>
      <c r="B177" s="131" t="s">
        <v>430</v>
      </c>
      <c r="C177" s="131" t="s">
        <v>431</v>
      </c>
      <c r="D177" s="132" t="n">
        <v>9</v>
      </c>
      <c r="E177" s="130"/>
      <c r="F177" s="130" t="n">
        <v>9</v>
      </c>
      <c r="G177" s="130" t="s">
        <v>405</v>
      </c>
      <c r="H177" s="130" t="n">
        <v>32</v>
      </c>
      <c r="I177" s="287" t="n">
        <v>0</v>
      </c>
      <c r="J177" s="287"/>
      <c r="K177" s="285" t="n">
        <v>0</v>
      </c>
    </row>
    <row r="178" s="96" customFormat="true" ht="18" hidden="false" customHeight="true" outlineLevel="0" collapsed="false">
      <c r="A178" s="170" t="n">
        <f aca="false">IF(B178="","",+A177+1)</f>
        <v>7</v>
      </c>
      <c r="B178" s="131" t="s">
        <v>432</v>
      </c>
      <c r="C178" s="131" t="s">
        <v>433</v>
      </c>
      <c r="D178" s="132" t="s">
        <v>6</v>
      </c>
      <c r="E178" s="130"/>
      <c r="F178" s="130" t="s">
        <v>6</v>
      </c>
      <c r="G178" s="130" t="s">
        <v>434</v>
      </c>
      <c r="H178" s="130" t="n">
        <v>1</v>
      </c>
      <c r="I178" s="286" t="n">
        <f aca="false">(K178+$K$172)*H178</f>
        <v>1201.143</v>
      </c>
      <c r="J178" s="286"/>
      <c r="K178" s="288" t="n">
        <v>1199.47</v>
      </c>
    </row>
    <row r="179" s="96" customFormat="true" ht="18" hidden="false" customHeight="true" outlineLevel="0" collapsed="false">
      <c r="A179" s="170" t="n">
        <f aca="false">IF(B179="","",+A178+1)</f>
        <v>8</v>
      </c>
      <c r="B179" s="131" t="s">
        <v>435</v>
      </c>
      <c r="C179" s="131" t="s">
        <v>436</v>
      </c>
      <c r="D179" s="132" t="s">
        <v>9</v>
      </c>
      <c r="E179" s="130"/>
      <c r="F179" s="130" t="s">
        <v>9</v>
      </c>
      <c r="G179" s="130" t="s">
        <v>434</v>
      </c>
      <c r="H179" s="130" t="n">
        <v>1</v>
      </c>
      <c r="I179" s="286" t="n">
        <f aca="false">(K179+$K$172)*H179</f>
        <v>941.553</v>
      </c>
      <c r="J179" s="286"/>
      <c r="K179" s="288" t="n">
        <v>939.88</v>
      </c>
    </row>
    <row r="180" s="96" customFormat="true" ht="18" hidden="false" customHeight="true" outlineLevel="0" collapsed="false">
      <c r="A180" s="170" t="n">
        <f aca="false">IF(B180="","",+A179+1)</f>
        <v>9</v>
      </c>
      <c r="B180" s="131" t="s">
        <v>554</v>
      </c>
      <c r="C180" s="131" t="s">
        <v>555</v>
      </c>
      <c r="D180" s="132" t="s">
        <v>11</v>
      </c>
      <c r="E180" s="130"/>
      <c r="F180" s="130" t="s">
        <v>11</v>
      </c>
      <c r="G180" s="130" t="s">
        <v>434</v>
      </c>
      <c r="H180" s="130" t="n">
        <v>1</v>
      </c>
      <c r="I180" s="286" t="n">
        <f aca="false">(K180+$K$172)*H180</f>
        <v>1201.143</v>
      </c>
      <c r="J180" s="286"/>
      <c r="K180" s="288" t="n">
        <v>1199.47</v>
      </c>
    </row>
    <row r="181" s="96" customFormat="true" ht="18" hidden="false" customHeight="true" outlineLevel="0" collapsed="false">
      <c r="A181" s="170" t="n">
        <f aca="false">IF(B181="","",+A180+1)</f>
        <v>10</v>
      </c>
      <c r="B181" s="131" t="s">
        <v>556</v>
      </c>
      <c r="C181" s="131" t="s">
        <v>557</v>
      </c>
      <c r="D181" s="132" t="s">
        <v>5</v>
      </c>
      <c r="E181" s="130"/>
      <c r="F181" s="130" t="s">
        <v>5</v>
      </c>
      <c r="G181" s="130" t="s">
        <v>434</v>
      </c>
      <c r="H181" s="130" t="n">
        <v>1</v>
      </c>
      <c r="I181" s="286" t="n">
        <f aca="false">(K181+$K$172)*H181</f>
        <v>766.113</v>
      </c>
      <c r="J181" s="286"/>
      <c r="K181" s="288" t="n">
        <v>764.44</v>
      </c>
      <c r="Q181" s="172"/>
      <c r="R181" s="172"/>
      <c r="S181" s="172"/>
      <c r="T181" s="97"/>
      <c r="U181" s="97"/>
      <c r="V181" s="97"/>
    </row>
    <row r="182" s="96" customFormat="true" ht="18" hidden="false" customHeight="true" outlineLevel="0" collapsed="false">
      <c r="A182" s="170" t="n">
        <f aca="false">IF(B182="","",+A181+1)</f>
        <v>11</v>
      </c>
      <c r="B182" s="131" t="s">
        <v>439</v>
      </c>
      <c r="C182" s="131" t="s">
        <v>440</v>
      </c>
      <c r="D182" s="132" t="s">
        <v>12</v>
      </c>
      <c r="E182" s="130"/>
      <c r="F182" s="130" t="s">
        <v>12</v>
      </c>
      <c r="G182" s="130" t="s">
        <v>434</v>
      </c>
      <c r="H182" s="130" t="n">
        <v>2</v>
      </c>
      <c r="I182" s="286" t="n">
        <f aca="false">(K182+$K$172)*H182</f>
        <v>3941.906</v>
      </c>
      <c r="J182" s="286"/>
      <c r="K182" s="288" t="n">
        <v>1969.28</v>
      </c>
      <c r="N182" s="107" t="s">
        <v>289</v>
      </c>
      <c r="O182" s="165" t="s">
        <v>320</v>
      </c>
      <c r="P182" s="165" t="s">
        <v>168</v>
      </c>
      <c r="Q182" s="165" t="s">
        <v>397</v>
      </c>
      <c r="R182" s="165" t="s">
        <v>321</v>
      </c>
      <c r="S182" s="165" t="s">
        <v>398</v>
      </c>
      <c r="T182" s="165" t="s">
        <v>399</v>
      </c>
      <c r="U182" s="165" t="s">
        <v>400</v>
      </c>
      <c r="V182" s="165" t="s">
        <v>401</v>
      </c>
      <c r="W182" s="165" t="s">
        <v>402</v>
      </c>
    </row>
    <row r="183" s="96" customFormat="true" ht="18" hidden="false" customHeight="true" outlineLevel="0" collapsed="false">
      <c r="A183" s="170" t="n">
        <f aca="false">IF(B183="","",+A182+1)</f>
        <v>12</v>
      </c>
      <c r="B183" s="131" t="s">
        <v>441</v>
      </c>
      <c r="C183" s="131" t="s">
        <v>442</v>
      </c>
      <c r="D183" s="132" t="s">
        <v>274</v>
      </c>
      <c r="E183" s="130"/>
      <c r="F183" s="130" t="s">
        <v>274</v>
      </c>
      <c r="G183" s="130" t="s">
        <v>405</v>
      </c>
      <c r="H183" s="130" t="n">
        <v>4</v>
      </c>
      <c r="I183" s="286" t="n">
        <f aca="false">(K183+$K$172)*H183</f>
        <v>37.268</v>
      </c>
      <c r="J183" s="286"/>
      <c r="K183" s="288" t="n">
        <v>7.644</v>
      </c>
      <c r="N183" s="107" t="s">
        <v>445</v>
      </c>
      <c r="O183" s="62" t="s">
        <v>446</v>
      </c>
      <c r="P183" s="62" t="s">
        <v>447</v>
      </c>
      <c r="Q183" s="55" t="s">
        <v>230</v>
      </c>
      <c r="R183" s="158"/>
      <c r="S183" s="158" t="s">
        <v>230</v>
      </c>
      <c r="T183" s="158" t="s">
        <v>409</v>
      </c>
      <c r="U183" s="168" t="n">
        <f aca="false">((($I$134*$G$134)+($I$136*$G$136)+($I$139*$G$139))/1000)*$J$120</f>
        <v>6.913</v>
      </c>
      <c r="V183" s="168" t="n">
        <v>300</v>
      </c>
      <c r="W183" s="169" t="n">
        <f aca="false">ROUNDUP((U183)/V183,0)</f>
        <v>1</v>
      </c>
    </row>
    <row r="184" s="96" customFormat="true" ht="18" hidden="false" customHeight="true" outlineLevel="0" collapsed="false">
      <c r="A184" s="170" t="n">
        <f aca="false">IF(B184="","",+A183+1)</f>
        <v>13</v>
      </c>
      <c r="B184" s="131" t="s">
        <v>443</v>
      </c>
      <c r="C184" s="131" t="s">
        <v>444</v>
      </c>
      <c r="D184" s="132" t="s">
        <v>272</v>
      </c>
      <c r="E184" s="130"/>
      <c r="F184" s="130" t="s">
        <v>272</v>
      </c>
      <c r="G184" s="130" t="s">
        <v>405</v>
      </c>
      <c r="H184" s="130" t="n">
        <v>1</v>
      </c>
      <c r="I184" s="286" t="n">
        <f aca="false">(K184+$K$172)*H184</f>
        <v>13.773</v>
      </c>
      <c r="J184" s="286"/>
      <c r="K184" s="288" t="n">
        <v>12.1</v>
      </c>
      <c r="N184" s="107" t="s">
        <v>448</v>
      </c>
      <c r="O184" s="62" t="s">
        <v>449</v>
      </c>
      <c r="P184" s="62" t="s">
        <v>450</v>
      </c>
      <c r="Q184" s="55" t="s">
        <v>451</v>
      </c>
      <c r="R184" s="158"/>
      <c r="S184" s="158" t="s">
        <v>451</v>
      </c>
      <c r="T184" s="158" t="s">
        <v>409</v>
      </c>
      <c r="U184" s="168" t="n">
        <f aca="false">((($I$134*$G$134)+($I$136*$G$136)+($I$139*$G$139))/1000)*$J$120</f>
        <v>6.913</v>
      </c>
      <c r="V184" s="168" t="n">
        <v>100</v>
      </c>
      <c r="W184" s="169" t="n">
        <f aca="false">ROUNDUP((U184)/V184,0)</f>
        <v>1</v>
      </c>
    </row>
    <row r="185" s="96" customFormat="true" ht="18" hidden="false" customHeight="true" outlineLevel="0" collapsed="false">
      <c r="A185" s="170" t="n">
        <f aca="false">IF(B185="","",+A184+1)</f>
        <v>14</v>
      </c>
      <c r="B185" s="132" t="str">
        <f aca="false">IF($D$129="Standard",$O$183,IF($D$129="Soumdproof",$O$184,))</f>
        <v>ยางเฟรมกันน้ำ (ธรรมดา)</v>
      </c>
      <c r="C185" s="132" t="str">
        <f aca="false">IF($D$129="Standard",$P$183,IF($D$129="Soumdproof",$P$184,))</f>
        <v>FRAME SEAL (Standard)</v>
      </c>
      <c r="D185" s="132" t="str">
        <f aca="false">IF($D$129="Standard",$Q$183,IF($D$129="Soumdproof",$Q$184,))</f>
        <v>02-026</v>
      </c>
      <c r="E185" s="130" t="n">
        <f aca="false">IF($D$129="Standard",R184,IF($D$129="Soumdproof",R185,))</f>
        <v>0</v>
      </c>
      <c r="F185" s="130" t="str">
        <f aca="false">IF($D$129="Standard",$S$183,IF($D$129="Soumdproof",$S$184,))</f>
        <v>02-026</v>
      </c>
      <c r="G185" s="130" t="str">
        <f aca="false">IF($D$129="Standard",$T$183,IF($D$129="Soumdproof",$T$184,))</f>
        <v>M</v>
      </c>
      <c r="H185" s="173" t="n">
        <f aca="false">IF($D$129="Standard",$U$183,IF($D$129="Soumdproof",$U$184,))</f>
        <v>6.913</v>
      </c>
      <c r="I185" s="286" t="n">
        <f aca="false">(K185+$K$172)*H185</f>
        <v>65.5248705</v>
      </c>
      <c r="J185" s="286"/>
      <c r="K185" s="285" t="n">
        <v>7.8055</v>
      </c>
      <c r="N185" s="107" t="s">
        <v>445</v>
      </c>
      <c r="O185" s="62" t="s">
        <v>452</v>
      </c>
      <c r="P185" s="62" t="s">
        <v>453</v>
      </c>
      <c r="Q185" s="55" t="s">
        <v>232</v>
      </c>
      <c r="R185" s="158"/>
      <c r="S185" s="158" t="s">
        <v>232</v>
      </c>
      <c r="T185" s="158" t="s">
        <v>409</v>
      </c>
      <c r="U185" s="168" t="n">
        <f aca="false">((($I$141*$G$141*2)+($I$143*$G$143*2)+($I$144*$G$144*2))/1000)*$J$120</f>
        <v>41.298</v>
      </c>
      <c r="V185" s="168" t="n">
        <v>350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15</v>
      </c>
      <c r="B186" s="132" t="str">
        <f aca="false">IF($D$129="Standard",$O$185,IF($D$129="Soumdproof",$O$186,))</f>
        <v>ยางแซชกันน้ำ (ธรรมดา)</v>
      </c>
      <c r="C186" s="132" t="str">
        <f aca="false">IF($D$129="Standard",$P$185,IF($D$129="Soumdproof",$P$186,))</f>
        <v>SASH SEAL FOAM (Standard)</v>
      </c>
      <c r="D186" s="132" t="str">
        <f aca="false">IF($D$129="Standard",$Q$185,IF($D$129="Soumdproof",$Q$186,))</f>
        <v>02-031</v>
      </c>
      <c r="E186" s="130" t="n">
        <f aca="false">IF($D$129="Standard",R186,IF($D$129="Soumdproof",R187,))</f>
        <v>0</v>
      </c>
      <c r="F186" s="130" t="str">
        <f aca="false">IF($D$129="Standard",$S$185,IF($D$129="Soumdproof",$S$186,))</f>
        <v>02-031</v>
      </c>
      <c r="G186" s="130" t="str">
        <f aca="false">IF($D$129="Standard",$T$185,IF($D$129="Soumdproof",$T$186,))</f>
        <v>M</v>
      </c>
      <c r="H186" s="173" t="n">
        <f aca="false">IF($D$129="Standard",$U$185,IF($D$129="Soumdproof",$U$186,))</f>
        <v>41.298</v>
      </c>
      <c r="I186" s="286" t="n">
        <f aca="false">(K186+$K$172)*H186</f>
        <v>329.268954</v>
      </c>
      <c r="J186" s="286"/>
      <c r="K186" s="285" t="n">
        <v>6.3</v>
      </c>
      <c r="N186" s="107" t="s">
        <v>448</v>
      </c>
      <c r="O186" s="62" t="s">
        <v>454</v>
      </c>
      <c r="P186" s="62" t="s">
        <v>455</v>
      </c>
      <c r="Q186" s="55" t="s">
        <v>456</v>
      </c>
      <c r="R186" s="158"/>
      <c r="S186" s="158" t="s">
        <v>456</v>
      </c>
      <c r="T186" s="158" t="s">
        <v>409</v>
      </c>
      <c r="U186" s="168" t="n">
        <f aca="false">((($I$141*$G$141*2)+($I$143*$G$143*2)+($I$144*$G$144*2))/1000)*$J$120</f>
        <v>41.298</v>
      </c>
      <c r="V186" s="168" t="n">
        <v>100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16</v>
      </c>
      <c r="B187" s="176" t="str">
        <f aca="false">IF($D$127=5,$O$174,IF($D$127=6,$O$175,IF($D$127=8,$O$176,IF($D$127=10,$O$174,IF($D$127=12,$O$174,IF($D$127=14,$O$176,IF($D$127=18,$O$174,IF($D$127=20,$O$175,IF($D$127=22,"")))))))))</f>
        <v>6,20 mm ยางอัดกระจก</v>
      </c>
      <c r="C187" s="176" t="str">
        <f aca="false">IF($D$127=5,$P$174,IF($D$127=6,$P$175,IF($D$127=8,$P$176,IF($D$127=10,$P$174,IF($D$127=12,$P$174,IF($D$127=14,$P$176,IF($D$127=18,$P$174,IF($D$127=20,$P$175,IF($D$127=22,"")))))))))</f>
        <v>6,20 mm ROLL IN WEDGE</v>
      </c>
      <c r="D187" s="176" t="str">
        <f aca="false">IF($D$127=5,$Q$174,IF($D$127=6,$Q$175,IF($D$127=8,$Q$176,IF($D$127=10,$Q$174,IF($D$127=12,$Q$174,IF($D$127=14,$Q$176,IF($D$127=18,$Q$174,IF($D$127=20,$Q$175,IF($D$127=22,"")))))))))</f>
        <v>02-034</v>
      </c>
      <c r="E187" s="176" t="n">
        <f aca="false">IF($D$127=5,R175,IF($D$127=6,R176,IF($D$127=8,R177,IF($D$127=10,R175,IF($D$127=12,R175,IF($D$127=14,R177,IF($D$127=18,R175,IF($D$127=20,R176,IF($D$127=22,"",)))))))))</f>
        <v>0</v>
      </c>
      <c r="F187" s="167" t="str">
        <f aca="false">IF($D$127=5,$S$174,IF($D$127=6,$S$175,IF($D$127=8,$S$176,IF($D$127=10,$S$174,IF($D$127=12,$S$174,IF($D$127=14,$S$176,IF($D$127=18,$S$174,IF($D$127=20,$S$175,IF($D$127=22,"")))))))))</f>
        <v>02-034</v>
      </c>
      <c r="G187" s="167" t="str">
        <f aca="false">IF($D$127=5,$T$174,IF($D$127=6,$T$175,IF($D$127=8,$T$176,IF($D$127=10,$T$174,IF($D$127=12,$T$174,IF($D$127=14,$T$176,IF($D$127=18,$T$174,IF($D$127=20,$T$175,IF($D$127=22,"")))))))))</f>
        <v>M</v>
      </c>
      <c r="H187" s="173" t="n">
        <f aca="false">IF($D$127=5,$U$174,IF($D$127=6,$U$175,IF($D$127=8,$U$176,IF($D$127=10,$U$174*2,IF($D$127=12,$U$174,IF($D$127=14,$U$176*2,IF($D$127=18,$U$174,IF($D$127=20,$U$175,IF($D$127=22,"")))))))))</f>
        <v>22.954</v>
      </c>
      <c r="I187" s="286" t="n">
        <f aca="false">(K187+$K$172)*H187</f>
        <v>303.291202</v>
      </c>
      <c r="J187" s="286"/>
      <c r="K187" s="285" t="n">
        <v>11.54</v>
      </c>
    </row>
    <row r="188" s="96" customFormat="true" ht="18" hidden="false" customHeight="true" outlineLevel="0" collapsed="false">
      <c r="A188" s="170" t="n">
        <f aca="false">IF(B188="","",+A187+1)</f>
        <v>17</v>
      </c>
      <c r="B188" s="176" t="str">
        <f aca="false">IF($D$127=5,$O$172,IF($D$127=6,$O$172,IF($D$127=8,$O$174,IF($D$127=10,"",IF($D$127=12,$O$173,IF($D$127=14,"",IF($D$127=18,$O$172,IF($D$127=20,$O$173,IF($D$127=22,"",)))))))))</f>
        <v>5,6,18 mm ยางรองกระจก</v>
      </c>
      <c r="C188" s="176" t="str">
        <f aca="false">IF($D$127=5,$P$172,IF($D$127=6,$P$172,IF($D$127=8,$P$174,IF($D$127=10,"",IF($D$127=12,$P$173,IF($D$127=14,"",IF($D$127=18,$P$172,IF($D$127=20,$P$173,IF($D$127=22,"",)))))))))</f>
        <v>5,6,18 mm CAPTIVE WEDGE</v>
      </c>
      <c r="D188" s="176" t="str">
        <f aca="false">IF($D$127=5,$Q$172,IF($D$127=6,$Q$172,IF($D$127=8,$Q$174,IF($D$127=10,"",IF($D$127=12,$Q$173,IF($D$127=14,"",IF($D$127=18,$Q$172,IF($D$127=20,$Q$173,IF($D$127=22,"",)))))))))</f>
        <v>02-022</v>
      </c>
      <c r="E188" s="176" t="n">
        <f aca="false">IF($D$127=5,R173,IF($D$127=6,R173,IF($D$127=8,R175,IF($D$127=10,"",IF($D$127=12,R174,IF($D$127=14,"",IF($D$127=18,R173,IF($D$127=20,R174,IF($D$127=22,"",)))))))))</f>
        <v>0</v>
      </c>
      <c r="F188" s="167" t="str">
        <f aca="false">IF($D$127=5,$S$172,IF($D$127=6,$S$172,IF($D$127=8,$S$174,IF($D$127=10,"",IF($D$127=12,$S$173,IF($D$127=14,"",IF($D$127=18,$S$172,IF($D$127=20,$S$173,IF($D$127=22,"",)))))))))</f>
        <v>02-022</v>
      </c>
      <c r="G188" s="167" t="str">
        <f aca="false">IF($D$127=5,$T$172,IF($D$127=6,$T$172,IF($D$127=8,$T$174,IF($D$127=10,"",IF($D$127=12,$T$173,IF($D$127=14,"",IF($D$127=18,$T$172,IF($D$127=20,$T$173,IF($D$127=22,"",)))))))))</f>
        <v>M</v>
      </c>
      <c r="H188" s="173" t="n">
        <f aca="false">IF($D$127=5,$U$172,IF($D$127=6,$U$172,IF($D$127=8,$U$174,IF($D$127=10,"",IF($D$127=12,$U$173,IF($D$127=14,"",IF($D$127=18,$U$172,IF($D$127=20,$U$173,IF($D$127=22,"")))))))))</f>
        <v>22.954</v>
      </c>
      <c r="I188" s="286" t="n">
        <f aca="false">(K188+$K$172)*H188</f>
        <v>260.137682</v>
      </c>
      <c r="J188" s="286"/>
      <c r="K188" s="285" t="n">
        <v>9.66</v>
      </c>
    </row>
    <row r="189" s="96" customFormat="true" ht="18" hidden="false" customHeight="true" outlineLevel="0" collapsed="false">
      <c r="A189" s="170" t="str">
        <f aca="false">IF(B189="","",+A188+1)</f>
        <v/>
      </c>
      <c r="B189" s="131"/>
      <c r="C189" s="131"/>
      <c r="D189" s="132"/>
      <c r="E189" s="130"/>
      <c r="F189" s="130"/>
      <c r="G189" s="130"/>
      <c r="H189" s="289" t="s">
        <v>600</v>
      </c>
      <c r="I189" s="290" t="n">
        <f aca="false">SUM(I172:J188)</f>
        <v>9128.2749085</v>
      </c>
      <c r="J189" s="290"/>
    </row>
    <row r="190" s="96" customFormat="true" ht="18" hidden="false" customHeight="true" outlineLevel="0" collapsed="false">
      <c r="A190" s="170" t="str">
        <f aca="false">IF(B190="","",+A189+1)</f>
        <v/>
      </c>
      <c r="B190" s="131"/>
      <c r="C190" s="131"/>
      <c r="D190" s="132"/>
      <c r="E190" s="130"/>
      <c r="F190" s="130"/>
      <c r="G190" s="130"/>
      <c r="H190" s="130"/>
      <c r="I190" s="133"/>
      <c r="J190" s="134" t="n">
        <f aca="false">$J$120*H190</f>
        <v>0</v>
      </c>
    </row>
    <row r="191" s="96" customFormat="true" ht="18" hidden="false" customHeight="true" outlineLevel="0" collapsed="false">
      <c r="A191" s="170" t="str">
        <f aca="false">IF(B191="","",+A190+1)</f>
        <v/>
      </c>
      <c r="B191" s="131"/>
      <c r="C191" s="131"/>
      <c r="D191" s="132"/>
      <c r="E191" s="130"/>
      <c r="F191" s="130"/>
      <c r="G191" s="130"/>
      <c r="H191" s="130"/>
      <c r="I191" s="133"/>
      <c r="J191" s="134" t="n">
        <f aca="false">$J$120*H191</f>
        <v>0</v>
      </c>
    </row>
    <row r="192" customFormat="false" ht="18" hidden="false" customHeight="true" outlineLevel="0" collapsed="false">
      <c r="A192" s="170" t="str">
        <f aca="false">IF(B192="","",+A191+1)</f>
        <v/>
      </c>
      <c r="B192" s="131"/>
      <c r="C192" s="131"/>
      <c r="D192" s="132"/>
      <c r="E192" s="130"/>
      <c r="F192" s="130"/>
      <c r="G192" s="130"/>
      <c r="H192" s="130"/>
      <c r="I192" s="133"/>
      <c r="J192" s="134" t="n">
        <f aca="false">$J$120*H192</f>
        <v>0</v>
      </c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</row>
    <row r="193" s="96" customFormat="true" ht="18" hidden="false" customHeight="true" outlineLevel="0" collapsed="false">
      <c r="A193" s="170" t="str">
        <f aca="false">IF(B193="","",+A192+1)</f>
        <v/>
      </c>
      <c r="B193" s="131"/>
      <c r="C193" s="131"/>
      <c r="D193" s="132"/>
      <c r="E193" s="130"/>
      <c r="F193" s="130"/>
      <c r="G193" s="130"/>
      <c r="H193" s="130"/>
      <c r="I193" s="133"/>
      <c r="J193" s="134" t="n">
        <f aca="false">$J$120*H193</f>
        <v>0</v>
      </c>
    </row>
    <row r="194" s="96" customFormat="true" ht="18" hidden="false" customHeight="true" outlineLevel="0" collapsed="false">
      <c r="A194" s="170" t="str">
        <f aca="false">IF(B194="","",+A193+1)</f>
        <v/>
      </c>
      <c r="B194" s="131"/>
      <c r="C194" s="131"/>
      <c r="D194" s="132"/>
      <c r="E194" s="130"/>
      <c r="F194" s="130"/>
      <c r="G194" s="130"/>
      <c r="H194" s="130"/>
      <c r="I194" s="133"/>
      <c r="J194" s="134" t="n">
        <f aca="false">$J$120*H194</f>
        <v>0</v>
      </c>
    </row>
    <row r="195" s="96" customFormat="true" ht="18" hidden="false" customHeight="true" outlineLevel="0" collapsed="false">
      <c r="A195" s="170" t="str">
        <f aca="false">IF(B195="","",+A194+1)</f>
        <v/>
      </c>
      <c r="B195" s="131"/>
      <c r="C195" s="131"/>
      <c r="D195" s="132"/>
      <c r="E195" s="130"/>
      <c r="F195" s="130"/>
      <c r="G195" s="130"/>
      <c r="H195" s="130"/>
      <c r="I195" s="133"/>
      <c r="J195" s="134" t="n">
        <f aca="false">$J$120*H195</f>
        <v>0</v>
      </c>
    </row>
    <row r="196" s="96" customFormat="true" ht="18" hidden="false" customHeight="true" outlineLevel="0" collapsed="false">
      <c r="A196" s="170"/>
      <c r="B196" s="131"/>
      <c r="C196" s="131"/>
      <c r="D196" s="132"/>
      <c r="E196" s="130"/>
      <c r="F196" s="130"/>
      <c r="G196" s="130"/>
      <c r="H196" s="130"/>
      <c r="I196" s="133"/>
      <c r="J196" s="134"/>
    </row>
    <row r="197" s="96" customFormat="true" ht="18" hidden="false" customHeight="true" outlineLevel="0" collapsed="false">
      <c r="A197" s="170" t="str">
        <f aca="false">IF(B197="","",+A195+1)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$J$120*H197</f>
        <v>0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$J$120*H198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IF(B200="","",+""+1)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IF(B202="","",+""+1)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0" t="str">
        <f aca="false">IF(B204="","",+""+1)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$J$120*H204</f>
        <v>0</v>
      </c>
    </row>
    <row r="205" s="96" customFormat="true" ht="18" hidden="false" customHeight="true" outlineLevel="0" collapsed="false">
      <c r="A205" s="179" t="str">
        <f aca="false">IF(B205="","",+A204+1)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$J$120*H205</f>
        <v>0</v>
      </c>
    </row>
    <row r="206" s="96" customFormat="true" ht="18" hidden="false" customHeight="true" outlineLevel="0" collapsed="false">
      <c r="A206" s="200"/>
      <c r="B206" s="98"/>
      <c r="D206" s="98"/>
      <c r="E206" s="97"/>
      <c r="F206" s="98"/>
      <c r="G206" s="98"/>
      <c r="H206" s="98"/>
      <c r="I206" s="196"/>
      <c r="J206" s="196"/>
    </row>
    <row r="207" customFormat="false" ht="12.75" hidden="false" customHeight="true" outlineLevel="0" collapsed="false">
      <c r="A207" s="97"/>
      <c r="J207" s="92" t="str">
        <f aca="false">LEFT($J$111,11)&amp;"-02"</f>
        <v>FG-240-4P4L-02</v>
      </c>
    </row>
    <row r="208" customFormat="false" ht="1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B215" s="182"/>
      <c r="D215" s="98"/>
      <c r="E215" s="83"/>
      <c r="F215" s="183"/>
      <c r="I215" s="183"/>
      <c r="J215" s="99"/>
    </row>
    <row r="216" s="96" customFormat="true" ht="15" hidden="false" customHeight="true" outlineLevel="0" collapsed="false">
      <c r="A216" s="97"/>
      <c r="C216" s="184"/>
      <c r="D216" s="98"/>
      <c r="E216" s="83"/>
      <c r="F216" s="98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565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2325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99"/>
      <c r="B230" s="99"/>
      <c r="C230" s="181"/>
      <c r="D230" s="98"/>
      <c r="E230" s="97"/>
      <c r="F230" s="98"/>
      <c r="H230" s="97"/>
      <c r="I230" s="181"/>
      <c r="J230" s="193"/>
    </row>
    <row r="231" s="96" customFormat="true" ht="15.75" hidden="false" customHeight="true" outlineLevel="0" collapsed="false">
      <c r="A231" s="188"/>
      <c r="B231" s="188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97"/>
      <c r="B232" s="97"/>
      <c r="D232" s="98"/>
      <c r="E232" s="97"/>
      <c r="F232" s="98"/>
      <c r="I232" s="181"/>
      <c r="J232" s="193"/>
    </row>
    <row r="233" s="96" customFormat="true" ht="15.75" hidden="false" customHeight="true" outlineLevel="0" collapsed="false">
      <c r="A233" s="81"/>
      <c r="D233" s="98"/>
      <c r="E233" s="97"/>
      <c r="F233" s="97"/>
      <c r="I233" s="181"/>
      <c r="J233" s="193"/>
    </row>
    <row r="234" s="96" customFormat="true" ht="15.75" hidden="false" customHeight="true" outlineLevel="0" collapsed="false">
      <c r="A234" s="191"/>
      <c r="B234" s="191"/>
      <c r="C234" s="184" t="s">
        <v>517</v>
      </c>
      <c r="D234" s="192"/>
      <c r="E234" s="191"/>
      <c r="F234" s="191"/>
      <c r="G234" s="97"/>
      <c r="H234" s="97"/>
      <c r="I234" s="181"/>
      <c r="J234" s="193"/>
    </row>
    <row r="235" s="96" customFormat="true" ht="15.75" hidden="false" customHeight="true" outlineLevel="0" collapsed="false">
      <c r="A235" s="190"/>
      <c r="B235" s="190"/>
      <c r="C235" s="181" t="s">
        <v>462</v>
      </c>
      <c r="D235" s="194"/>
      <c r="E235" s="190"/>
      <c r="F235" s="189"/>
      <c r="G235" s="97"/>
      <c r="H235" s="97"/>
      <c r="J235" s="97"/>
    </row>
    <row r="236" s="96" customFormat="true" ht="15.75" hidden="false" customHeight="true" outlineLevel="0" collapsed="false">
      <c r="A236" s="97"/>
      <c r="C236" s="181" t="s">
        <v>518</v>
      </c>
      <c r="D236" s="98"/>
      <c r="E236" s="97"/>
      <c r="F236" s="98"/>
      <c r="G236" s="97"/>
      <c r="H236" s="97"/>
      <c r="I236" s="97"/>
      <c r="J236" s="196"/>
    </row>
    <row r="237" s="96" customFormat="true" ht="15.75" hidden="false" customHeight="true" outlineLevel="0" collapsed="false">
      <c r="A237" s="97"/>
      <c r="C237" s="185" t="n">
        <f aca="false">$I$134</f>
        <v>2299</v>
      </c>
      <c r="D237" s="98"/>
      <c r="E237" s="97"/>
      <c r="F237" s="98"/>
      <c r="G237" s="97"/>
      <c r="H237" s="97"/>
      <c r="I237" s="196"/>
      <c r="J237" s="196"/>
    </row>
    <row r="238" s="96" customFormat="true" ht="15.75" hidden="false" customHeight="true" outlineLevel="0" collapsed="false">
      <c r="A238" s="97"/>
      <c r="C238" s="187" t="n">
        <f aca="false">$J$134</f>
        <v>1</v>
      </c>
      <c r="D238" s="98"/>
      <c r="E238" s="97"/>
      <c r="F238" s="98"/>
      <c r="G238" s="97"/>
      <c r="H238" s="195"/>
      <c r="I238" s="184"/>
      <c r="J238" s="198"/>
    </row>
    <row r="239" s="96" customFormat="true" ht="15.75" hidden="false" customHeight="true" outlineLevel="0" collapsed="false">
      <c r="A239" s="97"/>
      <c r="C239" s="191"/>
      <c r="D239" s="98"/>
      <c r="E239" s="97"/>
      <c r="F239" s="98"/>
      <c r="G239" s="97"/>
      <c r="H239" s="195"/>
      <c r="I239" s="184"/>
      <c r="J239" s="198"/>
    </row>
    <row r="240" s="96" customFormat="true" ht="15.75" hidden="false" customHeight="true" outlineLevel="0" collapsed="false">
      <c r="A240" s="97"/>
      <c r="C240" s="191"/>
      <c r="D240" s="98"/>
      <c r="E240" s="97"/>
      <c r="F240" s="98"/>
      <c r="G240" s="97"/>
      <c r="H240" s="195"/>
      <c r="I240" s="181"/>
      <c r="J240" s="193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97"/>
      <c r="I241" s="181"/>
      <c r="J241" s="193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196"/>
      <c r="J242" s="196"/>
    </row>
    <row r="243" s="96" customFormat="true" ht="15.75" hidden="false" customHeight="true" outlineLevel="0" collapsed="false">
      <c r="A243" s="97"/>
      <c r="D243" s="98"/>
      <c r="E243" s="97"/>
      <c r="F243" s="98"/>
      <c r="G243" s="97"/>
      <c r="H243" s="197"/>
      <c r="I243" s="196"/>
      <c r="J243" s="196"/>
    </row>
    <row r="244" s="96" customFormat="true" ht="15.75" hidden="false" customHeight="true" outlineLevel="0" collapsed="false">
      <c r="A244" s="97"/>
      <c r="D244" s="98"/>
      <c r="E244" s="97"/>
      <c r="F244" s="98"/>
      <c r="G244" s="97"/>
      <c r="H244" s="97"/>
      <c r="I244" s="97"/>
      <c r="J244" s="196"/>
    </row>
    <row r="245" s="96" customFormat="true" ht="15.75" hidden="false" customHeight="true" outlineLevel="0" collapsed="false">
      <c r="A245" s="97"/>
      <c r="C245" s="184" t="s">
        <v>519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1" t="s">
        <v>459</v>
      </c>
      <c r="D246" s="98"/>
      <c r="E246" s="97"/>
      <c r="F246" s="98"/>
      <c r="G246" s="97"/>
      <c r="H246" s="97"/>
      <c r="I246" s="196"/>
      <c r="J246" s="196"/>
    </row>
    <row r="247" s="96" customFormat="true" ht="15" hidden="false" customHeight="true" outlineLevel="0" collapsed="false">
      <c r="A247" s="97"/>
      <c r="C247" s="181" t="s">
        <v>460</v>
      </c>
      <c r="D247" s="98"/>
      <c r="E247" s="97"/>
      <c r="F247" s="98"/>
      <c r="G247" s="97"/>
      <c r="H247" s="97"/>
      <c r="I247" s="196"/>
      <c r="J247" s="196"/>
    </row>
    <row r="248" s="96" customFormat="true" ht="15.75" hidden="false" customHeight="true" outlineLevel="0" collapsed="false">
      <c r="A248" s="97"/>
      <c r="C248" s="185" t="n">
        <f aca="false">$I$135</f>
        <v>2325</v>
      </c>
      <c r="D248" s="98"/>
      <c r="E248" s="97"/>
      <c r="F248" s="98"/>
      <c r="G248" s="97"/>
      <c r="H248" s="97"/>
      <c r="I248" s="191"/>
      <c r="J248" s="199"/>
    </row>
    <row r="249" s="96" customFormat="true" ht="15.75" hidden="false" customHeight="true" outlineLevel="0" collapsed="false">
      <c r="A249" s="97"/>
      <c r="C249" s="187" t="n">
        <f aca="false">$J$135</f>
        <v>1</v>
      </c>
      <c r="D249" s="98"/>
      <c r="E249" s="97"/>
      <c r="F249" s="98"/>
      <c r="G249" s="97"/>
      <c r="H249" s="97"/>
      <c r="I249" s="189"/>
      <c r="J249" s="190"/>
    </row>
    <row r="250" s="96" customFormat="true" ht="15.75" hidden="false" customHeight="true" outlineLevel="0" collapsed="false">
      <c r="A250" s="97"/>
      <c r="C250" s="98"/>
      <c r="D250" s="98"/>
      <c r="E250" s="97"/>
      <c r="F250" s="98"/>
      <c r="G250" s="97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1"/>
      <c r="H251" s="97"/>
      <c r="J251" s="97"/>
    </row>
    <row r="252" s="96" customFormat="true" ht="15.75" hidden="false" customHeight="true" outlineLevel="0" collapsed="false">
      <c r="A252" s="97"/>
      <c r="D252" s="98"/>
      <c r="E252" s="97"/>
      <c r="F252" s="97"/>
      <c r="G252" s="191"/>
      <c r="H252" s="97"/>
      <c r="J252" s="97"/>
    </row>
    <row r="253" s="96" customFormat="true" ht="15.75" hidden="false" customHeight="true" outlineLevel="0" collapsed="false">
      <c r="A253" s="97"/>
      <c r="D253" s="98"/>
      <c r="E253" s="97"/>
      <c r="F253" s="97"/>
      <c r="G253" s="191"/>
      <c r="H253" s="97"/>
      <c r="J253" s="97"/>
    </row>
    <row r="254" s="96" customFormat="true" ht="15.75" hidden="false" customHeight="true" outlineLevel="0" collapsed="false">
      <c r="A254" s="97"/>
      <c r="D254" s="98"/>
      <c r="E254" s="97"/>
      <c r="F254" s="97"/>
      <c r="G254" s="190"/>
      <c r="H254" s="97"/>
      <c r="I254" s="196"/>
      <c r="J254" s="196"/>
    </row>
    <row r="255" s="96" customFormat="true" ht="15.75" hidden="false" customHeight="true" outlineLevel="0" collapsed="false">
      <c r="A255" s="97"/>
      <c r="D255" s="98"/>
      <c r="E255" s="97"/>
      <c r="F255" s="97"/>
      <c r="G255" s="97"/>
      <c r="H255" s="97"/>
      <c r="I255" s="196"/>
      <c r="J255" s="196"/>
    </row>
    <row r="256" s="96" customFormat="true" ht="15.75" hidden="false" customHeight="true" outlineLevel="0" collapsed="false">
      <c r="A256" s="191"/>
      <c r="B256" s="191"/>
      <c r="D256" s="192"/>
      <c r="E256" s="191"/>
      <c r="F256" s="191"/>
      <c r="G256" s="97"/>
      <c r="H256" s="97"/>
      <c r="I256" s="196"/>
      <c r="J256" s="196"/>
    </row>
    <row r="257" s="96" customFormat="true" ht="15.75" hidden="false" customHeight="true" outlineLevel="0" collapsed="false">
      <c r="A257" s="190"/>
      <c r="B257" s="190"/>
      <c r="C257" s="184" t="s">
        <v>520</v>
      </c>
      <c r="D257" s="194"/>
      <c r="E257" s="190"/>
      <c r="F257" s="189"/>
      <c r="G257" s="97"/>
      <c r="I257" s="196"/>
      <c r="J257" s="196"/>
    </row>
    <row r="258" s="96" customFormat="true" ht="15.75" hidden="false" customHeight="true" outlineLevel="0" collapsed="false">
      <c r="A258" s="200"/>
      <c r="C258" s="181" t="s">
        <v>459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C259" s="181" t="s">
        <v>460</v>
      </c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C260" s="185" t="n">
        <f aca="false">$I$136</f>
        <v>2325</v>
      </c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C261" s="187" t="n">
        <f aca="false">$J$136</f>
        <v>1</v>
      </c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D264" s="98"/>
      <c r="E264" s="97"/>
      <c r="F264" s="97"/>
      <c r="G264" s="97"/>
      <c r="I264" s="196"/>
      <c r="J264" s="196"/>
    </row>
    <row r="265" s="96" customFormat="true" ht="15.75" hidden="false" customHeight="true" outlineLevel="0" collapsed="false">
      <c r="A265" s="200"/>
      <c r="D265" s="98"/>
      <c r="E265" s="97"/>
      <c r="F265" s="97"/>
      <c r="G265" s="97"/>
      <c r="I265" s="196"/>
      <c r="J265" s="196"/>
    </row>
    <row r="266" s="96" customFormat="true" ht="15.75" hidden="false" customHeight="true" outlineLevel="0" collapsed="false">
      <c r="A266" s="200"/>
      <c r="C266" s="98"/>
      <c r="D266" s="98"/>
      <c r="E266" s="97"/>
      <c r="F266" s="97"/>
      <c r="G266" s="97"/>
      <c r="I266" s="196"/>
      <c r="J266" s="196"/>
    </row>
    <row r="267" s="96" customFormat="true" ht="15.75" hidden="false" customHeight="true" outlineLevel="0" collapsed="false">
      <c r="A267" s="200"/>
      <c r="D267" s="98"/>
      <c r="E267" s="97"/>
      <c r="F267" s="97"/>
      <c r="G267" s="97"/>
      <c r="I267" s="196"/>
      <c r="J267" s="196"/>
    </row>
    <row r="268" s="96" customFormat="true" ht="15.75" hidden="false" customHeight="true" outlineLevel="0" collapsed="false">
      <c r="A268" s="200"/>
      <c r="C268" s="184" t="s">
        <v>586</v>
      </c>
      <c r="D268" s="98"/>
      <c r="E268" s="97"/>
      <c r="F268" s="97"/>
      <c r="G268" s="97"/>
      <c r="H268" s="97"/>
      <c r="I268" s="196"/>
      <c r="J268" s="196"/>
    </row>
    <row r="269" s="96" customFormat="true" ht="15.75" hidden="false" customHeight="true" outlineLevel="0" collapsed="false">
      <c r="A269" s="200"/>
      <c r="C269" s="181" t="s">
        <v>522</v>
      </c>
      <c r="D269" s="181"/>
      <c r="E269" s="181"/>
      <c r="F269" s="97"/>
      <c r="G269" s="97"/>
      <c r="H269" s="97"/>
      <c r="I269" s="196"/>
      <c r="J269" s="196"/>
    </row>
    <row r="270" s="96" customFormat="true" ht="15.75" hidden="false" customHeight="true" outlineLevel="0" collapsed="false">
      <c r="A270" s="200"/>
      <c r="C270" s="181" t="s">
        <v>468</v>
      </c>
      <c r="D270" s="181"/>
      <c r="E270" s="181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C271" s="185" t="n">
        <f aca="false">$I$137</f>
        <v>2385</v>
      </c>
      <c r="D271" s="98"/>
      <c r="E271" s="97"/>
      <c r="F271" s="97"/>
      <c r="J271" s="97"/>
    </row>
    <row r="272" s="96" customFormat="true" ht="15.75" hidden="false" customHeight="true" outlineLevel="0" collapsed="false">
      <c r="A272" s="200"/>
      <c r="C272" s="187" t="n">
        <f aca="false">$J$137+$J$138</f>
        <v>2</v>
      </c>
      <c r="D272" s="98"/>
      <c r="E272" s="97"/>
      <c r="F272" s="97"/>
      <c r="G272" s="97"/>
      <c r="H272" s="97"/>
      <c r="J272" s="97"/>
    </row>
    <row r="273" s="96" customFormat="true" ht="15.75" hidden="false" customHeight="true" outlineLevel="0" collapsed="false">
      <c r="A273" s="200"/>
      <c r="D273" s="184"/>
      <c r="E273" s="184"/>
      <c r="F273" s="97"/>
      <c r="G273" s="97"/>
      <c r="H273" s="97"/>
      <c r="J273" s="97"/>
    </row>
    <row r="274" s="96" customFormat="true" ht="15.75" hidden="false" customHeight="true" outlineLevel="0" collapsed="false">
      <c r="A274" s="200"/>
      <c r="D274" s="184"/>
      <c r="E274" s="184"/>
      <c r="F274" s="97"/>
      <c r="G274" s="97"/>
      <c r="H274" s="97"/>
      <c r="J274" s="97"/>
    </row>
    <row r="275" s="96" customFormat="true" ht="15.75" hidden="false" customHeight="true" outlineLevel="0" collapsed="false">
      <c r="A275" s="200"/>
      <c r="D275" s="184"/>
      <c r="E275" s="184"/>
      <c r="F275" s="97"/>
      <c r="G275" s="97"/>
      <c r="H275" s="97"/>
      <c r="J275" s="97"/>
    </row>
    <row r="276" s="96" customFormat="true" ht="15.75" hidden="false" customHeight="true" outlineLevel="0" collapsed="false">
      <c r="A276" s="200"/>
      <c r="D276" s="181"/>
      <c r="E276" s="181"/>
      <c r="F276" s="97"/>
      <c r="G276" s="97"/>
      <c r="H276" s="97"/>
      <c r="J276" s="97"/>
    </row>
    <row r="277" s="96" customFormat="true" ht="15.75" hidden="false" customHeight="true" outlineLevel="0" collapsed="false">
      <c r="A277" s="200"/>
      <c r="D277" s="181"/>
      <c r="E277" s="181"/>
      <c r="F277" s="97"/>
      <c r="G277" s="97"/>
      <c r="I277" s="196"/>
      <c r="J277" s="196"/>
    </row>
    <row r="278" s="96" customFormat="true" ht="15.75" hidden="false" customHeight="true" outlineLevel="0" collapsed="false">
      <c r="A278" s="200"/>
      <c r="D278" s="98"/>
      <c r="E278" s="97"/>
      <c r="F278" s="97"/>
      <c r="G278" s="97"/>
      <c r="I278" s="196"/>
      <c r="J278" s="196"/>
    </row>
    <row r="279" s="96" customFormat="true" ht="15.75" hidden="false" customHeight="true" outlineLevel="0" collapsed="false">
      <c r="A279" s="200"/>
      <c r="C279" s="184" t="s">
        <v>523</v>
      </c>
      <c r="D279" s="201"/>
      <c r="E279" s="196"/>
      <c r="F279" s="97"/>
      <c r="G279" s="97"/>
      <c r="I279" s="196"/>
      <c r="J279" s="196"/>
    </row>
    <row r="280" s="96" customFormat="true" ht="15.75" hidden="false" customHeight="true" outlineLevel="0" collapsed="false">
      <c r="A280" s="200"/>
      <c r="C280" s="181" t="s">
        <v>470</v>
      </c>
      <c r="D280" s="181"/>
      <c r="E280" s="181"/>
      <c r="F280" s="97"/>
      <c r="G280" s="97"/>
      <c r="I280" s="97"/>
      <c r="J280" s="196"/>
    </row>
    <row r="281" s="96" customFormat="true" ht="15.75" hidden="false" customHeight="true" outlineLevel="0" collapsed="false">
      <c r="A281" s="200"/>
      <c r="C281" s="181" t="s">
        <v>471</v>
      </c>
      <c r="D281" s="181"/>
      <c r="E281" s="181"/>
      <c r="F281" s="97"/>
      <c r="G281" s="97"/>
      <c r="I281" s="97"/>
      <c r="J281" s="196"/>
    </row>
    <row r="282" s="96" customFormat="true" ht="15.75" hidden="false" customHeight="true" outlineLevel="0" collapsed="false">
      <c r="A282" s="200"/>
      <c r="C282" s="185" t="n">
        <f aca="false">$I$139</f>
        <v>2289</v>
      </c>
      <c r="F282" s="97"/>
      <c r="G282" s="97"/>
      <c r="I282" s="97"/>
      <c r="J282" s="196"/>
    </row>
    <row r="283" s="96" customFormat="true" ht="15.75" hidden="false" customHeight="true" outlineLevel="0" collapsed="false">
      <c r="A283" s="200"/>
      <c r="C283" s="187" t="n">
        <f aca="false">$J$139+$J$140</f>
        <v>2</v>
      </c>
      <c r="F283" s="97"/>
      <c r="G283" s="97"/>
      <c r="I283" s="97"/>
      <c r="J283" s="196"/>
    </row>
    <row r="284" s="96" customFormat="true" ht="15.75" hidden="false" customHeight="true" outlineLevel="0" collapsed="false">
      <c r="A284" s="200"/>
      <c r="F284" s="97"/>
      <c r="G284" s="97"/>
      <c r="H284" s="97"/>
      <c r="J284" s="97"/>
    </row>
    <row r="285" s="96" customFormat="true" ht="15.75" hidden="false" customHeight="true" outlineLevel="0" collapsed="false">
      <c r="A285" s="200"/>
      <c r="F285" s="97"/>
      <c r="G285" s="97"/>
      <c r="H285" s="97"/>
      <c r="J285" s="97"/>
    </row>
    <row r="286" s="96" customFormat="true" ht="15.75" hidden="false" customHeight="true" outlineLevel="0" collapsed="false">
      <c r="A286" s="200"/>
      <c r="D286" s="98"/>
      <c r="E286" s="97"/>
      <c r="F286" s="97"/>
      <c r="G286" s="97"/>
      <c r="H286" s="97"/>
      <c r="J286" s="97"/>
    </row>
    <row r="287" s="96" customFormat="true" ht="15.75" hidden="false" customHeight="true" outlineLevel="0" collapsed="false">
      <c r="A287" s="200"/>
      <c r="F287" s="97"/>
      <c r="G287" s="97"/>
      <c r="H287" s="97"/>
      <c r="J287" s="97"/>
    </row>
    <row r="288" s="96" customFormat="true" ht="15.75" hidden="false" customHeight="true" outlineLevel="0" collapsed="false">
      <c r="A288" s="200"/>
      <c r="F288" s="97"/>
      <c r="G288" s="97"/>
      <c r="H288" s="97"/>
      <c r="I288" s="201"/>
      <c r="J288" s="196"/>
    </row>
    <row r="289" s="96" customFormat="true" ht="15.75" hidden="false" customHeight="true" outlineLevel="0" collapsed="false">
      <c r="A289" s="200"/>
      <c r="C289" s="184" t="s">
        <v>524</v>
      </c>
      <c r="F289" s="97"/>
      <c r="G289" s="97"/>
      <c r="H289" s="97"/>
      <c r="I289" s="97"/>
      <c r="J289" s="196"/>
    </row>
    <row r="290" s="96" customFormat="true" ht="15.75" hidden="false" customHeight="true" outlineLevel="0" collapsed="false">
      <c r="A290" s="200"/>
      <c r="C290" s="83" t="s">
        <v>636</v>
      </c>
      <c r="D290" s="98"/>
      <c r="E290" s="97"/>
      <c r="F290" s="97"/>
      <c r="G290" s="97"/>
      <c r="H290" s="97"/>
      <c r="I290" s="196"/>
      <c r="J290" s="196"/>
    </row>
    <row r="291" s="96" customFormat="true" ht="15.75" hidden="false" customHeight="true" outlineLevel="0" collapsed="false">
      <c r="A291" s="200"/>
      <c r="C291" s="181" t="s">
        <v>637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C292" s="181" t="s">
        <v>475</v>
      </c>
      <c r="D292" s="181"/>
      <c r="E292" s="181"/>
      <c r="F292" s="97"/>
      <c r="G292" s="97"/>
      <c r="I292" s="196"/>
      <c r="J292" s="196"/>
    </row>
    <row r="293" s="202" customFormat="true" ht="15.75" hidden="false" customHeight="true" outlineLevel="0" collapsed="false">
      <c r="A293" s="200"/>
      <c r="B293" s="96"/>
      <c r="C293" s="181" t="s">
        <v>476</v>
      </c>
      <c r="D293" s="181"/>
      <c r="E293" s="181"/>
      <c r="F293" s="97"/>
      <c r="G293" s="97"/>
      <c r="H293" s="96"/>
      <c r="I293" s="97"/>
      <c r="J293" s="97"/>
    </row>
    <row r="294" s="96" customFormat="true" ht="15.75" hidden="false" customHeight="true" outlineLevel="0" collapsed="false">
      <c r="A294" s="200"/>
      <c r="C294" s="185" t="n">
        <f aca="false">$I$141</f>
        <v>576.25</v>
      </c>
      <c r="F294" s="97"/>
      <c r="G294" s="97"/>
      <c r="I294" s="191"/>
      <c r="J294" s="199"/>
    </row>
    <row r="295" s="96" customFormat="true" ht="15.75" hidden="false" customHeight="true" outlineLevel="0" collapsed="false">
      <c r="A295" s="200"/>
      <c r="C295" s="187" t="n">
        <f aca="false">$J$141+$J$142</f>
        <v>8</v>
      </c>
      <c r="D295" s="98"/>
      <c r="E295" s="97"/>
      <c r="F295" s="97"/>
      <c r="G295" s="97"/>
      <c r="H295" s="98"/>
      <c r="I295" s="189"/>
      <c r="J295" s="190"/>
    </row>
    <row r="296" s="96" customFormat="true" ht="15.75" hidden="false" customHeight="true" outlineLevel="0" collapsed="false">
      <c r="A296" s="200"/>
      <c r="C296" s="185" t="n">
        <f aca="false">$I$143</f>
        <v>2293</v>
      </c>
      <c r="D296" s="98"/>
      <c r="E296" s="97"/>
      <c r="F296" s="97"/>
      <c r="G296" s="97"/>
      <c r="H296" s="97"/>
      <c r="I296" s="196"/>
      <c r="J296" s="196"/>
    </row>
    <row r="297" s="96" customFormat="true" ht="15.75" hidden="false" customHeight="true" outlineLevel="0" collapsed="false">
      <c r="A297" s="200"/>
      <c r="C297" s="187" t="n">
        <f aca="false">$J$143+$J$144</f>
        <v>8</v>
      </c>
      <c r="D297" s="98"/>
      <c r="E297" s="97"/>
      <c r="F297" s="97"/>
      <c r="G297" s="97"/>
      <c r="H297" s="97"/>
      <c r="I297" s="196"/>
      <c r="J297" s="196"/>
    </row>
    <row r="298" s="96" customFormat="true" ht="15.75" hidden="false" customHeight="true" outlineLevel="0" collapsed="false">
      <c r="A298" s="200"/>
      <c r="C298" s="187"/>
      <c r="D298" s="98"/>
      <c r="E298" s="97"/>
      <c r="F298" s="97"/>
      <c r="G298" s="97"/>
      <c r="H298" s="97"/>
      <c r="I298" s="196"/>
      <c r="J298" s="196"/>
    </row>
    <row r="299" s="96" customFormat="true" ht="15.75" hidden="false" customHeight="true" outlineLevel="0" collapsed="false">
      <c r="A299" s="200"/>
      <c r="D299" s="98"/>
      <c r="E299" s="97"/>
      <c r="F299" s="97"/>
      <c r="G299" s="97"/>
      <c r="H299" s="97"/>
      <c r="I299" s="196"/>
      <c r="J299" s="196"/>
    </row>
    <row r="300" s="96" customFormat="true" ht="15.75" hidden="false" customHeight="true" outlineLevel="0" collapsed="false">
      <c r="A300" s="200"/>
      <c r="D300" s="98"/>
      <c r="E300" s="97"/>
      <c r="F300" s="97"/>
      <c r="G300" s="97"/>
      <c r="H300" s="97"/>
      <c r="I300" s="97"/>
      <c r="J300" s="196"/>
    </row>
    <row r="301" s="96" customFormat="true" ht="15.75" hidden="false" customHeight="true" outlineLevel="0" collapsed="false">
      <c r="A301" s="200"/>
      <c r="C301" s="202"/>
      <c r="D301" s="98"/>
      <c r="E301" s="97"/>
      <c r="F301" s="97"/>
      <c r="G301" s="97"/>
      <c r="H301" s="97"/>
      <c r="I301" s="97"/>
      <c r="J301" s="196"/>
    </row>
    <row r="302" s="96" customFormat="true" ht="15.75" hidden="false" customHeight="true" outlineLevel="0" collapsed="false">
      <c r="A302" s="200"/>
      <c r="C302" s="184" t="s">
        <v>525</v>
      </c>
      <c r="D302" s="98"/>
      <c r="E302" s="97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200"/>
      <c r="C303" s="83" t="s">
        <v>636</v>
      </c>
      <c r="D303" s="98"/>
      <c r="E303" s="97"/>
      <c r="F303" s="97"/>
      <c r="G303" s="191"/>
      <c r="H303" s="191"/>
      <c r="I303" s="97"/>
      <c r="J303" s="196"/>
    </row>
    <row r="304" s="96" customFormat="true" ht="15.75" hidden="false" customHeight="true" outlineLevel="0" collapsed="false">
      <c r="A304" s="200"/>
      <c r="C304" s="181" t="s">
        <v>637</v>
      </c>
      <c r="D304" s="181"/>
      <c r="E304" s="181"/>
      <c r="F304" s="97"/>
      <c r="G304" s="190"/>
      <c r="H304" s="189"/>
      <c r="I304" s="97"/>
      <c r="J304" s="196"/>
    </row>
    <row r="305" s="96" customFormat="true" ht="15.75" hidden="false" customHeight="true" outlineLevel="0" collapsed="false">
      <c r="A305" s="107"/>
      <c r="C305" s="181" t="s">
        <v>478</v>
      </c>
      <c r="D305" s="181"/>
      <c r="E305" s="181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191"/>
      <c r="B306" s="191"/>
      <c r="C306" s="181" t="s">
        <v>479</v>
      </c>
      <c r="D306" s="203"/>
      <c r="E306" s="204"/>
      <c r="F306" s="191"/>
      <c r="G306" s="97"/>
      <c r="H306" s="97"/>
      <c r="I306" s="97"/>
      <c r="J306" s="196"/>
    </row>
    <row r="307" s="96" customFormat="true" ht="15.75" hidden="false" customHeight="true" outlineLevel="0" collapsed="false">
      <c r="A307" s="190"/>
      <c r="B307" s="190"/>
      <c r="C307" s="185" t="n">
        <f aca="false">$I$145</f>
        <v>465.8125</v>
      </c>
      <c r="D307" s="205"/>
      <c r="E307" s="206"/>
      <c r="F307" s="189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187" t="n">
        <f aca="false">$J$145</f>
        <v>8</v>
      </c>
      <c r="D308" s="98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5" t="n">
        <f aca="false">$I$146</f>
        <v>2143</v>
      </c>
      <c r="D309" s="98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7" t="n">
        <f aca="false">$J$146</f>
        <v>8</v>
      </c>
      <c r="D310" s="98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LEFT($J$111,11)&amp;"-03"</f>
        <v>FG-240-4P4L-03</v>
      </c>
    </row>
    <row r="315" s="96" customFormat="true" ht="15" hidden="false" customHeight="true" outlineLevel="0" collapsed="false">
      <c r="A315" s="200"/>
      <c r="D315" s="201"/>
      <c r="E315" s="196"/>
      <c r="F315" s="97"/>
      <c r="G315" s="97"/>
      <c r="H315" s="97"/>
      <c r="I315" s="200"/>
      <c r="J315" s="92"/>
    </row>
    <row r="316" customFormat="false" ht="30" hidden="false" customHeight="true" outlineLevel="0" collapsed="false">
      <c r="I316" s="76"/>
      <c r="J316" s="77" t="str">
        <f aca="false">$J$2</f>
        <v>HOMELIFE</v>
      </c>
      <c r="K316" s="83"/>
      <c r="L316" s="83"/>
      <c r="M316" s="79"/>
      <c r="N316" s="79"/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188"/>
      <c r="D323" s="73"/>
      <c r="I323" s="183"/>
      <c r="J323" s="99"/>
    </row>
    <row r="324" s="96" customFormat="true" ht="15" hidden="false" customHeight="true" outlineLevel="0" collapsed="false">
      <c r="A324" s="97"/>
      <c r="B324" s="81"/>
      <c r="D324" s="98"/>
      <c r="E324" s="83"/>
      <c r="F324" s="183"/>
      <c r="G324" s="183"/>
      <c r="H324" s="183"/>
      <c r="I324" s="83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240-4 Panel (4L)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195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91"/>
      <c r="D405" s="98"/>
      <c r="E405" s="97"/>
      <c r="F405" s="97"/>
      <c r="G405" s="97"/>
      <c r="H405" s="97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97"/>
      <c r="B418" s="191"/>
      <c r="C418" s="191"/>
      <c r="D418" s="192"/>
      <c r="E418" s="191"/>
      <c r="F418" s="191"/>
      <c r="G418" s="191"/>
      <c r="H418" s="191"/>
      <c r="I418" s="196"/>
      <c r="J418" s="196"/>
      <c r="K418" s="214"/>
    </row>
    <row r="419" s="96" customFormat="true" ht="15.75" hidden="false" customHeight="true" outlineLevel="0" collapsed="false">
      <c r="A419" s="97"/>
      <c r="D419" s="98"/>
      <c r="E419" s="97"/>
      <c r="F419" s="97"/>
      <c r="G419" s="97"/>
      <c r="H419" s="97"/>
      <c r="I419" s="196"/>
    </row>
    <row r="420" customFormat="false" ht="18" hidden="false" customHeight="true" outlineLevel="0" collapsed="false">
      <c r="A420" s="97"/>
      <c r="B420" s="96"/>
      <c r="C420" s="96"/>
      <c r="D420" s="98"/>
      <c r="E420" s="97"/>
      <c r="F420" s="97"/>
      <c r="G420" s="97"/>
      <c r="H420" s="97"/>
      <c r="I420" s="97"/>
      <c r="J420" s="92" t="str">
        <f aca="false">LEFT($J$111,11)&amp;"-04"</f>
        <v>FG-240-4P4L-04</v>
      </c>
      <c r="K420" s="78"/>
      <c r="L420" s="78"/>
      <c r="M420" s="79"/>
      <c r="N420" s="79"/>
    </row>
    <row r="421" customFormat="false" ht="15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/>
      <c r="K421" s="78"/>
      <c r="L421" s="78"/>
      <c r="M421" s="79"/>
      <c r="N421" s="79"/>
    </row>
    <row r="422" customFormat="false" ht="30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77" t="str">
        <f aca="false">$J$2</f>
        <v>HOMELIFE</v>
      </c>
      <c r="K422" s="78"/>
      <c r="L422" s="78"/>
      <c r="M422" s="79"/>
      <c r="N422" s="79"/>
    </row>
    <row r="423" customFormat="false" ht="24.75" hidden="false" customHeight="true" outlineLevel="0" collapsed="false">
      <c r="C423" s="75"/>
      <c r="D423" s="76"/>
      <c r="E423" s="76"/>
      <c r="F423" s="76"/>
      <c r="G423" s="76"/>
      <c r="H423" s="76"/>
      <c r="I423" s="82"/>
      <c r="J423" s="80" t="str">
        <f aca="false">$J$3</f>
        <v>Fabricators Guide</v>
      </c>
      <c r="K423" s="83"/>
      <c r="L423" s="83"/>
      <c r="M423" s="79"/>
      <c r="N423" s="79"/>
    </row>
    <row r="424" customFormat="false" ht="24.75" hidden="false" customHeight="true" outlineLevel="0" collapsed="false">
      <c r="C424" s="82"/>
      <c r="D424" s="82"/>
      <c r="E424" s="82"/>
      <c r="F424" s="82"/>
      <c r="G424" s="82"/>
      <c r="H424" s="82"/>
      <c r="I424" s="82"/>
      <c r="J424" s="80" t="str">
        <f aca="false">$J$4</f>
        <v>240 Series Bi Fold Door </v>
      </c>
      <c r="M424" s="87"/>
      <c r="N424" s="87"/>
    </row>
    <row r="425" s="96" customFormat="true" ht="15" hidden="false" customHeight="true" outlineLevel="0" collapsed="false">
      <c r="A425" s="84"/>
      <c r="B425" s="81"/>
      <c r="C425" s="82"/>
      <c r="D425" s="82"/>
      <c r="E425" s="82"/>
      <c r="F425" s="82"/>
      <c r="G425" s="82"/>
      <c r="H425" s="82"/>
      <c r="I425" s="84"/>
      <c r="J425" s="86"/>
      <c r="K425" s="87"/>
      <c r="L425" s="87"/>
      <c r="M425" s="87"/>
      <c r="N425" s="87"/>
    </row>
    <row r="426" s="96" customFormat="true" ht="24.75" hidden="false" customHeight="true" outlineLevel="0" collapsed="false">
      <c r="A426" s="88" t="s">
        <v>481</v>
      </c>
      <c r="B426" s="88"/>
      <c r="C426" s="88"/>
      <c r="D426" s="88"/>
      <c r="E426" s="88"/>
      <c r="F426" s="88"/>
      <c r="G426" s="88"/>
      <c r="H426" s="88"/>
      <c r="I426" s="88"/>
      <c r="J426" s="88"/>
      <c r="K426" s="87"/>
      <c r="L426" s="87"/>
      <c r="M426" s="87"/>
      <c r="N426" s="87"/>
    </row>
    <row r="427" s="96" customFormat="true" ht="15" hidden="false" customHeight="true" outlineLevel="0" collapsed="false">
      <c r="B427" s="268"/>
      <c r="C427" s="268"/>
      <c r="D427" s="268"/>
      <c r="E427" s="268"/>
      <c r="F427" s="268"/>
      <c r="G427" s="268"/>
      <c r="H427" s="268"/>
    </row>
    <row r="428" s="96" customFormat="true" ht="15" hidden="false" customHeight="true" outlineLevel="0" collapsed="false">
      <c r="A428" s="188"/>
      <c r="I428" s="191"/>
      <c r="J428" s="199"/>
    </row>
    <row r="429" s="96" customFormat="true" ht="15" hidden="false" customHeight="true" outlineLevel="0" collapsed="false">
      <c r="A429" s="97"/>
      <c r="B429" s="81"/>
      <c r="D429" s="98"/>
      <c r="E429" s="83"/>
      <c r="F429" s="81"/>
      <c r="H429" s="191"/>
      <c r="I429" s="191"/>
      <c r="J429" s="199"/>
    </row>
    <row r="430" s="96" customFormat="true" ht="15" hidden="false" customHeight="true" outlineLevel="0" collapsed="false">
      <c r="A430" s="97"/>
      <c r="D430" s="98"/>
      <c r="E430" s="83"/>
      <c r="F430" s="98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C432" s="98"/>
      <c r="D432" s="98"/>
      <c r="E432" s="97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83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81"/>
      <c r="C435" s="182"/>
      <c r="D435" s="98"/>
      <c r="E435" s="97"/>
      <c r="F435" s="216"/>
      <c r="H435" s="191"/>
      <c r="I435" s="191"/>
      <c r="J435" s="199"/>
    </row>
    <row r="436" s="96" customFormat="true" ht="15" hidden="false" customHeight="true" outlineLevel="0" collapsed="false">
      <c r="A436" s="99"/>
      <c r="B436" s="81"/>
      <c r="C436" s="98"/>
      <c r="D436" s="98"/>
      <c r="E436" s="97"/>
      <c r="F436" s="186"/>
      <c r="H436" s="191"/>
      <c r="I436" s="191"/>
      <c r="J436" s="199"/>
    </row>
    <row r="437" s="96" customFormat="true" ht="15" hidden="false" customHeight="true" outlineLevel="0" collapsed="false">
      <c r="B437" s="99"/>
      <c r="C437" s="98"/>
      <c r="D437" s="98"/>
      <c r="E437" s="97"/>
      <c r="F437" s="110"/>
      <c r="H437" s="191"/>
      <c r="I437" s="191"/>
      <c r="J437" s="199"/>
    </row>
    <row r="438" s="96" customFormat="true" ht="15" hidden="false" customHeight="true" outlineLevel="0" collapsed="false">
      <c r="A438" s="211" t="str">
        <f aca="false">A18</f>
        <v>240-4 Panel (4L)</v>
      </c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.75" hidden="false" customHeight="true" outlineLevel="0" collapsed="false">
      <c r="A439" s="90" t="str">
        <f aca="false">A19</f>
        <v>Outside Bi Fold Door </v>
      </c>
      <c r="C439" s="182"/>
      <c r="D439" s="98"/>
      <c r="E439" s="97"/>
      <c r="F439" s="186"/>
      <c r="H439" s="191"/>
      <c r="I439" s="191"/>
      <c r="J439" s="199"/>
    </row>
    <row r="440" s="96" customFormat="true" ht="15.75" hidden="false" customHeight="true" outlineLevel="0" collapsed="false">
      <c r="A440" s="81"/>
      <c r="C440" s="98"/>
      <c r="D440" s="98"/>
      <c r="E440" s="97"/>
      <c r="F440" s="78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81"/>
      <c r="C442" s="98"/>
      <c r="D442" s="98"/>
      <c r="E442" s="97"/>
      <c r="F442" s="78"/>
      <c r="H442" s="191"/>
      <c r="I442" s="191"/>
      <c r="J442" s="199"/>
    </row>
    <row r="443" s="96" customFormat="true" ht="15.75" hidden="false" customHeight="true" outlineLevel="0" collapsed="false">
      <c r="A443" s="191"/>
      <c r="C443" s="212"/>
      <c r="D443" s="98"/>
      <c r="E443" s="97"/>
      <c r="F443" s="97"/>
      <c r="H443" s="191"/>
      <c r="I443" s="191"/>
      <c r="J443" s="199"/>
    </row>
    <row r="444" s="96" customFormat="true" ht="15.75" hidden="false" customHeight="true" outlineLevel="0" collapsed="false">
      <c r="A444" s="190"/>
      <c r="C444" s="191"/>
      <c r="D444" s="192"/>
      <c r="E444" s="191"/>
      <c r="F444" s="191"/>
      <c r="H444" s="191"/>
      <c r="I444" s="191"/>
      <c r="J444" s="199"/>
    </row>
    <row r="445" customFormat="false" ht="15" hidden="false" customHeight="true" outlineLevel="0" collapsed="false">
      <c r="B445" s="211"/>
      <c r="C445" s="98"/>
      <c r="D445" s="98"/>
      <c r="E445" s="97"/>
      <c r="F445" s="98"/>
      <c r="G445" s="97"/>
      <c r="H445" s="97"/>
    </row>
    <row r="450" s="96" customFormat="true" ht="15.75" hidden="false" customHeight="true" outlineLevel="0" collapsed="false">
      <c r="A450" s="97"/>
      <c r="D450" s="73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191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97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196"/>
      <c r="J457" s="196"/>
    </row>
    <row r="458" s="96" customFormat="true" ht="15.7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195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202" customFormat="true" ht="15.75" hidden="false" customHeight="true" outlineLevel="0" collapsed="false">
      <c r="A477" s="97"/>
      <c r="B477" s="96"/>
      <c r="C477" s="96"/>
      <c r="D477" s="98"/>
      <c r="E477" s="97"/>
      <c r="F477" s="97"/>
      <c r="G477" s="97"/>
      <c r="H477" s="97"/>
      <c r="I477" s="97"/>
      <c r="J477" s="97"/>
    </row>
    <row r="478" s="96" customFormat="true" ht="15.75" hidden="false" customHeight="true" outlineLevel="0" collapsed="false">
      <c r="A478" s="191"/>
      <c r="D478" s="98"/>
      <c r="E478" s="97"/>
      <c r="F478" s="97"/>
      <c r="G478" s="97"/>
      <c r="H478" s="97"/>
      <c r="I478" s="191"/>
      <c r="J478" s="199"/>
    </row>
    <row r="479" s="96" customFormat="true" ht="15.75" hidden="false" customHeight="true" outlineLevel="0" collapsed="false">
      <c r="A479" s="190"/>
      <c r="B479" s="191"/>
      <c r="C479" s="191"/>
      <c r="D479" s="192"/>
      <c r="E479" s="191"/>
      <c r="F479" s="191"/>
      <c r="G479" s="191"/>
      <c r="H479" s="191"/>
      <c r="I479" s="189"/>
      <c r="J479" s="190"/>
    </row>
    <row r="480" s="96" customFormat="true" ht="15.75" hidden="false" customHeight="true" outlineLevel="0" collapsed="false">
      <c r="A480" s="200"/>
      <c r="B480" s="190"/>
      <c r="C480" s="191"/>
      <c r="D480" s="194"/>
      <c r="E480" s="190"/>
      <c r="F480" s="189"/>
      <c r="G480" s="190"/>
      <c r="H480" s="189"/>
      <c r="I480" s="196"/>
      <c r="J480" s="196"/>
    </row>
    <row r="481" s="96" customFormat="true" ht="15.75" hidden="false" customHeight="true" outlineLevel="0" collapsed="false">
      <c r="A481" s="200"/>
      <c r="C481" s="182"/>
      <c r="D481" s="98"/>
      <c r="E481" s="97"/>
      <c r="F481" s="97"/>
      <c r="G481" s="97"/>
      <c r="H481" s="182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C487" s="98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182"/>
      <c r="J499" s="97"/>
    </row>
    <row r="500" s="96" customFormat="true" ht="15.75" hidden="false" customHeight="true" outlineLevel="0" collapsed="false">
      <c r="A500" s="200"/>
      <c r="C500" s="188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I501" s="196"/>
      <c r="J501" s="196"/>
    </row>
    <row r="502" s="96" customFormat="true" ht="15.75" hidden="false" customHeight="true" outlineLevel="0" collapsed="false">
      <c r="A502" s="200"/>
      <c r="C502" s="98"/>
      <c r="D502" s="98"/>
      <c r="E502" s="97"/>
      <c r="F502" s="97"/>
      <c r="G502" s="97"/>
      <c r="H502" s="182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212"/>
      <c r="J512" s="195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212"/>
      <c r="J513" s="195"/>
    </row>
    <row r="514" s="96" customFormat="true" ht="15.75" hidden="false" customHeight="true" outlineLevel="0" collapsed="false">
      <c r="A514" s="191"/>
      <c r="B514" s="191"/>
      <c r="C514" s="191"/>
      <c r="D514" s="192"/>
      <c r="E514" s="191"/>
      <c r="F514" s="191"/>
      <c r="G514" s="191"/>
      <c r="H514" s="191"/>
      <c r="I514" s="191"/>
      <c r="J514" s="199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B516" s="191"/>
      <c r="C516" s="191"/>
      <c r="D516" s="192"/>
      <c r="E516" s="191"/>
      <c r="F516" s="191"/>
      <c r="G516" s="191"/>
      <c r="H516" s="191"/>
    </row>
    <row r="517" s="96" customFormat="true" ht="15.75" hidden="false" customHeight="true" outlineLevel="0" collapsed="false"/>
    <row r="518" s="96" customFormat="true" ht="24.75" hidden="false" customHeight="true" outlineLevel="0" collapsed="false">
      <c r="A518" s="88" t="s">
        <v>482</v>
      </c>
      <c r="B518" s="88"/>
      <c r="C518" s="88"/>
      <c r="D518" s="88"/>
      <c r="E518" s="88"/>
      <c r="F518" s="88"/>
      <c r="G518" s="88"/>
      <c r="H518" s="88"/>
      <c r="I518" s="88"/>
      <c r="J518" s="88"/>
    </row>
    <row r="519" s="96" customFormat="true" ht="34.5" hidden="false" customHeight="true" outlineLevel="0" collapsed="false">
      <c r="A519" s="114" t="s">
        <v>319</v>
      </c>
      <c r="B519" s="115" t="s">
        <v>168</v>
      </c>
      <c r="C519" s="115" t="s">
        <v>168</v>
      </c>
      <c r="D519" s="116" t="s">
        <v>483</v>
      </c>
      <c r="E519" s="115" t="s">
        <v>321</v>
      </c>
      <c r="F519" s="239" t="s">
        <v>484</v>
      </c>
      <c r="G519" s="240"/>
      <c r="H519" s="116" t="s">
        <v>484</v>
      </c>
      <c r="I519" s="116" t="s">
        <v>485</v>
      </c>
      <c r="J519" s="117" t="s">
        <v>323</v>
      </c>
      <c r="N519" s="118" t="s">
        <v>168</v>
      </c>
      <c r="O519" s="118" t="s">
        <v>168</v>
      </c>
    </row>
    <row r="520" s="96" customFormat="true" ht="15.75" hidden="false" customHeight="true" outlineLevel="0" collapsed="false">
      <c r="A520" s="120" t="n">
        <f aca="false">IF(C520="","",1)</f>
        <v>1</v>
      </c>
      <c r="B520" s="121" t="str">
        <f aca="false"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 aca="false">IF($D$127=5,O520,IF($D$127=6,O521,IF($D$127=8,O522,IF($D$127=10,O523,IF($D$127=12,O524,IF($D$127=14,O525,IF($D$127=18,O526,IF($D$127=20,O527,IF($D$127=22,O528,)))))))))</f>
        <v>GLASS thk.6 mm (H) (W)</v>
      </c>
      <c r="D520" s="123" t="n">
        <f aca="false">$J$123-215</f>
        <v>2170</v>
      </c>
      <c r="E520" s="120" t="s">
        <v>486</v>
      </c>
      <c r="F520" s="224" t="s">
        <v>487</v>
      </c>
      <c r="G520" s="224"/>
      <c r="H520" s="120" t="s">
        <v>638</v>
      </c>
      <c r="I520" s="225" t="n">
        <f aca="false">(($J$126-182-(113.25*3))/4)-13</f>
        <v>452.8125</v>
      </c>
      <c r="J520" s="226" t="n">
        <f aca="false">$J$120*4</f>
        <v>4</v>
      </c>
      <c r="K520" s="96" t="n">
        <f aca="false">(D520*I520)/10^6</f>
        <v>0.982603125</v>
      </c>
      <c r="M520" s="96" t="n">
        <f aca="false">ROW()</f>
        <v>520</v>
      </c>
      <c r="N520" s="62" t="s">
        <v>489</v>
      </c>
      <c r="O520" s="62" t="s">
        <v>490</v>
      </c>
    </row>
    <row r="521" s="96" customFormat="true" ht="15.75" hidden="false" customHeight="true" outlineLevel="0" collapsed="false">
      <c r="A521" s="227"/>
      <c r="B521" s="131"/>
      <c r="C521" s="131"/>
      <c r="D521" s="132"/>
      <c r="E521" s="130"/>
      <c r="F521" s="233"/>
      <c r="G521" s="234"/>
      <c r="H521" s="130"/>
      <c r="I521" s="133"/>
      <c r="J521" s="235"/>
      <c r="K521" s="96" t="n">
        <f aca="false">K520*J520</f>
        <v>3.9304125</v>
      </c>
      <c r="M521" s="96" t="n">
        <f aca="false">ROW()</f>
        <v>521</v>
      </c>
      <c r="N521" s="62" t="s">
        <v>491</v>
      </c>
      <c r="O521" s="62" t="s">
        <v>492</v>
      </c>
    </row>
    <row r="522" s="96" customFormat="true" ht="15.75" hidden="false" customHeight="true" outlineLevel="0" collapsed="false">
      <c r="A522" s="227"/>
      <c r="B522" s="131"/>
      <c r="C522" s="131"/>
      <c r="D522" s="132"/>
      <c r="E522" s="130"/>
      <c r="F522" s="233"/>
      <c r="G522" s="234"/>
      <c r="H522" s="130"/>
      <c r="I522" s="133"/>
      <c r="J522" s="235"/>
      <c r="M522" s="96" t="n">
        <f aca="false">ROW()</f>
        <v>522</v>
      </c>
      <c r="N522" s="62" t="s">
        <v>493</v>
      </c>
      <c r="O522" s="62" t="s">
        <v>494</v>
      </c>
    </row>
    <row r="523" s="96" customFormat="true" ht="15.75" hidden="false" customHeight="true" outlineLevel="0" collapsed="false">
      <c r="A523" s="130" t="str">
        <f aca="false">IF(B523="","",+A519+1)</f>
        <v/>
      </c>
      <c r="B523" s="131"/>
      <c r="C523" s="131"/>
      <c r="D523" s="132"/>
      <c r="E523" s="130"/>
      <c r="F523" s="233"/>
      <c r="G523" s="270"/>
      <c r="H523" s="130"/>
      <c r="I523" s="142"/>
      <c r="J523" s="133"/>
      <c r="M523" s="96" t="n">
        <f aca="false">ROW()</f>
        <v>523</v>
      </c>
      <c r="N523" s="62" t="s">
        <v>495</v>
      </c>
      <c r="O523" s="62" t="s">
        <v>496</v>
      </c>
    </row>
    <row r="524" s="96" customFormat="true" ht="15.75" hidden="false" customHeight="true" outlineLevel="0" collapsed="false">
      <c r="A524" s="136" t="str">
        <f aca="false">IF(B524="","",+A523+1)</f>
        <v/>
      </c>
      <c r="B524" s="135"/>
      <c r="C524" s="135"/>
      <c r="D524" s="139"/>
      <c r="E524" s="136"/>
      <c r="F524" s="236"/>
      <c r="G524" s="237"/>
      <c r="H524" s="136"/>
      <c r="I524" s="180"/>
      <c r="J524" s="140"/>
      <c r="M524" s="96" t="n">
        <f aca="false">ROW()</f>
        <v>524</v>
      </c>
      <c r="N524" s="62" t="s">
        <v>497</v>
      </c>
      <c r="O524" s="62" t="s">
        <v>498</v>
      </c>
    </row>
    <row r="525" s="96" customFormat="true" ht="15.75" hidden="false" customHeight="true" outlineLevel="0" collapsed="false">
      <c r="A525" s="97"/>
      <c r="D525" s="98"/>
      <c r="E525" s="97"/>
      <c r="F525" s="97"/>
      <c r="G525" s="97"/>
      <c r="H525" s="97"/>
      <c r="I525" s="97"/>
      <c r="J525" s="196"/>
      <c r="M525" s="96" t="n">
        <f aca="false">ROW()</f>
        <v>525</v>
      </c>
      <c r="N525" s="62" t="s">
        <v>499</v>
      </c>
      <c r="O525" s="62" t="s">
        <v>500</v>
      </c>
    </row>
    <row r="526" customFormat="false" ht="14.25" hidden="false" customHeight="false" outlineLevel="0" collapsed="false">
      <c r="J526" s="92" t="str">
        <f aca="false">LEFT($J$111,11)&amp;"-05"</f>
        <v>FG-240-4P4L-05</v>
      </c>
      <c r="M526" s="96" t="n">
        <f aca="false">ROW()</f>
        <v>526</v>
      </c>
      <c r="N526" s="62" t="s">
        <v>501</v>
      </c>
      <c r="O526" s="62" t="s">
        <v>502</v>
      </c>
    </row>
    <row r="527" customFormat="false" ht="14.25" hidden="false" customHeight="false" outlineLevel="0" collapsed="false">
      <c r="M527" s="96" t="n">
        <f aca="false">ROW()</f>
        <v>527</v>
      </c>
      <c r="N527" s="62" t="s">
        <v>503</v>
      </c>
      <c r="O527" s="62" t="s">
        <v>504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505</v>
      </c>
      <c r="O528" s="62" t="s">
        <v>506</v>
      </c>
    </row>
  </sheetData>
  <mergeCells count="68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59"/>
    <mergeCell ref="I160:J160"/>
    <mergeCell ref="D161:D162"/>
    <mergeCell ref="H161:H162"/>
    <mergeCell ref="I161:J161"/>
    <mergeCell ref="I162:J162"/>
    <mergeCell ref="D163:D166"/>
    <mergeCell ref="H163:H166"/>
    <mergeCell ref="I163:J163"/>
    <mergeCell ref="I164:J164"/>
    <mergeCell ref="I165:J165"/>
    <mergeCell ref="I166:J166"/>
    <mergeCell ref="D167:D168"/>
    <mergeCell ref="H167:H168"/>
    <mergeCell ref="I167:J167"/>
    <mergeCell ref="I168:J168"/>
    <mergeCell ref="I169:J169"/>
    <mergeCell ref="A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A213:J213"/>
    <mergeCell ref="A320:J320"/>
    <mergeCell ref="F330:G330"/>
    <mergeCell ref="F331:G331"/>
    <mergeCell ref="F334:G334"/>
    <mergeCell ref="A426:J426"/>
    <mergeCell ref="A518:J518"/>
    <mergeCell ref="F520:G520"/>
  </mergeCells>
  <dataValidations count="4">
    <dataValidation allowBlank="true" errorStyle="stop" operator="between" showDropDown="false" showErrorMessage="true" showInputMessage="true" sqref="D127:G127" type="list">
      <formula1>$N$120:$N$128</formula1>
      <formula2>0</formula2>
    </dataValidation>
    <dataValidation allowBlank="true" errorStyle="stop" operator="between" showDropDown="false" showErrorMessage="true" showInputMessage="true" sqref="C206" type="list">
      <formula1>$O$172:$O$190</formula1>
      <formula2>0</formula2>
    </dataValidation>
    <dataValidation allowBlank="true" errorStyle="stop" operator="between" showDropDown="false" showErrorMessage="true" showInputMessage="true" sqref="D129:G129" type="list">
      <formula1>$O$120</formula1>
      <formula2>0</formula2>
    </dataValidation>
    <dataValidation allowBlank="true" errorStyle="stop" operator="between" showDropDown="false" showErrorMessage="true" showInputMessage="true" sqref="D123:G123" type="list">
      <formula1>$P$119:$P$129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0" man="true" max="16383" min="0"/>
  </row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AJ527"/>
  <sheetViews>
    <sheetView showFormulas="false" showGridLines="false" showRowColHeaders="true" showZeros="true" rightToLeft="false" tabSelected="false" showOutlineSymbols="true" defaultGridColor="true" view="pageBreakPreview" topLeftCell="A112" colorId="64" zoomScale="75" zoomScaleNormal="75" zoomScalePageLayoutView="75" workbookViewId="0">
      <selection pane="topLeft" activeCell="C121" activeCellId="0" sqref="C121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34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7.88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false" outlineLevel="0" max="12" min="12" style="0" width="10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3.44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639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>
      <c r="G45" s="91"/>
    </row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640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202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186"/>
      <c r="L117" s="302"/>
      <c r="M117" s="302"/>
      <c r="N117" s="302"/>
    </row>
    <row r="118" s="96" customFormat="true" ht="15" hidden="false" customHeight="true" outlineLevel="0" collapsed="false">
      <c r="A118" s="97"/>
      <c r="C118" s="81"/>
      <c r="D118" s="98"/>
      <c r="E118" s="83"/>
      <c r="J118" s="99"/>
      <c r="K118" s="83"/>
    </row>
    <row r="119" s="96" customFormat="true" ht="15" hidden="false" customHeight="true" outlineLevel="0" collapsed="false">
      <c r="A119" s="97"/>
      <c r="C119" s="100" t="s">
        <v>286</v>
      </c>
      <c r="D119" s="101" t="s">
        <v>633</v>
      </c>
      <c r="E119" s="101"/>
      <c r="F119" s="101"/>
      <c r="G119" s="101"/>
      <c r="I119" s="83"/>
      <c r="J119" s="97"/>
      <c r="N119" s="258" t="s">
        <v>288</v>
      </c>
      <c r="O119" s="97" t="s">
        <v>289</v>
      </c>
      <c r="P119" s="102" t="s">
        <v>290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5</v>
      </c>
      <c r="O120" s="97" t="s">
        <v>509</v>
      </c>
      <c r="P120" s="106" t="s">
        <v>294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6</v>
      </c>
      <c r="O121" s="97" t="s">
        <v>296</v>
      </c>
      <c r="P121" s="106" t="s">
        <v>297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8</v>
      </c>
      <c r="P122" s="106" t="s">
        <v>299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634</v>
      </c>
      <c r="E123" s="101"/>
      <c r="F123" s="101"/>
      <c r="G123" s="101"/>
      <c r="H123" s="104" t="s">
        <v>302</v>
      </c>
      <c r="I123" s="104"/>
      <c r="J123" s="105" t="n">
        <v>2550</v>
      </c>
      <c r="N123" s="259" t="n">
        <v>10</v>
      </c>
      <c r="P123" s="106" t="s">
        <v>303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12</v>
      </c>
      <c r="P124" s="106" t="s">
        <v>305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510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14</v>
      </c>
      <c r="P125" s="106" t="s">
        <v>308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2015</v>
      </c>
      <c r="K126" s="110"/>
      <c r="L126" s="110"/>
      <c r="N126" s="259" t="n">
        <v>18</v>
      </c>
      <c r="P126" s="106" t="s">
        <v>311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259" t="n">
        <v>20</v>
      </c>
      <c r="P127" s="106" t="s">
        <v>313</v>
      </c>
    </row>
    <row r="128" s="96" customFormat="true" ht="18.75" hidden="false" customHeight="true" outlineLevel="0" collapsed="false">
      <c r="C128" s="108" t="s">
        <v>314</v>
      </c>
      <c r="I128" s="97"/>
      <c r="J128" s="97"/>
      <c r="N128" s="259" t="n">
        <v>22</v>
      </c>
      <c r="P128" s="106" t="s">
        <v>315</v>
      </c>
    </row>
    <row r="129" s="96" customFormat="true" ht="15" hidden="false" customHeight="true" outlineLevel="0" collapsed="false">
      <c r="A129" s="89" t="str">
        <f aca="false">A18</f>
        <v>240-4 Panel (4R)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  <c r="P129" s="96" t="s">
        <v>634</v>
      </c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1955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8</v>
      </c>
      <c r="U133" s="127" t="s">
        <v>635</v>
      </c>
      <c r="V133" s="247" t="n">
        <f aca="false">($J$126-182-(113.25*3))/4</f>
        <v>373.3125</v>
      </c>
      <c r="W133" s="129" t="n">
        <f aca="false">$J$121*T133</f>
        <v>0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1929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8</v>
      </c>
      <c r="U134" s="127" t="s">
        <v>635</v>
      </c>
      <c r="V134" s="247" t="n">
        <f aca="false">($J$126-182-(113.25*3))/4</f>
        <v>373.3125</v>
      </c>
      <c r="W134" s="134" t="n">
        <f aca="false">$J$121*T134</f>
        <v>0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1955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8</v>
      </c>
      <c r="U135" s="127" t="s">
        <v>635</v>
      </c>
      <c r="V135" s="247" t="n">
        <f aca="false">($J$126-182-(113.25*3))/4</f>
        <v>373.3125</v>
      </c>
      <c r="W135" s="137" t="n">
        <f aca="false">$J$121*T135</f>
        <v>0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1955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8</v>
      </c>
      <c r="U136" s="127" t="s">
        <v>360</v>
      </c>
      <c r="V136" s="138" t="n">
        <f aca="false">$J$123-242</f>
        <v>2308</v>
      </c>
      <c r="W136" s="129" t="n">
        <f aca="false">$J$121*T136</f>
        <v>0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2550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8</v>
      </c>
      <c r="U137" s="130" t="s">
        <v>360</v>
      </c>
      <c r="V137" s="133" t="n">
        <f aca="false">$J$123-242</f>
        <v>2308</v>
      </c>
      <c r="W137" s="134" t="n">
        <f aca="false">$J$121*T137</f>
        <v>0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2550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8</v>
      </c>
      <c r="U138" s="136" t="s">
        <v>360</v>
      </c>
      <c r="V138" s="140" t="n">
        <f aca="false">$J$123-242</f>
        <v>2308</v>
      </c>
      <c r="W138" s="137" t="n">
        <f aca="false">$J$121*T138</f>
        <v>0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2454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2454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4</v>
      </c>
      <c r="H141" s="130" t="s">
        <v>575</v>
      </c>
      <c r="I141" s="141" t="n">
        <f aca="false">($J$126-60-(4+1)*4)/4</f>
        <v>483.75</v>
      </c>
      <c r="J141" s="134" t="n">
        <f aca="false">$J$120*G141</f>
        <v>4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4</v>
      </c>
      <c r="H142" s="130" t="s">
        <v>575</v>
      </c>
      <c r="I142" s="141" t="n">
        <f aca="false">($J$126-60-(4+1)*4)/4</f>
        <v>483.75</v>
      </c>
      <c r="J142" s="134" t="n">
        <f aca="false">$J$120*G142</f>
        <v>4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6</v>
      </c>
      <c r="H143" s="130" t="s">
        <v>389</v>
      </c>
      <c r="I143" s="133" t="n">
        <f aca="false">$J$123-92</f>
        <v>2458</v>
      </c>
      <c r="J143" s="134" t="n">
        <f aca="false">$J$120*G143</f>
        <v>6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2</v>
      </c>
      <c r="H144" s="130" t="s">
        <v>389</v>
      </c>
      <c r="I144" s="133" t="n">
        <f aca="false">$J$123-92</f>
        <v>2458</v>
      </c>
      <c r="J144" s="134" t="n">
        <f aca="false">$J$120*G144</f>
        <v>2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5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5" s="131" t="str">
        <f aca="false">IF($D$127=5,Q133,IF($D$127=6,Q133,IF($D$127=8,Q134,IF($D$127=10,Q134,IF($D$127=12,Q134,IF($D$127=14,Q135,IF($D$127=18,Q135,IF($D$127=20,Q135,IF($D$127=22,Q135,)))))))))</f>
        <v>B24008</v>
      </c>
      <c r="E145" s="131" t="n">
        <f aca="false">IF($D$127=5,R133,IF($D$127=6,R133,IF($D$127=8,R134,IF($D$127=10,R134,IF($D$127=12,R134,IF($D$127=14,R135,IF($D$127=18,R135,IF($D$127=20,R135,IF($D$127=22,R135,)))))))))</f>
        <v>0.231</v>
      </c>
      <c r="F145" s="131" t="str">
        <f aca="false">IF($D$127=5,S133,IF($D$127=6,S133,IF($D$127=8,S134,IF($D$127=10,S134,IF($D$127=12,S134,IF($D$127=14,S135,IF($D$127=18,S135,IF($D$127=20,S135,IF($D$127=22,S135,)))))))))</f>
        <v>B24008-001</v>
      </c>
      <c r="G145" s="130" t="n">
        <f aca="false">IF($D$127=5,T133,IF($D$127=6,T133,IF($D$127=8,T134,IF($D$127=10,T134,IF($D$127=12,T134,IF($D$127=14,T135,IF($D$127=18,T135,IF($D$127=20,T135,IF($D$127=22,T135,)))))))))</f>
        <v>8</v>
      </c>
      <c r="H145" s="130" t="str">
        <f aca="false">IF($D$127=5,U133,IF($D$127=6,U133,IF($D$127=8,U134,IF($D$127=10,U134,IF($D$127=12,U134,IF($D$127=14,U135,IF($D$127=18,U135,IF($D$127=20,U135,IF($D$127=22,U135,)))))))))</f>
        <v>(W-182-(113.25 × 3))/4</v>
      </c>
      <c r="I145" s="141" t="n">
        <f aca="false">IF($D$127=5,V133,IF($D$127=6,V133,IF($D$127=8,V134,IF($D$127=10,V134,IF($D$127=12,V134,IF($D$127=14,V135,IF($D$127=18,V135,IF($D$127=20,V135,IF($D$127=22,V135,)))))))))</f>
        <v>373.3125</v>
      </c>
      <c r="J145" s="134" t="n">
        <f aca="false">$J$120*G145</f>
        <v>8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6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6" s="131" t="str">
        <f aca="false">IF($D$127=5,Q136,IF($D$127=6,Q136,IF($D$127=8,Q137,IF($D$127=10,Q137,IF($D$127=12,Q137,IF($D$127=14,Q138,IF($D$127=18,Q138,IF($D$127=20,Q138,IF($D$127=22,Q138,)))))))))</f>
        <v>B24008</v>
      </c>
      <c r="E146" s="131" t="n">
        <f aca="false">IF($D$127=5,R136,IF($D$127=6,R136,IF($D$127=8,R137,IF($D$127=10,R137,IF($D$127=12,R137,IF($D$127=14,R138,IF($D$127=18,R138,IF($D$127=20,R138,IF($D$127=22,R138,)))))))))</f>
        <v>0.231</v>
      </c>
      <c r="F146" s="131" t="str">
        <f aca="false">IF($D$127=5,S136,IF($D$127=6,S136,IF($D$127=8,S137,IF($D$127=10,S137,IF($D$127=12,S137,IF($D$127=14,S138,IF($D$127=18,S138,IF($D$127=20,S138,IF($D$127=22,S138,)))))))))</f>
        <v>B24008-002</v>
      </c>
      <c r="G146" s="130" t="n">
        <f aca="false">IF($D$127=5,T136,IF($D$127=6,T136,IF($D$127=8,T137,IF($D$127=10,T137,IF($D$127=12,T137,IF($D$127=14,T138,IF($D$127=18,T138,IF($D$127=20,T138,IF($D$127=22,T138,)))))))))</f>
        <v>8</v>
      </c>
      <c r="H146" s="130" t="str">
        <f aca="false">IF($D$127=5,U136,IF($D$127=6,U136,IF($D$127=8,U137,IF($D$127=10,U137,IF($D$127=12,U137,IF($D$127=14,U138,IF($D$127=18,U138,IF($D$127=20,U138,IF($D$127=22,U138,)))))))))</f>
        <v>H-242</v>
      </c>
      <c r="I146" s="133" t="n">
        <f aca="false">IF($D$127=5,V136,IF($D$127=6,V136,IF($D$127=8,V137,IF($D$127=10,V137,IF($D$127=12,V137,IF($D$127=14,V138,IF($D$127=18,V138,IF($D$127=20,V138,IF($D$127=22,V138,)))))))))</f>
        <v>2308</v>
      </c>
      <c r="J146" s="134" t="n">
        <f aca="false">$J$120*G146</f>
        <v>8</v>
      </c>
    </row>
    <row r="147" s="96" customFormat="true" ht="18" hidden="false" customHeight="true" outlineLevel="0" collapsed="false">
      <c r="A147" s="130" t="str">
        <f aca="false">IF(B147="","",+A146+1)</f>
        <v/>
      </c>
      <c r="B147" s="131"/>
      <c r="C147" s="131"/>
      <c r="D147" s="132"/>
      <c r="E147" s="130"/>
      <c r="F147" s="132"/>
      <c r="G147" s="130"/>
      <c r="H147" s="130"/>
      <c r="I147" s="133"/>
      <c r="J147" s="134" t="n">
        <f aca="false">$J$120*G147</f>
        <v>0</v>
      </c>
    </row>
    <row r="148" s="96" customFormat="true" ht="18" hidden="false" customHeight="true" outlineLevel="0" collapsed="false">
      <c r="A148" s="130" t="str">
        <f aca="false">IF(B148="","",+A147+1)</f>
        <v/>
      </c>
      <c r="B148" s="131"/>
      <c r="C148" s="131"/>
      <c r="D148" s="132"/>
      <c r="E148" s="130"/>
      <c r="F148" s="132"/>
      <c r="G148" s="130"/>
      <c r="H148" s="130"/>
      <c r="I148" s="133"/>
      <c r="J148" s="134" t="n">
        <f aca="false">$J$120*G148</f>
        <v>0</v>
      </c>
    </row>
    <row r="149" s="96" customFormat="true" ht="18" hidden="false" customHeight="true" outlineLevel="0" collapsed="false">
      <c r="A149" s="130" t="str">
        <f aca="false">IF(B149="","",+A148+1)</f>
        <v/>
      </c>
      <c r="B149" s="131"/>
      <c r="C149" s="131"/>
      <c r="D149" s="132"/>
      <c r="E149" s="130"/>
      <c r="F149" s="132"/>
      <c r="G149" s="130"/>
      <c r="H149" s="130"/>
      <c r="I149" s="133"/>
      <c r="J149" s="134" t="n">
        <f aca="false">$J$120*G149</f>
        <v>0</v>
      </c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33"/>
      <c r="J150" s="134"/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33"/>
      <c r="J151" s="134" t="n">
        <f aca="false">$J$120*G151</f>
        <v>0</v>
      </c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1955</v>
      </c>
      <c r="G155" s="155" t="n">
        <f aca="false">VLOOKUP(C155,$C$133:$J$153,8,0)</f>
        <v>1</v>
      </c>
      <c r="H155" s="264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VLOOKUP(C156,$C$133:$I$153,7,0)</f>
        <v>1929</v>
      </c>
      <c r="G156" s="155" t="n">
        <f aca="false">VLOOKUP(C156,$C$133:$J$153,8,0)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VLOOKUP(C157,$C$133:$I$153,7,0)</f>
        <v>1955</v>
      </c>
      <c r="G157" s="155" t="n">
        <f aca="false">VLOOKUP(C157,$C$133:$J$153,8,0)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VLOOKUP(C158,$C$133:$I$153,7,0)</f>
        <v>1955</v>
      </c>
      <c r="G158" s="155" t="n">
        <f aca="false">VLOOKUP(C158,$C$133:$J$153,8,0)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VLOOKUP(C159,$C$133:$I$153,7,0)</f>
        <v>2550</v>
      </c>
      <c r="G159" s="155" t="n">
        <f aca="false">VLOOKUP(C159,$C$133:$J$153,8,0)</f>
        <v>1</v>
      </c>
      <c r="H159" s="160" t="n">
        <f aca="false">ROUNDUP(((F159*G159)+(F160*G160))/6400,0)</f>
        <v>1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VLOOKUP(C160,$C$133:$I$153,7,0)</f>
        <v>2550</v>
      </c>
      <c r="G160" s="155" t="n">
        <f aca="false">VLOOKUP(C160,$C$133:$J$153,8,0)</f>
        <v>1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VLOOKUP(C161,$C$133:$I$153,7,0)</f>
        <v>2454</v>
      </c>
      <c r="G161" s="155" t="n">
        <f aca="false">VLOOKUP(C161,$C$133:$J$153,8,0)</f>
        <v>1</v>
      </c>
      <c r="H161" s="160" t="n">
        <f aca="false">ROUNDUP(((F161*G161)+(F162*G162))/6400,0)</f>
        <v>1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155" t="n">
        <f aca="false">VLOOKUP(C162,$C$133:$H$153,3,0)</f>
        <v>0.235</v>
      </c>
      <c r="F162" s="263" t="n">
        <f aca="false">VLOOKUP(C162,$C$133:$I$153,7,0)</f>
        <v>2454</v>
      </c>
      <c r="G162" s="155" t="n">
        <f aca="false">VLOOKUP(C162,$C$133:$J$153,8,0)</f>
        <v>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155" t="n">
        <f aca="false">VLOOKUP(C163,$C$133:$H$153,3,0)</f>
        <v>1.106</v>
      </c>
      <c r="F163" s="267" t="n">
        <f aca="false">VLOOKUP(C163,$C$133:$I$153,7,0)</f>
        <v>483.75</v>
      </c>
      <c r="G163" s="155" t="n">
        <f aca="false">VLOOKUP(C163,$C$133:$J$153,8,0)</f>
        <v>4</v>
      </c>
      <c r="H163" s="160" t="n">
        <f aca="false">ROUNDUP(((F163*G163)+(F164*G164)+(F165*G165)+(F166*G166))/6400,0)</f>
        <v>4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155" t="n">
        <f aca="false">VLOOKUP(C164,$C$133:$H$153,3,0)</f>
        <v>1.106</v>
      </c>
      <c r="F164" s="267" t="n">
        <f aca="false">VLOOKUP(C164,$C$133:$I$153,7,0)</f>
        <v>483.75</v>
      </c>
      <c r="G164" s="155" t="n">
        <f aca="false">VLOOKUP(C164,$C$133:$J$153,8,0)</f>
        <v>4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155" t="n">
        <f aca="false">VLOOKUP(C165,$C$133:$H$153,3,0)</f>
        <v>1.106</v>
      </c>
      <c r="F165" s="263" t="n">
        <f aca="false">VLOOKUP(C165,$C$133:$I$153,7,0)</f>
        <v>2458</v>
      </c>
      <c r="G165" s="155" t="n">
        <f aca="false">VLOOKUP(C165,$C$133:$J$153,8,0)</f>
        <v>6</v>
      </c>
      <c r="H165" s="160"/>
      <c r="I165" s="161"/>
      <c r="J165" s="161"/>
    </row>
    <row r="166" s="96" customFormat="true" ht="1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155" t="n">
        <f aca="false">VLOOKUP(C166,$C$133:$H$153,3,0)</f>
        <v>1.106</v>
      </c>
      <c r="F166" s="263" t="n">
        <f aca="false">VLOOKUP(C166,$C$133:$I$153,7,0)</f>
        <v>2458</v>
      </c>
      <c r="G166" s="155" t="n">
        <f aca="false">VLOOKUP(C166,$C$133:$J$153,8,0)</f>
        <v>2</v>
      </c>
      <c r="H166" s="160"/>
      <c r="I166" s="161"/>
      <c r="J166" s="161"/>
    </row>
    <row r="167" s="96" customFormat="true" ht="15" hidden="false" customHeight="true" outlineLevel="1" collapsed="false">
      <c r="A167" s="158" t="n">
        <f aca="false">IF(B167="","",+A166+1)</f>
        <v>13</v>
      </c>
      <c r="B167" s="153" t="str">
        <f aca="false">B145</f>
        <v>5-6mm คิ้วตบกระจกแนวนอน</v>
      </c>
      <c r="C167" s="153" t="str">
        <f aca="false">C145</f>
        <v>5-6mm GLAZING BEAD HORIZONTAL</v>
      </c>
      <c r="D167" s="163" t="str">
        <f aca="false">VLOOKUP(C167,$C$133:$H$153,2,0)</f>
        <v>B24008</v>
      </c>
      <c r="E167" s="155" t="n">
        <f aca="false">VLOOKUP(C167,$C$133:$H$153,3,0)</f>
        <v>0.231</v>
      </c>
      <c r="F167" s="267" t="n">
        <f aca="false">VLOOKUP(C167,$C$133:$I$153,7,0)</f>
        <v>373.3125</v>
      </c>
      <c r="G167" s="155" t="n">
        <f aca="false">VLOOKUP(C167,$C$133:$J$153,8,0)</f>
        <v>8</v>
      </c>
      <c r="H167" s="303" t="n">
        <f aca="false">ROUNDUP(((F167*G167)+(F168*G168))/6400,0)</f>
        <v>4</v>
      </c>
      <c r="I167" s="161"/>
      <c r="J167" s="161"/>
    </row>
    <row r="168" s="96" customFormat="true" ht="14.25" hidden="false" customHeight="false" outlineLevel="1" collapsed="false">
      <c r="A168" s="158" t="n">
        <f aca="false">IF(B168="","",+A167+1)</f>
        <v>14</v>
      </c>
      <c r="B168" s="153" t="str">
        <f aca="false">B146</f>
        <v>5-6mm คิ้วตบกระจกแนวตั้ง</v>
      </c>
      <c r="C168" s="153" t="str">
        <f aca="false">C146</f>
        <v>5-6mm GLAZING BEAD VERTICAL</v>
      </c>
      <c r="D168" s="163"/>
      <c r="E168" s="155" t="n">
        <f aca="false">VLOOKUP(C168,$C$133:$H$153,3,0)</f>
        <v>0.231</v>
      </c>
      <c r="F168" s="263" t="n">
        <f aca="false">VLOOKUP(C168,$C$133:$I$153,7,0)</f>
        <v>2308</v>
      </c>
      <c r="G168" s="155" t="n">
        <f aca="false">VLOOKUP(C168,$C$133:$J$153,8,0)</f>
        <v>8</v>
      </c>
      <c r="H168" s="303"/>
      <c r="I168" s="265"/>
      <c r="J168" s="265"/>
    </row>
    <row r="169" s="96" customFormat="true" ht="24.75" hidden="false" customHeight="true" outlineLevel="0" collapsed="false">
      <c r="A169" s="113" t="s">
        <v>396</v>
      </c>
      <c r="B169" s="113"/>
      <c r="C169" s="113"/>
      <c r="D169" s="113"/>
      <c r="E169" s="113"/>
      <c r="F169" s="113"/>
      <c r="G169" s="113"/>
      <c r="H169" s="113"/>
      <c r="I169" s="113"/>
      <c r="J169" s="113"/>
    </row>
    <row r="170" s="96" customFormat="true" ht="34.5" hidden="false" customHeight="true" outlineLevel="0" collapsed="false">
      <c r="A170" s="114" t="s">
        <v>319</v>
      </c>
      <c r="B170" s="115" t="s">
        <v>320</v>
      </c>
      <c r="C170" s="115" t="s">
        <v>168</v>
      </c>
      <c r="D170" s="115" t="s">
        <v>397</v>
      </c>
      <c r="E170" s="115" t="s">
        <v>321</v>
      </c>
      <c r="F170" s="116" t="s">
        <v>398</v>
      </c>
      <c r="G170" s="115" t="s">
        <v>399</v>
      </c>
      <c r="H170" s="116" t="s">
        <v>400</v>
      </c>
      <c r="I170" s="116" t="s">
        <v>401</v>
      </c>
      <c r="J170" s="117" t="s">
        <v>402</v>
      </c>
      <c r="N170" s="107" t="s">
        <v>288</v>
      </c>
      <c r="O170" s="165" t="s">
        <v>320</v>
      </c>
      <c r="P170" s="165" t="s">
        <v>168</v>
      </c>
      <c r="Q170" s="165" t="s">
        <v>397</v>
      </c>
      <c r="R170" s="165" t="s">
        <v>321</v>
      </c>
      <c r="S170" s="165" t="s">
        <v>398</v>
      </c>
      <c r="T170" s="165" t="s">
        <v>399</v>
      </c>
      <c r="U170" s="165" t="s">
        <v>400</v>
      </c>
      <c r="V170" s="165" t="s">
        <v>401</v>
      </c>
      <c r="W170" s="165" t="s">
        <v>402</v>
      </c>
    </row>
    <row r="171" s="96" customFormat="true" ht="18" hidden="false" customHeight="true" outlineLevel="0" collapsed="false">
      <c r="A171" s="166" t="n">
        <f aca="false">IF(B171="","",1)</f>
        <v>1</v>
      </c>
      <c r="B171" s="131" t="s">
        <v>403</v>
      </c>
      <c r="C171" s="131" t="s">
        <v>404</v>
      </c>
      <c r="D171" s="132" t="s">
        <v>276</v>
      </c>
      <c r="E171" s="130"/>
      <c r="F171" s="130" t="s">
        <v>276</v>
      </c>
      <c r="G171" s="130" t="s">
        <v>405</v>
      </c>
      <c r="H171" s="130" t="n">
        <v>2</v>
      </c>
      <c r="I171" s="133"/>
      <c r="J171" s="134" t="n">
        <f aca="false">$J$120*H171</f>
        <v>2</v>
      </c>
      <c r="N171" s="107" t="s">
        <v>406</v>
      </c>
      <c r="O171" s="55" t="s">
        <v>407</v>
      </c>
      <c r="P171" s="62" t="s">
        <v>408</v>
      </c>
      <c r="Q171" s="55" t="s">
        <v>227</v>
      </c>
      <c r="R171" s="158"/>
      <c r="S171" s="158" t="s">
        <v>227</v>
      </c>
      <c r="T171" s="158" t="s">
        <v>409</v>
      </c>
      <c r="U171" s="168" t="n">
        <f aca="false">((($I$141*$G$141)+($I$142*$G$142)+($I$143*$G$143)+($I$144*$G$144))/1000)*$J$120</f>
        <v>23.534</v>
      </c>
      <c r="V171" s="168" t="n">
        <v>100</v>
      </c>
      <c r="W171" s="169" t="n">
        <f aca="false">ROUNDUP((U171)/100,0)</f>
        <v>1</v>
      </c>
    </row>
    <row r="172" s="96" customFormat="true" ht="18" hidden="false" customHeight="true" outlineLevel="0" collapsed="false">
      <c r="A172" s="170" t="n">
        <f aca="false">IF(B172="","",+A171+1)</f>
        <v>2</v>
      </c>
      <c r="B172" s="131" t="s">
        <v>410</v>
      </c>
      <c r="C172" s="131" t="s">
        <v>411</v>
      </c>
      <c r="D172" s="132" t="s">
        <v>267</v>
      </c>
      <c r="E172" s="130"/>
      <c r="F172" s="130" t="s">
        <v>267</v>
      </c>
      <c r="G172" s="130" t="s">
        <v>405</v>
      </c>
      <c r="H172" s="130" t="n">
        <v>8</v>
      </c>
      <c r="I172" s="133"/>
      <c r="J172" s="134" t="n">
        <f aca="false">$J$120*H172</f>
        <v>8</v>
      </c>
      <c r="N172" s="107" t="s">
        <v>412</v>
      </c>
      <c r="O172" s="55" t="s">
        <v>413</v>
      </c>
      <c r="P172" s="62" t="s">
        <v>414</v>
      </c>
      <c r="Q172" s="55" t="s">
        <v>234</v>
      </c>
      <c r="R172" s="158"/>
      <c r="S172" s="158" t="s">
        <v>234</v>
      </c>
      <c r="T172" s="158" t="s">
        <v>409</v>
      </c>
      <c r="U172" s="168" t="n">
        <f aca="false">((($I$141*$G$141)+($I$142*$G$142)+($I$143*$G$143)+($I$144*$G$144))/1000)*$J$120</f>
        <v>23.534</v>
      </c>
      <c r="V172" s="168" t="n">
        <v>100</v>
      </c>
      <c r="W172" s="169" t="n">
        <f aca="false">ROUNDUP((U172)/100,0)</f>
        <v>1</v>
      </c>
    </row>
    <row r="173" s="96" customFormat="true" ht="18" hidden="false" customHeight="true" outlineLevel="0" collapsed="false">
      <c r="A173" s="170" t="n">
        <f aca="false">IF(B173="","",+A172+1)</f>
        <v>3</v>
      </c>
      <c r="B173" s="131" t="s">
        <v>415</v>
      </c>
      <c r="C173" s="131" t="s">
        <v>416</v>
      </c>
      <c r="D173" s="132" t="s">
        <v>222</v>
      </c>
      <c r="E173" s="130"/>
      <c r="F173" s="130" t="s">
        <v>222</v>
      </c>
      <c r="G173" s="130" t="s">
        <v>405</v>
      </c>
      <c r="H173" s="130" t="n">
        <v>2</v>
      </c>
      <c r="I173" s="133"/>
      <c r="J173" s="134" t="n">
        <f aca="false">$J$120*H173</f>
        <v>2</v>
      </c>
      <c r="N173" s="107" t="s">
        <v>417</v>
      </c>
      <c r="O173" s="62" t="s">
        <v>418</v>
      </c>
      <c r="P173" s="62" t="s">
        <v>419</v>
      </c>
      <c r="Q173" s="55" t="s">
        <v>236</v>
      </c>
      <c r="R173" s="158"/>
      <c r="S173" s="158" t="s">
        <v>236</v>
      </c>
      <c r="T173" s="158" t="s">
        <v>409</v>
      </c>
      <c r="U173" s="168" t="n">
        <f aca="false">((($I$141*$G$141)+($I$142*$G$142)+($I$143*$G$143)+($I$144*$G$144))/1000)*$J$120</f>
        <v>23.534</v>
      </c>
      <c r="V173" s="168" t="n">
        <v>100</v>
      </c>
      <c r="W173" s="169" t="n">
        <f aca="false">ROUNDUP((U173)/100,0)</f>
        <v>1</v>
      </c>
    </row>
    <row r="174" s="96" customFormat="true" ht="18" hidden="false" customHeight="true" outlineLevel="0" collapsed="false">
      <c r="A174" s="170" t="n">
        <f aca="false">IF(B174="","",+A173+1)</f>
        <v>4</v>
      </c>
      <c r="B174" s="131" t="s">
        <v>420</v>
      </c>
      <c r="C174" s="131" t="s">
        <v>421</v>
      </c>
      <c r="D174" s="132" t="s">
        <v>225</v>
      </c>
      <c r="E174" s="130"/>
      <c r="F174" s="130" t="s">
        <v>225</v>
      </c>
      <c r="G174" s="130" t="s">
        <v>405</v>
      </c>
      <c r="H174" s="130" t="n">
        <v>2</v>
      </c>
      <c r="I174" s="133"/>
      <c r="J174" s="134" t="n">
        <f aca="false">$J$120*H174</f>
        <v>2</v>
      </c>
      <c r="N174" s="107" t="s">
        <v>422</v>
      </c>
      <c r="O174" s="62" t="s">
        <v>423</v>
      </c>
      <c r="P174" s="62" t="s">
        <v>424</v>
      </c>
      <c r="Q174" s="55" t="s">
        <v>238</v>
      </c>
      <c r="R174" s="158"/>
      <c r="S174" s="158" t="s">
        <v>238</v>
      </c>
      <c r="T174" s="158" t="s">
        <v>409</v>
      </c>
      <c r="U174" s="168" t="n">
        <f aca="false">((($I$141*$G$141)+($I$142*$G$142)+($I$143*$G$143)+($I$144*$G$144))/1000)*$J$120</f>
        <v>23.534</v>
      </c>
      <c r="V174" s="168" t="n">
        <v>100</v>
      </c>
      <c r="W174" s="169" t="n">
        <f aca="false">ROUNDUP((U174)/100,0)</f>
        <v>1</v>
      </c>
    </row>
    <row r="175" s="96" customFormat="true" ht="18" hidden="false" customHeight="true" outlineLevel="0" collapsed="false">
      <c r="A175" s="170" t="n">
        <f aca="false">IF(B175="","",+A174+1)</f>
        <v>5</v>
      </c>
      <c r="B175" s="131" t="s">
        <v>425</v>
      </c>
      <c r="C175" s="131" t="s">
        <v>426</v>
      </c>
      <c r="D175" s="132" t="n">
        <v>9</v>
      </c>
      <c r="E175" s="130"/>
      <c r="F175" s="130" t="n">
        <v>9</v>
      </c>
      <c r="G175" s="130" t="s">
        <v>405</v>
      </c>
      <c r="H175" s="130" t="n">
        <v>16</v>
      </c>
      <c r="I175" s="133"/>
      <c r="J175" s="134" t="n">
        <f aca="false">$J$120*H175</f>
        <v>16</v>
      </c>
      <c r="N175" s="107" t="s">
        <v>427</v>
      </c>
      <c r="O175" s="62" t="s">
        <v>428</v>
      </c>
      <c r="P175" s="62" t="s">
        <v>429</v>
      </c>
      <c r="Q175" s="55" t="s">
        <v>240</v>
      </c>
      <c r="R175" s="158"/>
      <c r="S175" s="158" t="s">
        <v>240</v>
      </c>
      <c r="T175" s="158" t="s">
        <v>409</v>
      </c>
      <c r="U175" s="168" t="n">
        <f aca="false">((($I$141*$G$141)+($I$142*$G$142)+($I$143*$G$143)+($I$144*$G$144))/1000)*$J$120</f>
        <v>23.534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6</v>
      </c>
      <c r="B176" s="131" t="s">
        <v>430</v>
      </c>
      <c r="C176" s="131" t="s">
        <v>431</v>
      </c>
      <c r="D176" s="132" t="n">
        <v>9</v>
      </c>
      <c r="E176" s="130"/>
      <c r="F176" s="130" t="n">
        <v>9</v>
      </c>
      <c r="G176" s="130" t="s">
        <v>405</v>
      </c>
      <c r="H176" s="130" t="n">
        <v>32</v>
      </c>
      <c r="I176" s="133"/>
      <c r="J176" s="134" t="n">
        <f aca="false">$J$120*H176</f>
        <v>32</v>
      </c>
    </row>
    <row r="177" s="96" customFormat="true" ht="18" hidden="false" customHeight="true" outlineLevel="0" collapsed="false">
      <c r="A177" s="170" t="n">
        <f aca="false">IF(B177="","",+A176+1)</f>
        <v>7</v>
      </c>
      <c r="B177" s="131" t="s">
        <v>512</v>
      </c>
      <c r="C177" s="131" t="s">
        <v>513</v>
      </c>
      <c r="D177" s="132" t="s">
        <v>7</v>
      </c>
      <c r="E177" s="130"/>
      <c r="F177" s="130" t="s">
        <v>7</v>
      </c>
      <c r="G177" s="130" t="s">
        <v>434</v>
      </c>
      <c r="H177" s="130" t="n">
        <v>1</v>
      </c>
      <c r="I177" s="133"/>
      <c r="J177" s="134" t="n">
        <f aca="false">$J$120*H177</f>
        <v>1</v>
      </c>
    </row>
    <row r="178" s="96" customFormat="true" ht="18" hidden="false" customHeight="true" outlineLevel="0" collapsed="false">
      <c r="A178" s="170" t="n">
        <f aca="false">IF(B178="","",+A177+1)</f>
        <v>8</v>
      </c>
      <c r="B178" s="131" t="s">
        <v>514</v>
      </c>
      <c r="C178" s="131" t="s">
        <v>515</v>
      </c>
      <c r="D178" s="132" t="s">
        <v>8</v>
      </c>
      <c r="E178" s="130"/>
      <c r="F178" s="130" t="s">
        <v>8</v>
      </c>
      <c r="G178" s="130" t="s">
        <v>434</v>
      </c>
      <c r="H178" s="130" t="n">
        <v>1</v>
      </c>
      <c r="I178" s="133"/>
      <c r="J178" s="134" t="n">
        <f aca="false">$J$120*H178</f>
        <v>1</v>
      </c>
    </row>
    <row r="179" s="96" customFormat="true" ht="18" hidden="false" customHeight="true" outlineLevel="0" collapsed="false">
      <c r="A179" s="170" t="n">
        <f aca="false">IF(B179="","",+A178+1)</f>
        <v>9</v>
      </c>
      <c r="B179" s="131" t="s">
        <v>554</v>
      </c>
      <c r="C179" s="131" t="s">
        <v>555</v>
      </c>
      <c r="D179" s="132" t="s">
        <v>11</v>
      </c>
      <c r="E179" s="130"/>
      <c r="F179" s="130" t="s">
        <v>11</v>
      </c>
      <c r="G179" s="130" t="s">
        <v>434</v>
      </c>
      <c r="H179" s="130" t="n">
        <v>1</v>
      </c>
      <c r="I179" s="133"/>
      <c r="J179" s="134" t="n">
        <f aca="false">$J$120*H179</f>
        <v>1</v>
      </c>
    </row>
    <row r="180" s="96" customFormat="true" ht="18" hidden="false" customHeight="true" outlineLevel="0" collapsed="false">
      <c r="A180" s="170" t="n">
        <f aca="false">IF(B180="","",+A179+1)</f>
        <v>10</v>
      </c>
      <c r="B180" s="131" t="s">
        <v>556</v>
      </c>
      <c r="C180" s="131" t="s">
        <v>557</v>
      </c>
      <c r="D180" s="132" t="s">
        <v>5</v>
      </c>
      <c r="E180" s="130"/>
      <c r="F180" s="130" t="s">
        <v>5</v>
      </c>
      <c r="G180" s="130" t="s">
        <v>434</v>
      </c>
      <c r="H180" s="130" t="n">
        <v>1</v>
      </c>
      <c r="I180" s="133"/>
      <c r="J180" s="134" t="n">
        <f aca="false">$J$120*H180</f>
        <v>1</v>
      </c>
      <c r="Q180" s="172"/>
      <c r="R180" s="172"/>
      <c r="S180" s="172"/>
      <c r="T180" s="97"/>
      <c r="U180" s="97"/>
      <c r="V180" s="97"/>
    </row>
    <row r="181" s="96" customFormat="true" ht="18" hidden="false" customHeight="true" outlineLevel="0" collapsed="false">
      <c r="A181" s="170" t="n">
        <f aca="false">IF(B181="","",+A180+1)</f>
        <v>11</v>
      </c>
      <c r="B181" s="131" t="s">
        <v>439</v>
      </c>
      <c r="C181" s="131" t="s">
        <v>440</v>
      </c>
      <c r="D181" s="132" t="s">
        <v>12</v>
      </c>
      <c r="E181" s="130"/>
      <c r="F181" s="130" t="s">
        <v>12</v>
      </c>
      <c r="G181" s="130" t="s">
        <v>434</v>
      </c>
      <c r="H181" s="130" t="n">
        <v>2</v>
      </c>
      <c r="I181" s="142"/>
      <c r="J181" s="134" t="n">
        <f aca="false">$J$120*H181</f>
        <v>2</v>
      </c>
      <c r="N181" s="107" t="s">
        <v>289</v>
      </c>
      <c r="O181" s="165" t="s">
        <v>320</v>
      </c>
      <c r="P181" s="165" t="s">
        <v>168</v>
      </c>
      <c r="Q181" s="165" t="s">
        <v>397</v>
      </c>
      <c r="R181" s="165" t="s">
        <v>321</v>
      </c>
      <c r="S181" s="165" t="s">
        <v>398</v>
      </c>
      <c r="T181" s="165" t="s">
        <v>399</v>
      </c>
      <c r="U181" s="165" t="s">
        <v>400</v>
      </c>
      <c r="V181" s="165" t="s">
        <v>401</v>
      </c>
      <c r="W181" s="165" t="s">
        <v>402</v>
      </c>
    </row>
    <row r="182" s="96" customFormat="true" ht="18" hidden="false" customHeight="true" outlineLevel="0" collapsed="false">
      <c r="A182" s="170" t="n">
        <f aca="false">IF(B182="","",+A181+1)</f>
        <v>12</v>
      </c>
      <c r="B182" s="131" t="s">
        <v>441</v>
      </c>
      <c r="C182" s="131" t="s">
        <v>442</v>
      </c>
      <c r="D182" s="132" t="s">
        <v>274</v>
      </c>
      <c r="E182" s="130"/>
      <c r="F182" s="130" t="s">
        <v>274</v>
      </c>
      <c r="G182" s="130" t="s">
        <v>405</v>
      </c>
      <c r="H182" s="130" t="n">
        <v>4</v>
      </c>
      <c r="I182" s="142"/>
      <c r="J182" s="134" t="n">
        <f aca="false">$J$120*H182</f>
        <v>4</v>
      </c>
      <c r="N182" s="107" t="s">
        <v>445</v>
      </c>
      <c r="O182" s="62" t="s">
        <v>446</v>
      </c>
      <c r="P182" s="62" t="s">
        <v>447</v>
      </c>
      <c r="Q182" s="55" t="s">
        <v>230</v>
      </c>
      <c r="R182" s="158"/>
      <c r="S182" s="158" t="s">
        <v>230</v>
      </c>
      <c r="T182" s="158" t="s">
        <v>409</v>
      </c>
      <c r="U182" s="168" t="n">
        <f aca="false">((($I$134*$G$134)+($I$136*$G$136)+($I$139*$G$139))/1000)*$J$120</f>
        <v>6.338</v>
      </c>
      <c r="V182" s="168" t="n">
        <v>300</v>
      </c>
      <c r="W182" s="169" t="n">
        <f aca="false">ROUNDUP((U182)/V182,0)</f>
        <v>1</v>
      </c>
    </row>
    <row r="183" s="96" customFormat="true" ht="18" hidden="false" customHeight="true" outlineLevel="0" collapsed="false">
      <c r="A183" s="170" t="n">
        <f aca="false">IF(B183="","",+A182+1)</f>
        <v>13</v>
      </c>
      <c r="B183" s="131" t="s">
        <v>443</v>
      </c>
      <c r="C183" s="131" t="s">
        <v>444</v>
      </c>
      <c r="D183" s="132" t="s">
        <v>272</v>
      </c>
      <c r="E183" s="130"/>
      <c r="F183" s="130" t="s">
        <v>272</v>
      </c>
      <c r="G183" s="130" t="s">
        <v>405</v>
      </c>
      <c r="H183" s="130" t="n">
        <v>1</v>
      </c>
      <c r="I183" s="142"/>
      <c r="J183" s="134" t="n">
        <f aca="false">$J$120*H183</f>
        <v>1</v>
      </c>
      <c r="N183" s="107" t="s">
        <v>448</v>
      </c>
      <c r="O183" s="62" t="s">
        <v>449</v>
      </c>
      <c r="P183" s="62" t="s">
        <v>450</v>
      </c>
      <c r="Q183" s="55" t="s">
        <v>451</v>
      </c>
      <c r="R183" s="158"/>
      <c r="S183" s="158" t="s">
        <v>451</v>
      </c>
      <c r="T183" s="158" t="s">
        <v>409</v>
      </c>
      <c r="U183" s="168" t="n">
        <f aca="false">((($I$134*$G$134)+($I$136*$G$136)+($I$139*$G$139))/1000)*$J$120</f>
        <v>6.338</v>
      </c>
      <c r="V183" s="168" t="n">
        <v>100</v>
      </c>
      <c r="W183" s="169" t="n">
        <f aca="false">ROUNDUP((U183)/V183,0)</f>
        <v>1</v>
      </c>
    </row>
    <row r="184" s="96" customFormat="true" ht="18" hidden="false" customHeight="true" outlineLevel="0" collapsed="false">
      <c r="A184" s="170" t="n">
        <f aca="false">IF(B184="","",+A183+1)</f>
        <v>14</v>
      </c>
      <c r="B184" s="132" t="str">
        <f aca="false">IF($D$129="Standard",$O$182,IF($D$129="Soumdproof",$O$183,))</f>
        <v>ยางเฟรมกันน้ำ (ธรรมดา)</v>
      </c>
      <c r="C184" s="132" t="str">
        <f aca="false">IF($D$129="Standard",$P$182,IF($D$129="Soumdproof",$P$183,))</f>
        <v>FRAME SEAL (Standard)</v>
      </c>
      <c r="D184" s="132" t="str">
        <f aca="false">IF($D$129="Standard",$Q$182,IF($D$129="Soumdproof",$Q$183,))</f>
        <v>02-026</v>
      </c>
      <c r="E184" s="130" t="n">
        <f aca="false">IF($D$129="Standard",R183,IF($D$129="Soumdproof",R184,))</f>
        <v>0</v>
      </c>
      <c r="F184" s="130" t="str">
        <f aca="false">IF($D$129="Standard",$S$182,IF($D$129="Soumdproof",$S$183,))</f>
        <v>02-026</v>
      </c>
      <c r="G184" s="130" t="str">
        <f aca="false">IF($D$129="Standard",$T$182,IF($D$129="Soumdproof",$T$183,))</f>
        <v>M</v>
      </c>
      <c r="H184" s="173" t="n">
        <f aca="false">IF($D$129="Standard",$U$182,IF($D$129="Soumdproof",$U$183,))</f>
        <v>6.338</v>
      </c>
      <c r="I184" s="174" t="n">
        <f aca="false">IF($D$129="Standard",$V$182,IF($D$129="Soumdproof",$V$183,))</f>
        <v>300</v>
      </c>
      <c r="J184" s="175" t="n">
        <f aca="false">ROUNDUP((H184)/100,0)</f>
        <v>1</v>
      </c>
      <c r="N184" s="107" t="s">
        <v>445</v>
      </c>
      <c r="O184" s="62" t="s">
        <v>452</v>
      </c>
      <c r="P184" s="62" t="s">
        <v>453</v>
      </c>
      <c r="Q184" s="55" t="s">
        <v>232</v>
      </c>
      <c r="R184" s="158"/>
      <c r="S184" s="158" t="s">
        <v>232</v>
      </c>
      <c r="T184" s="158" t="s">
        <v>409</v>
      </c>
      <c r="U184" s="168" t="n">
        <f aca="false">((($I$141*$G$141*2)+($I$143*$G$143*2)+($I$144*$G$144*2))/1000)*$J$120</f>
        <v>43.198</v>
      </c>
      <c r="V184" s="168" t="n">
        <v>350</v>
      </c>
      <c r="W184" s="169" t="n">
        <f aca="false">ROUNDUP((U184)/V184,0)</f>
        <v>1</v>
      </c>
    </row>
    <row r="185" s="96" customFormat="true" ht="18" hidden="false" customHeight="true" outlineLevel="0" collapsed="false">
      <c r="A185" s="170" t="n">
        <f aca="false">IF(B185="","",+A184+1)</f>
        <v>15</v>
      </c>
      <c r="B185" s="132" t="str">
        <f aca="false">IF($D$129="Standard",$O$184,IF($D$129="Soumdproof",$O$185,))</f>
        <v>ยางแซชกันน้ำ (ธรรมดา)</v>
      </c>
      <c r="C185" s="132" t="str">
        <f aca="false">IF($D$129="Standard",$P$184,IF($D$129="Soumdproof",$P$185,))</f>
        <v>SASH SEAL FOAM (Standard)</v>
      </c>
      <c r="D185" s="132" t="str">
        <f aca="false">IF($D$129="Standard",$Q$184,IF($D$129="Soumdproof",$Q$185,))</f>
        <v>02-031</v>
      </c>
      <c r="E185" s="130" t="n">
        <f aca="false">IF($D$129="Standard",R185,IF($D$129="Soumdproof",R186,))</f>
        <v>0</v>
      </c>
      <c r="F185" s="130" t="str">
        <f aca="false">IF($D$129="Standard",$S$184,IF($D$129="Soumdproof",$S$185,))</f>
        <v>02-031</v>
      </c>
      <c r="G185" s="130" t="str">
        <f aca="false">IF($D$129="Standard",$T$184,IF($D$129="Soumdproof",$T$185,))</f>
        <v>M</v>
      </c>
      <c r="H185" s="173" t="n">
        <f aca="false">IF($D$129="Standard",$U$184,IF($D$129="Soumdproof",$U$185,))</f>
        <v>43.198</v>
      </c>
      <c r="I185" s="174" t="n">
        <f aca="false">IF($D$129="Standard",$V$184,IF($D$129="Soumdproof",$V$185,))</f>
        <v>350</v>
      </c>
      <c r="J185" s="175" t="n">
        <f aca="false">ROUNDUP((H185)/100,0)</f>
        <v>1</v>
      </c>
      <c r="N185" s="107" t="s">
        <v>448</v>
      </c>
      <c r="O185" s="62" t="s">
        <v>454</v>
      </c>
      <c r="P185" s="62" t="s">
        <v>455</v>
      </c>
      <c r="Q185" s="55" t="s">
        <v>456</v>
      </c>
      <c r="R185" s="158"/>
      <c r="S185" s="158" t="s">
        <v>456</v>
      </c>
      <c r="T185" s="158" t="s">
        <v>409</v>
      </c>
      <c r="U185" s="168" t="n">
        <f aca="false">((($I$141*$G$141*2)+($I$143*$G$143*2)+($I$144*$G$144*2))/1000)*$J$120</f>
        <v>43.198</v>
      </c>
      <c r="V185" s="168" t="n">
        <v>100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16</v>
      </c>
      <c r="B186" s="176" t="str">
        <f aca="false">IF($D$127=5,$O$173,IF($D$127=6,$O$174,IF($D$127=8,$O$175,IF($D$127=10,$O$173,IF($D$127=12,$O$173,IF($D$127=14,$O$175,IF($D$127=18,$O$173,IF($D$127=20,$O$174,IF($D$127=22,"")))))))))</f>
        <v>6,20 mm ยางอัดกระจก</v>
      </c>
      <c r="C186" s="176" t="str">
        <f aca="false">IF($D$127=5,$P$173,IF($D$127=6,$P$174,IF($D$127=8,$P$175,IF($D$127=10,$P$173,IF($D$127=12,$P$173,IF($D$127=14,$P$175,IF($D$127=18,$P$173,IF($D$127=20,$P$174,IF($D$127=22,"")))))))))</f>
        <v>6,20 mm ROLL IN WEDGE</v>
      </c>
      <c r="D186" s="176" t="str">
        <f aca="false">IF($D$127=5,$Q$173,IF($D$127=6,$Q$174,IF($D$127=8,$Q$175,IF($D$127=10,$Q$173,IF($D$127=12,$Q$173,IF($D$127=14,$Q$175,IF($D$127=18,$Q$173,IF($D$127=20,$Q$174,IF($D$127=22,"")))))))))</f>
        <v>02-034</v>
      </c>
      <c r="E186" s="176" t="n">
        <f aca="false">IF($D$127=5,R174,IF($D$127=6,R175,IF($D$127=8,R176,IF($D$127=10,R174,IF($D$127=12,R174,IF($D$127=14,R176,IF($D$127=18,R174,IF($D$127=20,R175,IF($D$127=22,"",)))))))))</f>
        <v>0</v>
      </c>
      <c r="F186" s="167" t="str">
        <f aca="false">IF($D$127=5,$S$173,IF($D$127=6,$S$174,IF($D$127=8,$S$175,IF($D$127=10,$S$173,IF($D$127=12,$S$173,IF($D$127=14,$S$175,IF($D$127=18,$S$173,IF($D$127=20,$S$174,IF($D$127=22,"")))))))))</f>
        <v>02-034</v>
      </c>
      <c r="G186" s="167" t="str">
        <f aca="false">IF($D$127=5,$T$173,IF($D$127=6,$T$174,IF($D$127=8,$T$175,IF($D$127=10,$T$173,IF($D$127=12,$T$173,IF($D$127=14,$T$175,IF($D$127=18,$T$173,IF($D$127=20,$T$174,IF($D$127=22,"")))))))))</f>
        <v>M</v>
      </c>
      <c r="H186" s="173" t="n">
        <f aca="false">IF($D$127=5,$U$173,IF($D$127=6,$U$174,IF($D$127=8,$U$175,IF($D$127=10,$U$173*2,IF($D$127=12,$U$173,IF($D$127=14,$U$175*2,IF($D$127=18,$U$173,IF($D$127=20,$U$174,IF($D$127=22,"")))))))))</f>
        <v>23.534</v>
      </c>
      <c r="I186" s="174" t="n">
        <f aca="false">IF($D$127=5,$V$173,IF($D$127=6,$V$174,IF($D$127=8,$V$175,IF($D$127=10,$V$173,IF($D$127=12,$V$173,IF($D$127=14,$V$175,IF($D$127=18,$V$173,IF($D$127=20,$V$174,IF($D$127=22,"")))))))))</f>
        <v>100</v>
      </c>
      <c r="J186" s="175" t="n">
        <f aca="false">ROUNDUP((H186)/100,0)</f>
        <v>1</v>
      </c>
    </row>
    <row r="187" s="96" customFormat="true" ht="18" hidden="false" customHeight="true" outlineLevel="0" collapsed="false">
      <c r="A187" s="170" t="n">
        <f aca="false">IF(B187="","",+A186+1)</f>
        <v>17</v>
      </c>
      <c r="B187" s="176" t="str">
        <f aca="false">IF($D$127=5,$O$171,IF($D$127=6,$O$171,IF($D$127=8,$O$173,IF($D$127=10,"",IF($D$127=12,$O$172,IF($D$127=14,"",IF($D$127=18,$O$171,IF($D$127=20,$O$172,IF($D$127=22,"",)))))))))</f>
        <v>5,6,18 mm ยางรองกระจก</v>
      </c>
      <c r="C187" s="176" t="str">
        <f aca="false">IF($D$127=5,$P$171,IF($D$127=6,$P$171,IF($D$127=8,$P$173,IF($D$127=10,"",IF($D$127=12,$P$172,IF($D$127=14,"",IF($D$127=18,$P$171,IF($D$127=20,$P$172,IF($D$127=22,"",)))))))))</f>
        <v>5,6,18 mm CAPTIVE WEDGE</v>
      </c>
      <c r="D187" s="176" t="str">
        <f aca="false">IF($D$127=5,$Q$171,IF($D$127=6,$Q$171,IF($D$127=8,$Q$173,IF($D$127=10,"",IF($D$127=12,$Q$172,IF($D$127=14,"",IF($D$127=18,$Q$171,IF($D$127=20,$Q$172,IF($D$127=22,"",)))))))))</f>
        <v>02-022</v>
      </c>
      <c r="E187" s="176" t="n">
        <f aca="false">IF($D$127=5,R172,IF($D$127=6,R172,IF($D$127=8,R174,IF($D$127=10,"",IF($D$127=12,R173,IF($D$127=14,"",IF($D$127=18,R172,IF($D$127=20,R173,IF($D$127=22,"",)))))))))</f>
        <v>0</v>
      </c>
      <c r="F187" s="167" t="str">
        <f aca="false">IF($D$127=5,$S$171,IF($D$127=6,$S$171,IF($D$127=8,$S$173,IF($D$127=10,"",IF($D$127=12,$S$172,IF($D$127=14,"",IF($D$127=18,$S$171,IF($D$127=20,$S$172,IF($D$127=22,"",)))))))))</f>
        <v>02-022</v>
      </c>
      <c r="G187" s="167" t="str">
        <f aca="false">IF($D$127=5,$T$171,IF($D$127=6,$T$171,IF($D$127=8,$T$173,IF($D$127=10,"",IF($D$127=12,$T$172,IF($D$127=14,"",IF($D$127=18,$T$171,IF($D$127=20,$T$172,IF($D$127=22,"",)))))))))</f>
        <v>M</v>
      </c>
      <c r="H187" s="173" t="n">
        <f aca="false">IF($D$127=5,$U$171,IF($D$127=6,$U$171,IF($D$127=8,$U$173,IF($D$127=10,"",IF($D$127=12,$U$172,IF($D$127=14,"",IF($D$127=18,$U$171,IF($D$127=20,$U$172,IF($D$127=22,"")))))))))</f>
        <v>23.534</v>
      </c>
      <c r="I187" s="174" t="n">
        <f aca="false">IF($D$127=5,$V$171,IF($D$127=6,$V$171,IF($D$127=8,$V$173,IF($D$127=10,"",IF($D$127=12,$V$172,IF($D$127=14,"",IF($D$127=18,$V$171,IF($D$127=20,$V$172,IF($D$127=22,"",)))))))))</f>
        <v>100</v>
      </c>
      <c r="J187" s="175" t="n">
        <f aca="false">ROUNDUP((H187)/100,0)</f>
        <v>1</v>
      </c>
    </row>
    <row r="188" s="96" customFormat="true" ht="18" hidden="false" customHeight="true" outlineLevel="0" collapsed="false">
      <c r="A188" s="170" t="str">
        <f aca="false">IF(B188="","",+A187+1)</f>
        <v/>
      </c>
      <c r="B188" s="131"/>
      <c r="C188" s="131"/>
      <c r="D188" s="132"/>
      <c r="E188" s="130"/>
      <c r="F188" s="130"/>
      <c r="G188" s="130"/>
      <c r="H188" s="130"/>
      <c r="I188" s="142"/>
      <c r="J188" s="134" t="n">
        <f aca="false">$J$120*H188</f>
        <v>0</v>
      </c>
    </row>
    <row r="189" s="96" customFormat="true" ht="18" hidden="false" customHeight="true" outlineLevel="0" collapsed="false">
      <c r="A189" s="170" t="str">
        <f aca="false">IF(B189="","",+A188+1)</f>
        <v/>
      </c>
      <c r="B189" s="131"/>
      <c r="C189" s="131"/>
      <c r="D189" s="132"/>
      <c r="E189" s="130"/>
      <c r="F189" s="130"/>
      <c r="G189" s="130"/>
      <c r="H189" s="130"/>
      <c r="I189" s="133"/>
      <c r="J189" s="134" t="n">
        <f aca="false">$J$120*H189</f>
        <v>0</v>
      </c>
    </row>
    <row r="190" s="96" customFormat="true" ht="18" hidden="false" customHeight="true" outlineLevel="0" collapsed="false">
      <c r="A190" s="170" t="str">
        <f aca="false">IF(B190="","",+A189+1)</f>
        <v/>
      </c>
      <c r="B190" s="131"/>
      <c r="C190" s="131"/>
      <c r="D190" s="132"/>
      <c r="E190" s="130"/>
      <c r="F190" s="130"/>
      <c r="G190" s="130"/>
      <c r="H190" s="130"/>
      <c r="I190" s="133"/>
      <c r="J190" s="134" t="n">
        <f aca="false">$J$120*H190</f>
        <v>0</v>
      </c>
    </row>
    <row r="191" customFormat="false" ht="18" hidden="false" customHeight="true" outlineLevel="0" collapsed="false">
      <c r="A191" s="170" t="str">
        <f aca="false">IF(B191="","",+A190+1)</f>
        <v/>
      </c>
      <c r="B191" s="131"/>
      <c r="C191" s="131"/>
      <c r="D191" s="132"/>
      <c r="E191" s="130"/>
      <c r="F191" s="130"/>
      <c r="G191" s="130"/>
      <c r="H191" s="130"/>
      <c r="I191" s="133"/>
      <c r="J191" s="134" t="n">
        <f aca="false">$J$120*H191</f>
        <v>0</v>
      </c>
      <c r="Y191" s="96"/>
      <c r="Z191" s="96"/>
      <c r="AA191" s="96"/>
      <c r="AB191" s="96"/>
      <c r="AC191" s="96"/>
      <c r="AD191" s="96"/>
      <c r="AE191" s="96"/>
      <c r="AF191" s="96"/>
      <c r="AG191" s="96"/>
      <c r="AH191" s="96"/>
      <c r="AI191" s="96"/>
      <c r="AJ191" s="96"/>
    </row>
    <row r="192" s="96" customFormat="true" ht="18" hidden="false" customHeight="true" outlineLevel="0" collapsed="false">
      <c r="A192" s="170" t="str">
        <f aca="false">IF(B192="","",+A191+1)</f>
        <v/>
      </c>
      <c r="B192" s="131"/>
      <c r="C192" s="131"/>
      <c r="D192" s="132"/>
      <c r="E192" s="130"/>
      <c r="F192" s="130"/>
      <c r="G192" s="130"/>
      <c r="H192" s="130"/>
      <c r="I192" s="133"/>
      <c r="J192" s="134" t="n">
        <f aca="false">$J$120*H192</f>
        <v>0</v>
      </c>
    </row>
    <row r="193" s="96" customFormat="true" ht="18" hidden="false" customHeight="true" outlineLevel="0" collapsed="false">
      <c r="A193" s="170" t="str">
        <f aca="false">IF(B193="","",+A192+1)</f>
        <v/>
      </c>
      <c r="B193" s="131"/>
      <c r="C193" s="131"/>
      <c r="D193" s="132"/>
      <c r="E193" s="130"/>
      <c r="F193" s="130"/>
      <c r="G193" s="130"/>
      <c r="H193" s="130"/>
      <c r="I193" s="133"/>
      <c r="J193" s="134" t="n">
        <f aca="false">$J$120*H193</f>
        <v>0</v>
      </c>
    </row>
    <row r="194" s="96" customFormat="true" ht="18" hidden="false" customHeight="true" outlineLevel="0" collapsed="false">
      <c r="A194" s="170" t="str">
        <f aca="false">IF(B194="","",+A193+1)</f>
        <v/>
      </c>
      <c r="B194" s="131"/>
      <c r="C194" s="131"/>
      <c r="D194" s="132"/>
      <c r="E194" s="130"/>
      <c r="F194" s="130"/>
      <c r="G194" s="130"/>
      <c r="H194" s="130"/>
      <c r="I194" s="133"/>
      <c r="J194" s="134" t="n">
        <f aca="false">$J$120*H194</f>
        <v>0</v>
      </c>
    </row>
    <row r="195" s="96" customFormat="true" ht="18" hidden="false" customHeight="true" outlineLevel="0" collapsed="false">
      <c r="A195" s="170" t="str">
        <f aca="false">IF(B195="","",+A194+1)</f>
        <v/>
      </c>
      <c r="B195" s="131"/>
      <c r="C195" s="131"/>
      <c r="D195" s="132"/>
      <c r="E195" s="130"/>
      <c r="F195" s="130"/>
      <c r="G195" s="130"/>
      <c r="H195" s="130"/>
      <c r="I195" s="133"/>
      <c r="J195" s="134" t="n">
        <f aca="false">$J$120*H195</f>
        <v>0</v>
      </c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30"/>
      <c r="I196" s="133"/>
      <c r="J196" s="134" t="n">
        <f aca="false">$J$120*H196</f>
        <v>0</v>
      </c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$J$120*H197</f>
        <v>0</v>
      </c>
    </row>
    <row r="198" s="96" customFormat="true" ht="18" hidden="false" customHeight="true" outlineLevel="0" collapsed="false">
      <c r="A198" s="170" t="str">
        <f aca="false">IF(B198="","",+""+1)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$J$120*H198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IF(B203="","",+""+1)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9" t="str">
        <f aca="false">IF(B204="","",+A203+1)</f>
        <v/>
      </c>
      <c r="B204" s="135"/>
      <c r="C204" s="135"/>
      <c r="D204" s="139"/>
      <c r="E204" s="136"/>
      <c r="F204" s="136"/>
      <c r="G204" s="136"/>
      <c r="H204" s="136"/>
      <c r="I204" s="140"/>
      <c r="J204" s="137" t="n">
        <f aca="false">$J$120*H204</f>
        <v>0</v>
      </c>
    </row>
    <row r="205" s="96" customFormat="true" ht="18" hidden="false" customHeight="true" outlineLevel="0" collapsed="false">
      <c r="A205" s="200"/>
      <c r="B205" s="98"/>
      <c r="D205" s="98"/>
      <c r="E205" s="97"/>
      <c r="F205" s="98"/>
      <c r="G205" s="98"/>
      <c r="H205" s="98"/>
      <c r="I205" s="196"/>
      <c r="J205" s="196"/>
    </row>
    <row r="206" customFormat="false" ht="18" hidden="false" customHeight="true" outlineLevel="0" collapsed="false">
      <c r="A206" s="97"/>
      <c r="J206" s="92" t="str">
        <f aca="false">LEFT($J$111,11)&amp;"-02"</f>
        <v>FG-240-4P4R-02</v>
      </c>
    </row>
    <row r="207" customFormat="false" ht="12.75" hidden="false" customHeight="true" outlineLevel="0" collapsed="false">
      <c r="B207" s="96"/>
      <c r="C207" s="96"/>
      <c r="D207" s="98"/>
      <c r="E207" s="97"/>
      <c r="F207" s="97"/>
      <c r="G207" s="97"/>
      <c r="H207" s="97"/>
      <c r="K207" s="78"/>
      <c r="L207" s="78"/>
      <c r="M207" s="79"/>
      <c r="N207" s="79"/>
    </row>
    <row r="208" customFormat="false" ht="30" hidden="false" customHeight="true" outlineLevel="0" collapsed="false">
      <c r="I208" s="76"/>
      <c r="J208" s="77" t="str">
        <f aca="false">$J$2</f>
        <v>HOMELIFE</v>
      </c>
      <c r="K208" s="83"/>
      <c r="L208" s="83"/>
      <c r="M208" s="79"/>
      <c r="N208" s="79"/>
    </row>
    <row r="209" customFormat="false" ht="24.75" hidden="false" customHeight="true" outlineLevel="0" collapsed="false">
      <c r="C209" s="75"/>
      <c r="D209" s="76"/>
      <c r="E209" s="76"/>
      <c r="F209" s="76"/>
      <c r="G209" s="76"/>
      <c r="H209" s="76"/>
      <c r="I209" s="82"/>
      <c r="J209" s="80" t="str">
        <f aca="false">$J$3</f>
        <v>Fabricators Guide</v>
      </c>
      <c r="K209" s="83"/>
      <c r="L209" s="83"/>
      <c r="M209" s="79"/>
      <c r="N209" s="79"/>
    </row>
    <row r="210" customFormat="false" ht="24.75" hidden="false" customHeight="true" outlineLevel="0" collapsed="false">
      <c r="C210" s="82"/>
      <c r="D210" s="82"/>
      <c r="E210" s="82"/>
      <c r="F210" s="82"/>
      <c r="G210" s="82"/>
      <c r="H210" s="82"/>
      <c r="I210" s="82"/>
      <c r="J210" s="80" t="str">
        <f aca="false">$J$4</f>
        <v>240 Series Bi Fold Door </v>
      </c>
      <c r="M210" s="87"/>
      <c r="N210" s="87"/>
    </row>
    <row r="211" s="96" customFormat="true" ht="15" hidden="false" customHeight="true" outlineLevel="0" collapsed="false">
      <c r="A211" s="84"/>
      <c r="B211" s="81"/>
      <c r="C211" s="82"/>
      <c r="D211" s="82"/>
      <c r="E211" s="82"/>
      <c r="F211" s="82"/>
      <c r="G211" s="82"/>
      <c r="H211" s="82"/>
      <c r="I211" s="84"/>
      <c r="J211" s="94"/>
      <c r="K211" s="87"/>
      <c r="L211" s="87"/>
      <c r="M211" s="87"/>
      <c r="N211" s="87"/>
    </row>
    <row r="212" s="96" customFormat="true" ht="24.75" hidden="false" customHeight="true" outlineLevel="0" collapsed="false">
      <c r="A212" s="88" t="s">
        <v>457</v>
      </c>
      <c r="B212" s="88"/>
      <c r="C212" s="88"/>
      <c r="D212" s="88"/>
      <c r="E212" s="88"/>
      <c r="F212" s="88"/>
      <c r="G212" s="88"/>
      <c r="H212" s="88"/>
      <c r="I212" s="88"/>
      <c r="J212" s="88"/>
    </row>
    <row r="214" s="96" customFormat="true" ht="15" hidden="false" customHeight="true" outlineLevel="0" collapsed="false">
      <c r="A214" s="182"/>
      <c r="B214" s="182"/>
      <c r="D214" s="98"/>
      <c r="E214" s="83"/>
      <c r="F214" s="183"/>
      <c r="I214" s="183"/>
      <c r="J214" s="99"/>
    </row>
    <row r="215" s="96" customFormat="true" ht="15" hidden="false" customHeight="true" outlineLevel="0" collapsed="false">
      <c r="A215" s="97"/>
      <c r="C215" s="184"/>
      <c r="D215" s="98"/>
      <c r="E215" s="83"/>
      <c r="F215" s="98"/>
      <c r="G215" s="183"/>
      <c r="H215" s="183"/>
      <c r="J215" s="97"/>
    </row>
    <row r="216" s="96" customFormat="true" ht="15" hidden="false" customHeight="true" outlineLevel="0" collapsed="false">
      <c r="A216" s="97"/>
      <c r="C216" s="181"/>
      <c r="D216" s="98"/>
      <c r="E216" s="83"/>
      <c r="F216" s="98"/>
      <c r="J216" s="97"/>
    </row>
    <row r="217" s="96" customFormat="true" ht="15" hidden="false" customHeight="true" outlineLevel="0" collapsed="false">
      <c r="A217" s="97"/>
      <c r="C217" s="181"/>
      <c r="D217" s="98"/>
      <c r="E217" s="97"/>
      <c r="F217" s="98"/>
      <c r="H217" s="181"/>
      <c r="J217" s="97"/>
    </row>
    <row r="218" s="96" customFormat="true" ht="15" hidden="false" customHeight="true" outlineLevel="0" collapsed="false">
      <c r="A218" s="182"/>
      <c r="B218" s="182"/>
      <c r="D218" s="98"/>
      <c r="E218" s="83"/>
      <c r="F218" s="183"/>
      <c r="H218" s="181"/>
      <c r="I218" s="97"/>
      <c r="J218" s="97"/>
    </row>
    <row r="219" s="96" customFormat="true" ht="15" hidden="false" customHeight="true" outlineLevel="0" collapsed="false">
      <c r="A219" s="97"/>
      <c r="C219" s="184" t="s">
        <v>516</v>
      </c>
      <c r="D219" s="98"/>
      <c r="E219" s="83"/>
      <c r="F219" s="98"/>
      <c r="I219" s="97"/>
      <c r="J219" s="97"/>
    </row>
    <row r="220" s="96" customFormat="true" ht="15" hidden="false" customHeight="true" outlineLevel="0" collapsed="false">
      <c r="A220" s="97"/>
      <c r="C220" s="181" t="s">
        <v>459</v>
      </c>
      <c r="D220" s="98"/>
      <c r="E220" s="83"/>
      <c r="F220" s="98"/>
      <c r="H220" s="184"/>
      <c r="J220" s="97"/>
    </row>
    <row r="221" s="96" customFormat="true" ht="15" hidden="false" customHeight="true" outlineLevel="0" collapsed="false">
      <c r="A221" s="97"/>
      <c r="C221" s="181" t="s">
        <v>460</v>
      </c>
      <c r="D221" s="98"/>
      <c r="E221" s="97"/>
      <c r="F221" s="98"/>
      <c r="J221" s="97"/>
    </row>
    <row r="222" s="96" customFormat="true" ht="15" hidden="false" customHeight="true" outlineLevel="0" collapsed="false">
      <c r="A222" s="97"/>
      <c r="C222" s="185" t="n">
        <f aca="false">$I$133</f>
        <v>1955</v>
      </c>
      <c r="D222" s="98"/>
      <c r="E222" s="83"/>
      <c r="F222" s="98"/>
      <c r="G222" s="186"/>
      <c r="J222" s="97"/>
    </row>
    <row r="223" s="96" customFormat="true" ht="15" hidden="false" customHeight="true" outlineLevel="0" collapsed="false">
      <c r="A223" s="97"/>
      <c r="C223" s="187" t="n">
        <f aca="false">$J$133</f>
        <v>1</v>
      </c>
      <c r="D223" s="98"/>
      <c r="E223" s="83"/>
      <c r="F223" s="98"/>
      <c r="G223" s="110"/>
      <c r="I223" s="97"/>
      <c r="J223" s="97"/>
    </row>
    <row r="224" s="96" customFormat="true" ht="15" hidden="false" customHeight="true" outlineLevel="0" collapsed="false">
      <c r="A224" s="97"/>
      <c r="D224" s="98"/>
      <c r="E224" s="97"/>
      <c r="F224" s="98"/>
      <c r="G224" s="110"/>
      <c r="I224" s="97"/>
      <c r="J224" s="97"/>
    </row>
    <row r="225" s="96" customFormat="true" ht="15.75" hidden="false" customHeight="true" outlineLevel="0" collapsed="false">
      <c r="A225" s="99"/>
      <c r="B225" s="99"/>
      <c r="C225" s="83"/>
      <c r="D225" s="98"/>
      <c r="E225" s="97"/>
      <c r="F225" s="98"/>
      <c r="G225" s="186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H226" s="97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189"/>
      <c r="J227" s="190"/>
    </row>
    <row r="228" s="96" customFormat="true" ht="15.75" hidden="false" customHeight="true" outlineLevel="0" collapsed="false">
      <c r="A228" s="99"/>
      <c r="B228" s="99"/>
      <c r="C228" s="181"/>
      <c r="D228" s="98"/>
      <c r="E228" s="97"/>
      <c r="F228" s="98"/>
      <c r="H228" s="97"/>
      <c r="I228" s="181"/>
      <c r="J228" s="193"/>
    </row>
    <row r="229" s="96" customFormat="true" ht="15.75" hidden="false" customHeight="true" outlineLevel="0" collapsed="false">
      <c r="A229" s="188"/>
      <c r="B229" s="188"/>
      <c r="D229" s="98"/>
      <c r="E229" s="97"/>
      <c r="F229" s="98"/>
      <c r="I229" s="181"/>
      <c r="J229" s="193"/>
    </row>
    <row r="230" s="96" customFormat="true" ht="15.75" hidden="false" customHeight="true" outlineLevel="0" collapsed="false">
      <c r="A230" s="97"/>
      <c r="B230" s="97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81"/>
      <c r="D231" s="98"/>
      <c r="E231" s="97"/>
      <c r="F231" s="97"/>
      <c r="I231" s="181"/>
      <c r="J231" s="193"/>
    </row>
    <row r="232" s="96" customFormat="true" ht="15.75" hidden="false" customHeight="true" outlineLevel="0" collapsed="false">
      <c r="A232" s="191"/>
      <c r="B232" s="191"/>
      <c r="C232" s="184" t="s">
        <v>566</v>
      </c>
      <c r="D232" s="192"/>
      <c r="E232" s="191"/>
      <c r="F232" s="191"/>
      <c r="G232" s="97"/>
      <c r="H232" s="97"/>
      <c r="I232" s="181"/>
      <c r="J232" s="193"/>
    </row>
    <row r="233" s="96" customFormat="true" ht="15.75" hidden="false" customHeight="true" outlineLevel="0" collapsed="false">
      <c r="A233" s="190"/>
      <c r="B233" s="190"/>
      <c r="C233" s="181" t="s">
        <v>462</v>
      </c>
      <c r="D233" s="194"/>
      <c r="E233" s="190"/>
      <c r="F233" s="189"/>
      <c r="G233" s="97"/>
      <c r="H233" s="97"/>
      <c r="J233" s="97"/>
    </row>
    <row r="234" s="96" customFormat="true" ht="15.75" hidden="false" customHeight="true" outlineLevel="0" collapsed="false">
      <c r="A234" s="97"/>
      <c r="C234" s="181" t="s">
        <v>518</v>
      </c>
      <c r="D234" s="98"/>
      <c r="E234" s="97"/>
      <c r="F234" s="98"/>
      <c r="G234" s="97"/>
      <c r="H234" s="97"/>
      <c r="I234" s="97"/>
      <c r="J234" s="196"/>
    </row>
    <row r="235" s="96" customFormat="true" ht="15.75" hidden="false" customHeight="true" outlineLevel="0" collapsed="false">
      <c r="A235" s="97"/>
      <c r="C235" s="185" t="n">
        <f aca="false">$I$134</f>
        <v>1929</v>
      </c>
      <c r="D235" s="98"/>
      <c r="E235" s="97"/>
      <c r="F235" s="98"/>
      <c r="G235" s="97"/>
      <c r="H235" s="97"/>
      <c r="I235" s="196"/>
      <c r="J235" s="196"/>
    </row>
    <row r="236" s="96" customFormat="true" ht="15.75" hidden="false" customHeight="true" outlineLevel="0" collapsed="false">
      <c r="A236" s="97"/>
      <c r="C236" s="187" t="n">
        <f aca="false">$J$134</f>
        <v>1</v>
      </c>
      <c r="D236" s="98"/>
      <c r="E236" s="97"/>
      <c r="F236" s="98"/>
      <c r="G236" s="97"/>
      <c r="H236" s="195"/>
      <c r="I236" s="184"/>
      <c r="J236" s="198"/>
    </row>
    <row r="237" s="96" customFormat="true" ht="15.75" hidden="false" customHeight="true" outlineLevel="0" collapsed="false">
      <c r="A237" s="97"/>
      <c r="C237" s="191"/>
      <c r="D237" s="98"/>
      <c r="E237" s="97"/>
      <c r="F237" s="98"/>
      <c r="G237" s="97"/>
      <c r="H237" s="195"/>
      <c r="I237" s="181"/>
      <c r="J237" s="193"/>
    </row>
    <row r="238" s="96" customFormat="true" ht="15.75" hidden="false" customHeight="true" outlineLevel="0" collapsed="false">
      <c r="A238" s="97"/>
      <c r="D238" s="98"/>
      <c r="E238" s="97"/>
      <c r="F238" s="98"/>
      <c r="G238" s="97"/>
      <c r="H238" s="97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96"/>
      <c r="J239" s="196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1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97"/>
      <c r="I241" s="97"/>
      <c r="J241" s="196"/>
    </row>
    <row r="242" s="96" customFormat="true" ht="15.75" hidden="false" customHeight="true" outlineLevel="0" collapsed="false">
      <c r="A242" s="97"/>
      <c r="C242" s="184" t="s">
        <v>641</v>
      </c>
      <c r="D242" s="98"/>
      <c r="E242" s="97"/>
      <c r="F242" s="98"/>
      <c r="G242" s="97"/>
      <c r="H242" s="97"/>
      <c r="I242" s="196"/>
      <c r="J242" s="196"/>
    </row>
    <row r="243" s="96" customFormat="true" ht="15.75" hidden="false" customHeight="true" outlineLevel="0" collapsed="false">
      <c r="A243" s="97"/>
      <c r="C243" s="181" t="s">
        <v>459</v>
      </c>
      <c r="D243" s="98"/>
      <c r="E243" s="97"/>
      <c r="F243" s="98"/>
      <c r="G243" s="97"/>
      <c r="H243" s="97"/>
      <c r="I243" s="196"/>
      <c r="J243" s="196"/>
    </row>
    <row r="244" s="96" customFormat="true" ht="15" hidden="false" customHeight="true" outlineLevel="0" collapsed="false">
      <c r="A244" s="97"/>
      <c r="C244" s="181" t="s">
        <v>460</v>
      </c>
      <c r="D244" s="98"/>
      <c r="E244" s="97"/>
      <c r="F244" s="98"/>
      <c r="G244" s="97"/>
      <c r="H244" s="97"/>
      <c r="I244" s="196"/>
      <c r="J244" s="196"/>
    </row>
    <row r="245" s="96" customFormat="true" ht="15.75" hidden="false" customHeight="true" outlineLevel="0" collapsed="false">
      <c r="A245" s="97"/>
      <c r="C245" s="185" t="n">
        <f aca="false">$I$135</f>
        <v>1955</v>
      </c>
      <c r="D245" s="98"/>
      <c r="E245" s="97"/>
      <c r="F245" s="98"/>
      <c r="G245" s="97"/>
      <c r="H245" s="97"/>
      <c r="I245" s="191"/>
      <c r="J245" s="199"/>
    </row>
    <row r="246" s="96" customFormat="true" ht="15.75" hidden="false" customHeight="true" outlineLevel="0" collapsed="false">
      <c r="A246" s="97"/>
      <c r="C246" s="187" t="n">
        <f aca="false">$J$135</f>
        <v>1</v>
      </c>
      <c r="D246" s="98"/>
      <c r="E246" s="97"/>
      <c r="F246" s="98"/>
      <c r="G246" s="97"/>
      <c r="H246" s="97"/>
      <c r="I246" s="189"/>
      <c r="J246" s="190"/>
    </row>
    <row r="247" s="96" customFormat="true" ht="15.75" hidden="false" customHeight="true" outlineLevel="0" collapsed="false">
      <c r="A247" s="97"/>
      <c r="C247" s="98"/>
      <c r="D247" s="98"/>
      <c r="E247" s="97"/>
      <c r="F247" s="98"/>
      <c r="G247" s="97"/>
      <c r="H247" s="97"/>
      <c r="J247" s="97"/>
    </row>
    <row r="248" s="96" customFormat="true" ht="15.75" hidden="false" customHeight="true" outlineLevel="0" collapsed="false">
      <c r="A248" s="97"/>
      <c r="D248" s="98"/>
      <c r="E248" s="97"/>
      <c r="F248" s="97"/>
      <c r="G248" s="191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0"/>
      <c r="H250" s="97"/>
      <c r="I250" s="196"/>
      <c r="J250" s="196"/>
    </row>
    <row r="251" s="96" customFormat="true" ht="15.75" hidden="false" customHeight="true" outlineLevel="0" collapsed="false">
      <c r="A251" s="97"/>
      <c r="D251" s="98"/>
      <c r="E251" s="97"/>
      <c r="F251" s="97"/>
      <c r="G251" s="97"/>
      <c r="H251" s="97"/>
      <c r="I251" s="196"/>
      <c r="J251" s="196"/>
    </row>
    <row r="252" s="96" customFormat="true" ht="15.75" hidden="false" customHeight="true" outlineLevel="0" collapsed="false">
      <c r="A252" s="191"/>
      <c r="B252" s="191"/>
      <c r="D252" s="192"/>
      <c r="E252" s="191"/>
      <c r="F252" s="191"/>
      <c r="G252" s="97"/>
      <c r="H252" s="97"/>
      <c r="I252" s="196"/>
      <c r="J252" s="196"/>
    </row>
    <row r="253" s="96" customFormat="true" ht="15.75" hidden="false" customHeight="true" outlineLevel="0" collapsed="false">
      <c r="A253" s="190"/>
      <c r="B253" s="190"/>
      <c r="C253" s="184" t="s">
        <v>520</v>
      </c>
      <c r="D253" s="194"/>
      <c r="E253" s="190"/>
      <c r="F253" s="189"/>
      <c r="G253" s="97"/>
      <c r="I253" s="196"/>
      <c r="J253" s="196"/>
    </row>
    <row r="254" s="96" customFormat="true" ht="15.75" hidden="false" customHeight="true" outlineLevel="0" collapsed="false">
      <c r="A254" s="200"/>
      <c r="C254" s="181" t="s">
        <v>459</v>
      </c>
      <c r="D254" s="98"/>
      <c r="E254" s="97"/>
      <c r="F254" s="97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460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5" t="n">
        <f aca="false">$I$136</f>
        <v>1955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7" t="n">
        <f aca="false">$J$136</f>
        <v>1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C261" s="98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C263" s="184" t="s">
        <v>521</v>
      </c>
      <c r="D263" s="98"/>
      <c r="E263" s="97"/>
      <c r="F263" s="97"/>
      <c r="G263" s="97"/>
      <c r="H263" s="97"/>
      <c r="I263" s="196"/>
      <c r="J263" s="196"/>
    </row>
    <row r="264" s="96" customFormat="true" ht="15.75" hidden="false" customHeight="true" outlineLevel="0" collapsed="false">
      <c r="A264" s="200"/>
      <c r="C264" s="181" t="s">
        <v>587</v>
      </c>
      <c r="D264" s="181"/>
      <c r="E264" s="181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468</v>
      </c>
      <c r="D265" s="181"/>
      <c r="E265" s="181"/>
      <c r="F265" s="97"/>
      <c r="G265" s="97"/>
      <c r="H265" s="97"/>
      <c r="J265" s="97"/>
    </row>
    <row r="266" s="96" customFormat="true" ht="15.75" hidden="false" customHeight="true" outlineLevel="0" collapsed="false">
      <c r="A266" s="200"/>
      <c r="C266" s="185" t="n">
        <f aca="false">$I$137</f>
        <v>2550</v>
      </c>
      <c r="D266" s="98"/>
      <c r="E266" s="97"/>
      <c r="F266" s="97"/>
      <c r="J266" s="97"/>
    </row>
    <row r="267" s="96" customFormat="true" ht="15.75" hidden="false" customHeight="true" outlineLevel="0" collapsed="false">
      <c r="A267" s="200"/>
      <c r="C267" s="187" t="n">
        <f aca="false">$J$137+$J$138</f>
        <v>2</v>
      </c>
      <c r="D267" s="98"/>
      <c r="E267" s="97"/>
      <c r="F267" s="97"/>
      <c r="G267" s="97"/>
      <c r="H267" s="97"/>
      <c r="J267" s="97"/>
    </row>
    <row r="268" s="96" customFormat="true" ht="15.75" hidden="false" customHeight="true" outlineLevel="0" collapsed="false">
      <c r="A268" s="200"/>
      <c r="D268" s="184"/>
      <c r="E268" s="184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1"/>
      <c r="E270" s="181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I272" s="196"/>
      <c r="J272" s="196"/>
    </row>
    <row r="273" s="96" customFormat="true" ht="15.75" hidden="false" customHeight="true" outlineLevel="0" collapsed="false">
      <c r="A273" s="200"/>
      <c r="D273" s="98"/>
      <c r="E273" s="97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C274" s="184" t="s">
        <v>588</v>
      </c>
      <c r="D274" s="201"/>
      <c r="E274" s="196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1" t="s">
        <v>470</v>
      </c>
      <c r="D275" s="181"/>
      <c r="E275" s="181"/>
      <c r="F275" s="97"/>
      <c r="G275" s="97"/>
      <c r="I275" s="97"/>
      <c r="J275" s="196"/>
    </row>
    <row r="276" s="96" customFormat="true" ht="15.75" hidden="false" customHeight="true" outlineLevel="0" collapsed="false">
      <c r="A276" s="200"/>
      <c r="C276" s="181" t="s">
        <v>471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5" t="n">
        <f aca="false">$I$139</f>
        <v>2454</v>
      </c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7" t="n">
        <f aca="false">$J$139+$J$140</f>
        <v>2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F279" s="97"/>
      <c r="G279" s="97"/>
      <c r="H279" s="97"/>
      <c r="J279" s="97"/>
    </row>
    <row r="280" s="96" customFormat="true" ht="15.75" hidden="false" customHeight="true" outlineLevel="0" collapsed="false">
      <c r="A280" s="200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D281" s="98"/>
      <c r="E281" s="97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J282" s="97"/>
    </row>
    <row r="283" s="96" customFormat="true" ht="15.75" hidden="false" customHeight="true" outlineLevel="0" collapsed="false">
      <c r="A283" s="200"/>
      <c r="F283" s="97"/>
      <c r="G283" s="97"/>
      <c r="H283" s="97"/>
      <c r="I283" s="201"/>
      <c r="J283" s="196"/>
    </row>
    <row r="284" s="96" customFormat="true" ht="15.75" hidden="false" customHeight="true" outlineLevel="0" collapsed="false">
      <c r="A284" s="200"/>
      <c r="C284" s="184" t="s">
        <v>524</v>
      </c>
      <c r="F284" s="97"/>
      <c r="G284" s="97"/>
      <c r="H284" s="97"/>
      <c r="I284" s="97"/>
      <c r="J284" s="196"/>
    </row>
    <row r="285" s="96" customFormat="true" ht="15.75" hidden="false" customHeight="true" outlineLevel="0" collapsed="false">
      <c r="A285" s="200"/>
      <c r="C285" s="83" t="s">
        <v>636</v>
      </c>
      <c r="D285" s="98"/>
      <c r="E285" s="97"/>
      <c r="F285" s="97"/>
      <c r="G285" s="97"/>
      <c r="H285" s="97"/>
      <c r="I285" s="196"/>
      <c r="J285" s="196"/>
    </row>
    <row r="286" s="96" customFormat="true" ht="15.75" hidden="false" customHeight="true" outlineLevel="0" collapsed="false">
      <c r="A286" s="200"/>
      <c r="C286" s="181" t="s">
        <v>637</v>
      </c>
      <c r="D286" s="98"/>
      <c r="E286" s="97"/>
      <c r="F286" s="97"/>
      <c r="G286" s="97"/>
      <c r="H286" s="97"/>
      <c r="I286" s="196"/>
      <c r="J286" s="196"/>
    </row>
    <row r="287" s="96" customFormat="true" ht="15.75" hidden="false" customHeight="true" outlineLevel="0" collapsed="false">
      <c r="A287" s="200"/>
      <c r="C287" s="181" t="s">
        <v>475</v>
      </c>
      <c r="D287" s="181"/>
      <c r="E287" s="181"/>
      <c r="F287" s="97"/>
      <c r="G287" s="97"/>
      <c r="I287" s="196"/>
      <c r="J287" s="196"/>
    </row>
    <row r="288" s="202" customFormat="true" ht="15.75" hidden="false" customHeight="true" outlineLevel="0" collapsed="false">
      <c r="A288" s="200"/>
      <c r="B288" s="96"/>
      <c r="C288" s="181" t="s">
        <v>476</v>
      </c>
      <c r="D288" s="181"/>
      <c r="E288" s="181"/>
      <c r="F288" s="97"/>
      <c r="G288" s="97"/>
      <c r="H288" s="96"/>
      <c r="I288" s="97"/>
      <c r="J288" s="97"/>
    </row>
    <row r="289" s="96" customFormat="true" ht="15.75" hidden="false" customHeight="true" outlineLevel="0" collapsed="false">
      <c r="A289" s="200"/>
      <c r="C289" s="185" t="n">
        <f aca="false">$I$141</f>
        <v>483.75</v>
      </c>
      <c r="F289" s="97"/>
      <c r="G289" s="97"/>
      <c r="I289" s="191"/>
      <c r="J289" s="199"/>
    </row>
    <row r="290" s="96" customFormat="true" ht="15.75" hidden="false" customHeight="true" outlineLevel="0" collapsed="false">
      <c r="A290" s="200"/>
      <c r="C290" s="187" t="n">
        <f aca="false">$J$141+$J$142</f>
        <v>8</v>
      </c>
      <c r="D290" s="98"/>
      <c r="E290" s="97"/>
      <c r="F290" s="97"/>
      <c r="G290" s="97"/>
      <c r="H290" s="98"/>
      <c r="I290" s="189"/>
      <c r="J290" s="190"/>
    </row>
    <row r="291" s="96" customFormat="true" ht="15.75" hidden="false" customHeight="true" outlineLevel="0" collapsed="false">
      <c r="A291" s="200"/>
      <c r="C291" s="185" t="n">
        <f aca="false">$I$143</f>
        <v>2458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C292" s="187" t="n">
        <f aca="false">$J$143+$J$144</f>
        <v>8</v>
      </c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D293" s="98"/>
      <c r="E293" s="97"/>
      <c r="F293" s="97"/>
      <c r="G293" s="97"/>
      <c r="H293" s="97"/>
      <c r="I293" s="196"/>
      <c r="J293" s="196"/>
    </row>
    <row r="294" s="96" customFormat="true" ht="15.75" hidden="false" customHeight="true" outlineLevel="0" collapsed="false">
      <c r="A294" s="200"/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202"/>
      <c r="D295" s="98"/>
      <c r="E295" s="97"/>
      <c r="F295" s="97"/>
      <c r="G295" s="97"/>
      <c r="H295" s="97"/>
      <c r="I295" s="97"/>
      <c r="J295" s="196"/>
    </row>
    <row r="296" s="96" customFormat="true" ht="15.75" hidden="false" customHeight="true" outlineLevel="0" collapsed="false">
      <c r="A296" s="200"/>
      <c r="C296" s="184" t="s">
        <v>525</v>
      </c>
      <c r="D296" s="98"/>
      <c r="E296" s="97"/>
      <c r="F296" s="97"/>
      <c r="G296" s="97"/>
      <c r="H296" s="97"/>
      <c r="I296" s="97"/>
      <c r="J296" s="196"/>
    </row>
    <row r="297" s="96" customFormat="true" ht="15.75" hidden="false" customHeight="true" outlineLevel="0" collapsed="false">
      <c r="A297" s="200"/>
      <c r="C297" s="83" t="s">
        <v>636</v>
      </c>
      <c r="D297" s="98"/>
      <c r="E297" s="97"/>
      <c r="F297" s="97"/>
      <c r="G297" s="191"/>
      <c r="H297" s="191"/>
      <c r="I297" s="97"/>
      <c r="J297" s="196"/>
    </row>
    <row r="298" s="96" customFormat="true" ht="15.75" hidden="false" customHeight="true" outlineLevel="0" collapsed="false">
      <c r="A298" s="200"/>
      <c r="C298" s="181" t="s">
        <v>637</v>
      </c>
      <c r="D298" s="181"/>
      <c r="E298" s="181"/>
      <c r="F298" s="97"/>
      <c r="G298" s="190"/>
      <c r="H298" s="189"/>
      <c r="I298" s="97"/>
      <c r="J298" s="196"/>
    </row>
    <row r="299" s="96" customFormat="true" ht="15.75" hidden="false" customHeight="true" outlineLevel="0" collapsed="false">
      <c r="A299" s="107"/>
      <c r="C299" s="181" t="s">
        <v>478</v>
      </c>
      <c r="D299" s="181"/>
      <c r="E299" s="181"/>
      <c r="F299" s="97"/>
      <c r="G299" s="97"/>
      <c r="H299" s="97"/>
      <c r="I299" s="97"/>
      <c r="J299" s="196"/>
    </row>
    <row r="300" s="96" customFormat="true" ht="15.75" hidden="false" customHeight="true" outlineLevel="0" collapsed="false">
      <c r="A300" s="191"/>
      <c r="B300" s="191"/>
      <c r="C300" s="181" t="s">
        <v>479</v>
      </c>
      <c r="D300" s="203"/>
      <c r="E300" s="204"/>
      <c r="F300" s="191"/>
      <c r="G300" s="97"/>
      <c r="H300" s="97"/>
      <c r="I300" s="97"/>
      <c r="J300" s="196"/>
    </row>
    <row r="301" s="96" customFormat="true" ht="15.75" hidden="false" customHeight="true" outlineLevel="0" collapsed="false">
      <c r="A301" s="190"/>
      <c r="B301" s="190"/>
      <c r="C301" s="185" t="n">
        <f aca="false">$I$145</f>
        <v>373.3125</v>
      </c>
      <c r="D301" s="205"/>
      <c r="E301" s="206"/>
      <c r="F301" s="189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7" t="n">
        <f aca="false">$J$145</f>
        <v>8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5" t="n">
        <f aca="false">$I$146</f>
        <v>2308</v>
      </c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C304" s="187" t="n">
        <f aca="false">$J$146</f>
        <v>8</v>
      </c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D306" s="98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D307" s="98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184"/>
      <c r="D308" s="98"/>
      <c r="E308" s="97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1"/>
      <c r="D309" s="181"/>
      <c r="E309" s="181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D310" s="98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200"/>
      <c r="D313" s="201"/>
      <c r="E313" s="196"/>
      <c r="F313" s="97"/>
      <c r="G313" s="97"/>
      <c r="H313" s="97"/>
      <c r="I313" s="200"/>
      <c r="J313" s="92" t="str">
        <f aca="false">LEFT($J$111,11)&amp;"-03"</f>
        <v>FG-240-4P4R-03</v>
      </c>
    </row>
    <row r="314" customFormat="false" ht="12.75" hidden="false" customHeight="true" outlineLevel="0" collapsed="false">
      <c r="A314" s="97"/>
      <c r="B314" s="49"/>
      <c r="C314" s="49"/>
      <c r="D314" s="207"/>
      <c r="E314" s="200"/>
      <c r="F314" s="200"/>
      <c r="G314" s="200"/>
      <c r="H314" s="200"/>
      <c r="I314" s="208"/>
      <c r="J314" s="208"/>
    </row>
    <row r="315" customFormat="false" ht="30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77" t="str">
        <f aca="false">$J$2</f>
        <v>HOMELIFE</v>
      </c>
    </row>
    <row r="316" customFormat="false" ht="24.75" hidden="false" customHeight="true" outlineLevel="0" collapsed="false">
      <c r="C316" s="75"/>
      <c r="D316" s="76"/>
      <c r="E316" s="76"/>
      <c r="F316" s="76"/>
      <c r="G316" s="76"/>
      <c r="H316" s="76"/>
      <c r="I316" s="82"/>
      <c r="J316" s="80" t="str">
        <f aca="false">$J$3</f>
        <v>Fabricators Guide</v>
      </c>
      <c r="K316" s="83"/>
      <c r="L316" s="83"/>
      <c r="M316" s="79"/>
      <c r="N316" s="79"/>
    </row>
    <row r="317" customFormat="false" ht="24.75" hidden="false" customHeight="true" outlineLevel="0" collapsed="false">
      <c r="C317" s="82"/>
      <c r="D317" s="82"/>
      <c r="E317" s="82"/>
      <c r="F317" s="82"/>
      <c r="G317" s="82"/>
      <c r="H317" s="82"/>
      <c r="I317" s="82"/>
      <c r="J317" s="80" t="str">
        <f aca="false">$J$4</f>
        <v>240 Series Bi Fold Door </v>
      </c>
      <c r="M317" s="87"/>
      <c r="N317" s="87"/>
    </row>
    <row r="318" s="96" customFormat="true" ht="15" hidden="false" customHeight="true" outlineLevel="0" collapsed="false">
      <c r="A318" s="84"/>
      <c r="B318" s="81"/>
      <c r="C318" s="82"/>
      <c r="D318" s="82"/>
      <c r="E318" s="82"/>
      <c r="F318" s="82"/>
      <c r="G318" s="82"/>
      <c r="H318" s="82"/>
      <c r="I318" s="84"/>
      <c r="J318" s="94"/>
      <c r="K318" s="87"/>
      <c r="L318" s="87"/>
      <c r="M318" s="87"/>
      <c r="N318" s="87"/>
    </row>
    <row r="319" customFormat="false" ht="24.75" hidden="false" customHeight="true" outlineLevel="0" collapsed="false">
      <c r="A319" s="88" t="s">
        <v>480</v>
      </c>
      <c r="B319" s="88"/>
      <c r="C319" s="88"/>
      <c r="D319" s="88"/>
      <c r="E319" s="88"/>
      <c r="F319" s="88"/>
      <c r="G319" s="88"/>
      <c r="H319" s="88"/>
      <c r="I319" s="88"/>
      <c r="J319" s="88"/>
      <c r="K319" s="87"/>
      <c r="L319" s="87"/>
      <c r="M319" s="87"/>
      <c r="N319" s="87"/>
    </row>
    <row r="321" s="96" customFormat="true" ht="15" hidden="false" customHeight="true" outlineLevel="0" collapsed="false">
      <c r="A321" s="188"/>
      <c r="D321" s="73"/>
      <c r="I321" s="183"/>
      <c r="J321" s="99"/>
    </row>
    <row r="322" s="96" customFormat="true" ht="15" hidden="false" customHeight="true" outlineLevel="0" collapsed="false">
      <c r="A322" s="97"/>
      <c r="B322" s="81"/>
      <c r="D322" s="98"/>
      <c r="E322" s="83"/>
      <c r="F322" s="183"/>
      <c r="G322" s="183"/>
      <c r="H322" s="183"/>
      <c r="I322" s="83"/>
      <c r="J322" s="97"/>
    </row>
    <row r="323" s="96" customFormat="true" ht="15" hidden="false" customHeight="true" outlineLevel="0" collapsed="false">
      <c r="A323" s="97"/>
      <c r="D323" s="98"/>
      <c r="E323" s="83"/>
      <c r="F323" s="98"/>
      <c r="G323" s="83"/>
      <c r="H323" s="83"/>
      <c r="I323" s="97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C325" s="98"/>
      <c r="D325" s="98"/>
      <c r="E325" s="83"/>
      <c r="F325" s="98"/>
      <c r="G325" s="97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97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83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182"/>
      <c r="J328" s="97"/>
    </row>
    <row r="329" s="96" customFormat="true" ht="15" hidden="false" customHeight="true" outlineLevel="0" collapsed="false">
      <c r="A329" s="81"/>
      <c r="C329" s="182"/>
      <c r="D329" s="98"/>
      <c r="E329" s="97"/>
      <c r="F329" s="209"/>
      <c r="G329" s="209"/>
      <c r="H329" s="110"/>
      <c r="I329" s="98"/>
      <c r="J329" s="97"/>
    </row>
    <row r="330" s="96" customFormat="true" ht="15" hidden="false" customHeight="true" outlineLevel="0" collapsed="false">
      <c r="A330" s="99"/>
      <c r="B330" s="81"/>
      <c r="C330" s="98"/>
      <c r="D330" s="98"/>
      <c r="E330" s="97"/>
      <c r="F330" s="210"/>
      <c r="G330" s="210"/>
      <c r="H330" s="110"/>
      <c r="I330" s="98"/>
      <c r="J330" s="97"/>
    </row>
    <row r="331" s="96" customFormat="true" ht="15" hidden="false" customHeight="true" outlineLevel="0" collapsed="false">
      <c r="A331" s="211" t="str">
        <f aca="false">A18</f>
        <v>240-4 Panel (4R)</v>
      </c>
      <c r="B331" s="99"/>
      <c r="C331" s="98"/>
      <c r="D331" s="98"/>
      <c r="E331" s="97"/>
      <c r="F331" s="110"/>
      <c r="G331" s="110"/>
      <c r="H331" s="110"/>
      <c r="I331" s="97"/>
      <c r="J331" s="97"/>
    </row>
    <row r="332" s="96" customFormat="true" ht="15" hidden="false" customHeight="true" outlineLevel="0" collapsed="false">
      <c r="A332" s="90" t="str">
        <f aca="false">A19</f>
        <v>Outside Bi Fold Door 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.75" hidden="false" customHeight="true" outlineLevel="0" collapsed="false">
      <c r="A333" s="97"/>
      <c r="B333" s="188"/>
      <c r="C333" s="182"/>
      <c r="D333" s="98"/>
      <c r="E333" s="97"/>
      <c r="F333" s="210"/>
      <c r="G333" s="210"/>
      <c r="H333" s="110"/>
      <c r="I333" s="97"/>
      <c r="J333" s="97"/>
    </row>
    <row r="334" s="96" customFormat="true" ht="15.75" hidden="false" customHeight="true" outlineLevel="0" collapsed="false">
      <c r="A334" s="81"/>
      <c r="B334" s="97"/>
      <c r="C334" s="98"/>
      <c r="D334" s="98"/>
      <c r="E334" s="97"/>
      <c r="F334" s="78"/>
      <c r="H334" s="97"/>
      <c r="I334" s="97"/>
      <c r="J334" s="97"/>
    </row>
    <row r="335" s="96" customFormat="true" ht="15.75" hidden="false" customHeight="true" outlineLevel="0" collapsed="false">
      <c r="A335" s="191"/>
      <c r="C335" s="212"/>
      <c r="D335" s="98"/>
      <c r="E335" s="97"/>
      <c r="F335" s="97"/>
      <c r="G335" s="97"/>
      <c r="H335" s="97"/>
      <c r="I335" s="191"/>
      <c r="J335" s="199"/>
    </row>
    <row r="336" s="96" customFormat="true" ht="15.75" hidden="false" customHeight="true" outlineLevel="0" collapsed="false">
      <c r="A336" s="190"/>
      <c r="C336" s="191"/>
      <c r="D336" s="192"/>
      <c r="E336" s="191"/>
      <c r="F336" s="191"/>
      <c r="G336" s="191"/>
      <c r="H336" s="191"/>
      <c r="I336" s="189"/>
      <c r="J336" s="190"/>
    </row>
    <row r="337" s="96" customFormat="true" ht="15.75" hidden="false" customHeight="true" outlineLevel="0" collapsed="false">
      <c r="A337" s="97"/>
      <c r="C337" s="98"/>
      <c r="D337" s="194"/>
      <c r="E337" s="190"/>
      <c r="F337" s="189"/>
      <c r="G337" s="190"/>
      <c r="H337" s="189"/>
      <c r="I337" s="196"/>
      <c r="J337" s="196"/>
    </row>
    <row r="338" s="96" customFormat="true" ht="15.75" hidden="false" customHeight="true" outlineLevel="0" collapsed="false">
      <c r="A338" s="97"/>
      <c r="C338" s="98"/>
      <c r="D338" s="98"/>
      <c r="E338" s="97"/>
      <c r="F338" s="98"/>
      <c r="G338" s="97"/>
      <c r="H338" s="97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201"/>
      <c r="J339" s="201"/>
    </row>
    <row r="340" s="96" customFormat="true" ht="15.75" hidden="false" customHeight="true" outlineLevel="0" collapsed="false">
      <c r="A340" s="97"/>
      <c r="C340" s="191"/>
      <c r="D340" s="98"/>
      <c r="E340" s="97"/>
      <c r="F340" s="98"/>
      <c r="G340" s="97"/>
      <c r="H340" s="201"/>
      <c r="I340" s="98"/>
      <c r="J340" s="98"/>
    </row>
    <row r="341" s="96" customFormat="true" ht="15.75" hidden="false" customHeight="true" outlineLevel="0" collapsed="false">
      <c r="A341" s="97"/>
      <c r="C341" s="182"/>
      <c r="D341" s="98"/>
      <c r="E341" s="97"/>
      <c r="F341" s="98"/>
      <c r="G341" s="97"/>
      <c r="H341" s="98"/>
      <c r="I341" s="98"/>
      <c r="J341" s="98"/>
    </row>
    <row r="342" s="96" customFormat="true" ht="15.75" hidden="false" customHeight="true" outlineLevel="0" collapsed="false">
      <c r="A342" s="97"/>
      <c r="C342" s="98"/>
      <c r="D342" s="98"/>
      <c r="E342" s="97"/>
      <c r="F342" s="98"/>
      <c r="G342" s="97"/>
      <c r="H342" s="98"/>
      <c r="I342" s="97"/>
      <c r="J342" s="196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7"/>
      <c r="I343" s="196"/>
      <c r="J343" s="196"/>
    </row>
    <row r="344" s="96" customFormat="true" ht="15.75" hidden="false" customHeight="true" outlineLevel="0" collapsed="false">
      <c r="A344" s="97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C347" s="191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98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97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196"/>
      <c r="J350" s="196"/>
    </row>
    <row r="351" s="96" customFormat="true" ht="15.75" hidden="false" customHeight="true" outlineLevel="0" collapsed="false">
      <c r="A351" s="97"/>
      <c r="D351" s="98"/>
      <c r="E351" s="97"/>
      <c r="F351" s="97"/>
      <c r="G351" s="97"/>
      <c r="H351" s="97"/>
      <c r="I351" s="196"/>
      <c r="J351" s="196"/>
    </row>
    <row r="352" s="96" customFormat="true" ht="15" hidden="false" customHeight="true" outlineLevel="0" collapsed="false">
      <c r="A352" s="97"/>
      <c r="D352" s="98"/>
      <c r="E352" s="97"/>
      <c r="F352" s="97"/>
      <c r="G352" s="97"/>
      <c r="H352" s="195"/>
      <c r="I352" s="196"/>
      <c r="J352" s="196"/>
    </row>
    <row r="353" s="202" customFormat="true" ht="15.75" hidden="false" customHeight="true" outlineLevel="0" collapsed="false">
      <c r="A353" s="97"/>
      <c r="B353" s="96"/>
      <c r="C353" s="96"/>
      <c r="D353" s="98"/>
      <c r="E353" s="97"/>
      <c r="F353" s="97"/>
      <c r="G353" s="97"/>
      <c r="H353" s="97"/>
      <c r="I353" s="97"/>
      <c r="J353" s="97"/>
    </row>
    <row r="354" s="96" customFormat="true" ht="15.75" hidden="false" customHeight="true" outlineLevel="0" collapsed="false">
      <c r="A354" s="191"/>
      <c r="D354" s="98"/>
      <c r="E354" s="97"/>
      <c r="F354" s="97"/>
      <c r="G354" s="97"/>
      <c r="H354" s="97"/>
      <c r="I354" s="191"/>
      <c r="J354" s="199"/>
    </row>
    <row r="355" s="96" customFormat="true" ht="15.75" hidden="false" customHeight="true" outlineLevel="0" collapsed="false">
      <c r="A355" s="190"/>
      <c r="B355" s="191"/>
      <c r="C355" s="191"/>
      <c r="D355" s="192"/>
      <c r="E355" s="191"/>
      <c r="F355" s="191"/>
      <c r="G355" s="191"/>
      <c r="H355" s="191"/>
      <c r="I355" s="189"/>
      <c r="J355" s="190"/>
    </row>
    <row r="356" s="96" customFormat="true" ht="15.75" hidden="false" customHeight="true" outlineLevel="0" collapsed="false">
      <c r="A356" s="200"/>
      <c r="B356" s="190"/>
      <c r="C356" s="191"/>
      <c r="D356" s="194"/>
      <c r="E356" s="190"/>
      <c r="F356" s="189"/>
      <c r="G356" s="190"/>
      <c r="H356" s="189"/>
      <c r="I356" s="196"/>
      <c r="J356" s="196"/>
    </row>
    <row r="357" s="96" customFormat="true" ht="15.75" hidden="false" customHeight="true" outlineLevel="0" collapsed="false">
      <c r="A357" s="200"/>
      <c r="C357" s="182"/>
      <c r="D357" s="98"/>
      <c r="E357" s="97"/>
      <c r="F357" s="97"/>
      <c r="G357" s="97"/>
      <c r="H357" s="182"/>
      <c r="I357" s="98"/>
      <c r="J357" s="98"/>
    </row>
    <row r="358" s="96" customFormat="true" ht="15.75" hidden="false" customHeight="true" outlineLevel="0" collapsed="false">
      <c r="A358" s="200"/>
      <c r="C358" s="98"/>
      <c r="D358" s="98"/>
      <c r="E358" s="97"/>
      <c r="F358" s="97"/>
      <c r="G358" s="97"/>
      <c r="H358" s="98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196"/>
      <c r="J359" s="196"/>
    </row>
    <row r="360" s="96" customFormat="true" ht="15.75" hidden="false" customHeight="true" outlineLevel="0" collapsed="false">
      <c r="A360" s="200"/>
      <c r="D360" s="98"/>
      <c r="E360" s="97"/>
      <c r="F360" s="97"/>
      <c r="G360" s="97"/>
      <c r="H360" s="97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C363" s="98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G372" s="97"/>
      <c r="H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182"/>
      <c r="I375" s="98"/>
      <c r="J375" s="98"/>
    </row>
    <row r="376" s="96" customFormat="true" ht="15.75" hidden="false" customHeight="true" outlineLevel="0" collapsed="false">
      <c r="A376" s="200"/>
      <c r="C376" s="188"/>
      <c r="D376" s="98"/>
      <c r="E376" s="97"/>
      <c r="F376" s="97"/>
      <c r="G376" s="97"/>
      <c r="H376" s="98"/>
      <c r="I376" s="98"/>
      <c r="J376" s="98"/>
    </row>
    <row r="377" s="96" customFormat="true" ht="15.75" hidden="false" customHeight="true" outlineLevel="0" collapsed="false">
      <c r="A377" s="200"/>
      <c r="D377" s="98"/>
      <c r="E377" s="97"/>
      <c r="F377" s="97"/>
      <c r="G377" s="97"/>
      <c r="H377" s="98"/>
      <c r="I377" s="196"/>
      <c r="J377" s="196"/>
    </row>
    <row r="378" s="96" customFormat="true" ht="15.75" hidden="false" customHeight="true" outlineLevel="0" collapsed="false">
      <c r="A378" s="200"/>
      <c r="C378" s="98"/>
      <c r="D378" s="98"/>
      <c r="E378" s="97"/>
      <c r="F378" s="97"/>
      <c r="G378" s="97"/>
      <c r="H378" s="182"/>
      <c r="I378" s="98"/>
      <c r="J378" s="98"/>
    </row>
    <row r="379" s="96" customFormat="true" ht="15.75" hidden="false" customHeight="true" outlineLevel="0" collapsed="false">
      <c r="A379" s="200"/>
      <c r="D379" s="98"/>
      <c r="E379" s="97"/>
      <c r="F379" s="97"/>
      <c r="G379" s="97"/>
      <c r="H379" s="98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196"/>
      <c r="J380" s="196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7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97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213"/>
      <c r="J387" s="213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213"/>
      <c r="I388" s="97"/>
      <c r="J388" s="97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97"/>
      <c r="I389" s="98"/>
      <c r="J389" s="98"/>
    </row>
    <row r="390" s="96" customFormat="true" ht="15.75" hidden="false" customHeight="true" outlineLevel="0" collapsed="false">
      <c r="A390" s="200"/>
      <c r="C390" s="188"/>
      <c r="D390" s="98"/>
      <c r="E390" s="97"/>
      <c r="F390" s="97"/>
      <c r="G390" s="97"/>
      <c r="H390" s="98"/>
      <c r="I390" s="196"/>
      <c r="J390" s="196"/>
    </row>
    <row r="391" s="96" customFormat="true" ht="15.75" hidden="false" customHeight="true" outlineLevel="0" collapsed="false">
      <c r="A391" s="200"/>
      <c r="D391" s="98"/>
      <c r="E391" s="97"/>
      <c r="F391" s="97"/>
      <c r="G391" s="97"/>
      <c r="H391" s="97"/>
      <c r="I391" s="97"/>
      <c r="J391" s="196"/>
    </row>
    <row r="392" s="96" customFormat="true" ht="15.75" hidden="false" customHeight="true" outlineLevel="0" collapsed="false">
      <c r="A392" s="200"/>
      <c r="C392" s="98"/>
      <c r="D392" s="98"/>
      <c r="E392" s="97"/>
      <c r="F392" s="97"/>
      <c r="G392" s="97"/>
      <c r="H392" s="97"/>
      <c r="I392" s="196"/>
      <c r="J392" s="196"/>
    </row>
    <row r="393" s="96" customFormat="true" ht="15.75" hidden="false" customHeight="true" outlineLevel="0" collapsed="false">
      <c r="A393" s="200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107"/>
      <c r="D395" s="98"/>
      <c r="E395" s="97"/>
      <c r="F395" s="97"/>
      <c r="G395" s="97"/>
      <c r="H395" s="97"/>
      <c r="I395" s="97"/>
      <c r="J395" s="97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202" customFormat="true" ht="15.75" hidden="false" customHeight="true" outlineLevel="0" collapsed="false">
      <c r="A403" s="107"/>
      <c r="B403" s="96"/>
      <c r="C403" s="96"/>
      <c r="D403" s="98"/>
      <c r="E403" s="97"/>
      <c r="F403" s="97"/>
      <c r="G403" s="97"/>
      <c r="H403" s="97"/>
      <c r="I403" s="97"/>
      <c r="J403" s="97"/>
    </row>
    <row r="404" s="96" customFormat="true" ht="15.75" hidden="false" customHeight="true" outlineLevel="0" collapsed="false">
      <c r="A404" s="191"/>
      <c r="D404" s="98"/>
      <c r="E404" s="97"/>
      <c r="F404" s="97"/>
      <c r="G404" s="97"/>
      <c r="H404" s="97"/>
      <c r="I404" s="191"/>
      <c r="J404" s="199"/>
    </row>
    <row r="405" s="96" customFormat="true" ht="15.75" hidden="false" customHeight="true" outlineLevel="0" collapsed="false">
      <c r="A405" s="191"/>
      <c r="B405" s="191"/>
      <c r="C405" s="191"/>
      <c r="D405" s="192"/>
      <c r="E405" s="191"/>
      <c r="F405" s="191"/>
      <c r="G405" s="191"/>
      <c r="H405" s="191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97"/>
      <c r="B418" s="191"/>
      <c r="C418" s="191"/>
      <c r="D418" s="192"/>
      <c r="E418" s="191"/>
      <c r="F418" s="191"/>
      <c r="G418" s="191"/>
      <c r="H418" s="191"/>
      <c r="I418" s="196"/>
      <c r="J418" s="196"/>
      <c r="K418" s="214"/>
    </row>
    <row r="419" s="96" customFormat="true" ht="15.75" hidden="false" customHeight="true" outlineLevel="0" collapsed="false">
      <c r="A419" s="97"/>
      <c r="D419" s="98"/>
      <c r="E419" s="97"/>
      <c r="F419" s="97"/>
      <c r="G419" s="97"/>
      <c r="H419" s="97"/>
      <c r="I419" s="196"/>
    </row>
    <row r="420" customFormat="false" ht="18" hidden="false" customHeight="true" outlineLevel="0" collapsed="false">
      <c r="A420" s="97"/>
      <c r="B420" s="96"/>
      <c r="C420" s="96"/>
      <c r="D420" s="98"/>
      <c r="E420" s="97"/>
      <c r="F420" s="97"/>
      <c r="G420" s="97"/>
      <c r="H420" s="97"/>
      <c r="I420" s="97"/>
      <c r="J420" s="92" t="str">
        <f aca="false">LEFT($J$111,11)&amp;"-04"</f>
        <v>FG-240-4P4R-04</v>
      </c>
      <c r="K420" s="78"/>
      <c r="L420" s="78"/>
      <c r="M420" s="79"/>
      <c r="N420" s="79"/>
    </row>
    <row r="421" customFormat="false" ht="12.75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215"/>
      <c r="K421" s="78"/>
      <c r="L421" s="78"/>
      <c r="M421" s="79"/>
      <c r="N421" s="79"/>
    </row>
    <row r="422" customFormat="false" ht="30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77" t="str">
        <f aca="false">$J$2</f>
        <v>HOMELIFE</v>
      </c>
      <c r="K422" s="78"/>
      <c r="L422" s="78"/>
      <c r="M422" s="79"/>
      <c r="N422" s="79"/>
    </row>
    <row r="423" customFormat="false" ht="24.75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80" t="str">
        <f aca="false">$J$3</f>
        <v>Fabricators Guide</v>
      </c>
      <c r="K423" s="78"/>
      <c r="L423" s="78"/>
      <c r="M423" s="79"/>
      <c r="N423" s="79"/>
    </row>
    <row r="424" customFormat="false" ht="24.75" hidden="false" customHeight="true" outlineLevel="0" collapsed="false">
      <c r="C424" s="82"/>
      <c r="D424" s="82"/>
      <c r="E424" s="82"/>
      <c r="F424" s="82"/>
      <c r="G424" s="82"/>
      <c r="H424" s="82"/>
      <c r="I424" s="82"/>
      <c r="J424" s="80" t="str">
        <f aca="false">$J$4</f>
        <v>240 Series Bi Fold Door </v>
      </c>
      <c r="M424" s="87"/>
      <c r="N424" s="87"/>
    </row>
    <row r="425" s="96" customFormat="true" ht="15" hidden="false" customHeight="true" outlineLevel="0" collapsed="false">
      <c r="A425" s="84"/>
      <c r="B425" s="81"/>
      <c r="C425" s="82"/>
      <c r="D425" s="82"/>
      <c r="E425" s="82"/>
      <c r="F425" s="82"/>
      <c r="G425" s="82"/>
      <c r="H425" s="82"/>
      <c r="I425" s="84"/>
      <c r="J425" s="86"/>
      <c r="K425" s="87"/>
      <c r="L425" s="87"/>
      <c r="M425" s="87"/>
      <c r="N425" s="87"/>
    </row>
    <row r="426" s="96" customFormat="true" ht="24.75" hidden="false" customHeight="true" outlineLevel="0" collapsed="false">
      <c r="A426" s="88" t="s">
        <v>481</v>
      </c>
      <c r="B426" s="88"/>
      <c r="C426" s="88"/>
      <c r="D426" s="88"/>
      <c r="E426" s="88"/>
      <c r="F426" s="88"/>
      <c r="G426" s="88"/>
      <c r="H426" s="88"/>
      <c r="I426" s="88"/>
      <c r="J426" s="88"/>
      <c r="K426" s="87"/>
      <c r="L426" s="87"/>
      <c r="M426" s="87"/>
      <c r="N426" s="87"/>
    </row>
    <row r="427" s="96" customFormat="true" ht="15" hidden="false" customHeight="true" outlineLevel="0" collapsed="false">
      <c r="B427" s="268"/>
      <c r="C427" s="268"/>
      <c r="D427" s="268"/>
      <c r="E427" s="268"/>
      <c r="F427" s="268"/>
      <c r="G427" s="268"/>
      <c r="H427" s="268"/>
    </row>
    <row r="428" s="96" customFormat="true" ht="15" hidden="false" customHeight="true" outlineLevel="0" collapsed="false">
      <c r="A428" s="188"/>
      <c r="I428" s="191"/>
      <c r="J428" s="199"/>
    </row>
    <row r="429" s="96" customFormat="true" ht="15" hidden="false" customHeight="true" outlineLevel="0" collapsed="false">
      <c r="A429" s="97"/>
      <c r="B429" s="81"/>
      <c r="D429" s="98"/>
      <c r="E429" s="83"/>
      <c r="F429" s="81"/>
      <c r="H429" s="191"/>
      <c r="I429" s="191"/>
      <c r="J429" s="199"/>
    </row>
    <row r="430" s="96" customFormat="true" ht="15" hidden="false" customHeight="true" outlineLevel="0" collapsed="false">
      <c r="A430" s="97"/>
      <c r="D430" s="98"/>
      <c r="E430" s="83"/>
      <c r="F430" s="98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C432" s="98"/>
      <c r="D432" s="98"/>
      <c r="E432" s="97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83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81"/>
      <c r="C435" s="182"/>
      <c r="D435" s="98"/>
      <c r="E435" s="97"/>
      <c r="F435" s="216"/>
      <c r="H435" s="191"/>
      <c r="I435" s="191"/>
      <c r="J435" s="199"/>
    </row>
    <row r="436" s="96" customFormat="true" ht="15" hidden="false" customHeight="true" outlineLevel="0" collapsed="false">
      <c r="A436" s="99"/>
      <c r="B436" s="81"/>
      <c r="C436" s="98"/>
      <c r="D436" s="98"/>
      <c r="E436" s="97"/>
      <c r="F436" s="186"/>
      <c r="H436" s="191"/>
      <c r="I436" s="191"/>
      <c r="J436" s="199"/>
    </row>
    <row r="437" s="96" customFormat="true" ht="15" hidden="false" customHeight="true" outlineLevel="0" collapsed="false">
      <c r="B437" s="99"/>
      <c r="C437" s="98"/>
      <c r="D437" s="98"/>
      <c r="E437" s="97"/>
      <c r="F437" s="110"/>
      <c r="H437" s="191"/>
      <c r="I437" s="191"/>
      <c r="J437" s="199"/>
    </row>
    <row r="438" s="96" customFormat="true" ht="15" hidden="false" customHeight="true" outlineLevel="0" collapsed="false">
      <c r="A438" s="211" t="str">
        <f aca="false">A18</f>
        <v>240-4 Panel (4R)</v>
      </c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.75" hidden="false" customHeight="true" outlineLevel="0" collapsed="false">
      <c r="A439" s="90" t="str">
        <f aca="false">A19</f>
        <v>Outside Bi Fold Door </v>
      </c>
      <c r="C439" s="182"/>
      <c r="D439" s="98"/>
      <c r="E439" s="97"/>
      <c r="F439" s="186"/>
      <c r="H439" s="191"/>
      <c r="I439" s="191"/>
      <c r="J439" s="199"/>
    </row>
    <row r="440" s="96" customFormat="true" ht="15.75" hidden="false" customHeight="true" outlineLevel="0" collapsed="false">
      <c r="A440" s="81"/>
      <c r="C440" s="98"/>
      <c r="D440" s="98"/>
      <c r="E440" s="97"/>
      <c r="F440" s="78"/>
      <c r="H440" s="191"/>
      <c r="I440" s="191"/>
      <c r="J440" s="199"/>
    </row>
    <row r="441" s="96" customFormat="true" ht="15.75" hidden="false" customHeight="true" outlineLevel="0" collapsed="false">
      <c r="A441" s="191"/>
      <c r="C441" s="212"/>
      <c r="D441" s="98"/>
      <c r="E441" s="97"/>
      <c r="F441" s="97"/>
      <c r="H441" s="191"/>
      <c r="I441" s="191"/>
      <c r="J441" s="199"/>
    </row>
    <row r="442" s="96" customFormat="true" ht="15.75" hidden="false" customHeight="true" outlineLevel="0" collapsed="false">
      <c r="A442" s="190"/>
      <c r="C442" s="191"/>
      <c r="D442" s="192"/>
      <c r="E442" s="191"/>
      <c r="F442" s="191"/>
      <c r="H442" s="191"/>
      <c r="I442" s="191"/>
      <c r="J442" s="199"/>
    </row>
    <row r="443" s="96" customFormat="true" ht="34.5" hidden="false" customHeight="true" outlineLevel="0" collapsed="false">
      <c r="A443" s="97"/>
      <c r="C443" s="98"/>
      <c r="D443" s="194"/>
      <c r="E443" s="190"/>
      <c r="F443" s="189"/>
      <c r="H443" s="191"/>
      <c r="I443" s="196"/>
      <c r="J443" s="196"/>
    </row>
    <row r="444" customFormat="false" ht="15" hidden="false" customHeight="true" outlineLevel="0" collapsed="false">
      <c r="B444" s="211"/>
      <c r="C444" s="98"/>
      <c r="D444" s="98"/>
      <c r="E444" s="97"/>
      <c r="F444" s="98"/>
      <c r="G444" s="97"/>
      <c r="H444" s="97"/>
    </row>
    <row r="449" s="96" customFormat="true" ht="15.75" hidden="false" customHeight="true" outlineLevel="0" collapsed="false">
      <c r="A449" s="97"/>
      <c r="D449" s="73"/>
      <c r="I449" s="196"/>
      <c r="J449" s="196"/>
    </row>
    <row r="450" s="96" customFormat="true" ht="15.75" hidden="false" customHeight="true" outlineLevel="0" collapsed="false">
      <c r="A450" s="97"/>
      <c r="D450" s="98"/>
      <c r="E450" s="97"/>
      <c r="F450" s="98"/>
      <c r="G450" s="97"/>
      <c r="H450" s="97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C453" s="191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98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97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196"/>
      <c r="J456" s="196"/>
    </row>
    <row r="457" s="96" customFormat="true" ht="15.75" hidden="false" customHeight="true" outlineLevel="0" collapsed="false">
      <c r="A457" s="97"/>
      <c r="D457" s="98"/>
      <c r="E457" s="97"/>
      <c r="F457" s="97"/>
      <c r="G457" s="97"/>
      <c r="H457" s="97"/>
      <c r="I457" s="196"/>
      <c r="J457" s="196"/>
    </row>
    <row r="458" s="96" customFormat="true" ht="15" hidden="false" customHeight="true" outlineLevel="0" collapsed="false">
      <c r="A458" s="97"/>
      <c r="D458" s="98"/>
      <c r="E458" s="97"/>
      <c r="F458" s="97"/>
      <c r="G458" s="97"/>
      <c r="H458" s="195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97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202" customFormat="true" ht="15.75" hidden="false" customHeight="true" outlineLevel="0" collapsed="false">
      <c r="A476" s="97"/>
      <c r="B476" s="96"/>
      <c r="C476" s="96"/>
      <c r="D476" s="98"/>
      <c r="E476" s="97"/>
      <c r="F476" s="97"/>
      <c r="G476" s="97"/>
      <c r="H476" s="97"/>
      <c r="I476" s="97"/>
      <c r="J476" s="97"/>
    </row>
    <row r="477" s="96" customFormat="true" ht="15.75" hidden="false" customHeight="true" outlineLevel="0" collapsed="false">
      <c r="A477" s="191"/>
      <c r="D477" s="98"/>
      <c r="E477" s="97"/>
      <c r="F477" s="97"/>
      <c r="G477" s="97"/>
      <c r="H477" s="97"/>
      <c r="I477" s="191"/>
      <c r="J477" s="199"/>
    </row>
    <row r="478" s="96" customFormat="true" ht="15.75" hidden="false" customHeight="true" outlineLevel="0" collapsed="false">
      <c r="A478" s="190"/>
      <c r="B478" s="191"/>
      <c r="C478" s="191"/>
      <c r="D478" s="192"/>
      <c r="E478" s="191"/>
      <c r="F478" s="191"/>
      <c r="G478" s="191"/>
      <c r="H478" s="191"/>
      <c r="I478" s="189"/>
      <c r="J478" s="190"/>
    </row>
    <row r="479" s="96" customFormat="true" ht="15.75" hidden="false" customHeight="true" outlineLevel="0" collapsed="false">
      <c r="A479" s="200"/>
      <c r="B479" s="190"/>
      <c r="C479" s="191"/>
      <c r="D479" s="194"/>
      <c r="E479" s="190"/>
      <c r="F479" s="189"/>
      <c r="G479" s="190"/>
      <c r="H479" s="189"/>
      <c r="I479" s="196"/>
      <c r="J479" s="196"/>
    </row>
    <row r="480" s="96" customFormat="true" ht="15.75" hidden="false" customHeight="true" outlineLevel="0" collapsed="false">
      <c r="A480" s="200"/>
      <c r="C480" s="182"/>
      <c r="D480" s="98"/>
      <c r="E480" s="97"/>
      <c r="F480" s="97"/>
      <c r="G480" s="97"/>
      <c r="H480" s="182"/>
      <c r="J480" s="97"/>
    </row>
    <row r="481" s="96" customFormat="true" ht="15.75" hidden="false" customHeight="true" outlineLevel="0" collapsed="false">
      <c r="A481" s="200"/>
      <c r="C481" s="98"/>
      <c r="D481" s="98"/>
      <c r="E481" s="97"/>
      <c r="F481" s="97"/>
      <c r="G481" s="97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I482" s="196"/>
      <c r="J482" s="196"/>
    </row>
    <row r="483" s="96" customFormat="true" ht="15.75" hidden="false" customHeight="true" outlineLevel="0" collapsed="false">
      <c r="A483" s="200"/>
      <c r="D483" s="98"/>
      <c r="E483" s="97"/>
      <c r="F483" s="97"/>
      <c r="G483" s="97"/>
      <c r="H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C486" s="98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G495" s="97"/>
      <c r="H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182"/>
      <c r="J498" s="97"/>
    </row>
    <row r="499" s="96" customFormat="true" ht="15.75" hidden="false" customHeight="true" outlineLevel="0" collapsed="false">
      <c r="A499" s="200"/>
      <c r="C499" s="188"/>
      <c r="D499" s="98"/>
      <c r="E499" s="97"/>
      <c r="F499" s="97"/>
      <c r="G499" s="97"/>
      <c r="J499" s="97"/>
    </row>
    <row r="500" s="96" customFormat="true" ht="15.75" hidden="false" customHeight="true" outlineLevel="0" collapsed="false">
      <c r="A500" s="200"/>
      <c r="D500" s="98"/>
      <c r="E500" s="97"/>
      <c r="F500" s="97"/>
      <c r="G500" s="97"/>
      <c r="I500" s="196"/>
      <c r="J500" s="196"/>
    </row>
    <row r="501" s="96" customFormat="true" ht="15.75" hidden="false" customHeight="true" outlineLevel="0" collapsed="false">
      <c r="A501" s="200"/>
      <c r="C501" s="98"/>
      <c r="D501" s="98"/>
      <c r="E501" s="97"/>
      <c r="F501" s="97"/>
      <c r="G501" s="97"/>
      <c r="H501" s="182"/>
      <c r="J501" s="97"/>
    </row>
    <row r="502" s="96" customFormat="true" ht="15.75" hidden="false" customHeight="true" outlineLevel="0" collapsed="false">
      <c r="A502" s="200"/>
      <c r="D502" s="98"/>
      <c r="E502" s="97"/>
      <c r="F502" s="97"/>
      <c r="G502" s="97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I503" s="196"/>
      <c r="J503" s="196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H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196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196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196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196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212"/>
      <c r="J512" s="195"/>
    </row>
    <row r="513" s="96" customFormat="true" ht="15.75" hidden="false" customHeight="true" outlineLevel="0" collapsed="false">
      <c r="A513" s="191"/>
      <c r="B513" s="191"/>
      <c r="C513" s="191"/>
      <c r="D513" s="192"/>
      <c r="E513" s="191"/>
      <c r="F513" s="191"/>
      <c r="G513" s="191"/>
      <c r="H513" s="191"/>
      <c r="I513" s="191"/>
      <c r="J513" s="199"/>
    </row>
    <row r="514" s="96" customFormat="true" ht="15.75" hidden="false" customHeight="true" outlineLevel="0" collapsed="false">
      <c r="A514" s="191"/>
      <c r="B514" s="191"/>
      <c r="C514" s="191"/>
      <c r="D514" s="192"/>
      <c r="E514" s="191"/>
      <c r="F514" s="191"/>
      <c r="G514" s="191"/>
      <c r="H514" s="191"/>
      <c r="I514" s="191"/>
      <c r="J514" s="199"/>
    </row>
    <row r="515" s="96" customFormat="true" ht="15.75" hidden="false" customHeight="true" outlineLevel="0" collapsed="false">
      <c r="B515" s="191"/>
      <c r="C515" s="191"/>
      <c r="D515" s="192"/>
      <c r="E515" s="191"/>
      <c r="F515" s="191"/>
      <c r="G515" s="191"/>
      <c r="H515" s="191"/>
    </row>
    <row r="516" s="96" customFormat="true" ht="15.75" hidden="false" customHeight="true" outlineLevel="0" collapsed="false"/>
    <row r="517" s="96" customFormat="true" ht="24.75" hidden="false" customHeight="true" outlineLevel="0" collapsed="false">
      <c r="A517" s="88" t="s">
        <v>482</v>
      </c>
      <c r="B517" s="88"/>
      <c r="C517" s="88"/>
      <c r="D517" s="88"/>
      <c r="E517" s="88"/>
      <c r="F517" s="88"/>
      <c r="G517" s="88"/>
      <c r="H517" s="88"/>
      <c r="I517" s="88"/>
      <c r="J517" s="88"/>
    </row>
    <row r="518" s="96" customFormat="true" ht="34.5" hidden="false" customHeight="true" outlineLevel="0" collapsed="false">
      <c r="A518" s="114" t="s">
        <v>319</v>
      </c>
      <c r="B518" s="115" t="s">
        <v>168</v>
      </c>
      <c r="C518" s="115" t="s">
        <v>168</v>
      </c>
      <c r="D518" s="116" t="s">
        <v>483</v>
      </c>
      <c r="E518" s="115" t="s">
        <v>321</v>
      </c>
      <c r="F518" s="239" t="s">
        <v>484</v>
      </c>
      <c r="G518" s="240"/>
      <c r="H518" s="116" t="s">
        <v>484</v>
      </c>
      <c r="I518" s="116" t="s">
        <v>485</v>
      </c>
      <c r="J518" s="117" t="s">
        <v>323</v>
      </c>
      <c r="N518" s="118" t="s">
        <v>168</v>
      </c>
      <c r="O518" s="118" t="s">
        <v>168</v>
      </c>
    </row>
    <row r="519" s="96" customFormat="true" ht="15.75" hidden="false" customHeight="true" outlineLevel="0" collapsed="false">
      <c r="A519" s="120" t="n">
        <f aca="false">IF(C519="","",1)</f>
        <v>1</v>
      </c>
      <c r="B519" s="121" t="str">
        <f aca="false">IF($D$127=5,N519,IF($D$127=6,N520,IF($D$127=8,N521,IF($D$127=10,N522,IF($D$127=12,N523,IF($D$127=14,N524,IF($D$127=18,N525,IF($D$127=20,N526,IF($D$127=22,N527,)))))))))</f>
        <v>กระจก 6 mm (สูง) (กว้าง)</v>
      </c>
      <c r="C519" s="121" t="str">
        <f aca="false">IF($D$127=5,O519,IF($D$127=6,O520,IF($D$127=8,O521,IF($D$127=10,O522,IF($D$127=12,O523,IF($D$127=14,O524,IF($D$127=18,O525,IF($D$127=20,O526,IF($D$127=22,O527,)))))))))</f>
        <v>GLASS thk.6 mm (H) (W)</v>
      </c>
      <c r="D519" s="123" t="n">
        <f aca="false">$J$123-215</f>
        <v>2335</v>
      </c>
      <c r="E519" s="120" t="s">
        <v>486</v>
      </c>
      <c r="F519" s="224" t="s">
        <v>487</v>
      </c>
      <c r="G519" s="224"/>
      <c r="H519" s="120" t="s">
        <v>638</v>
      </c>
      <c r="I519" s="225" t="n">
        <f aca="false">(($J$126-182-(113.25*3))/4)-13</f>
        <v>360.3125</v>
      </c>
      <c r="J519" s="226" t="n">
        <f aca="false">$J$120*4</f>
        <v>4</v>
      </c>
      <c r="M519" s="96" t="n">
        <f aca="false">ROW()</f>
        <v>519</v>
      </c>
      <c r="N519" s="62" t="s">
        <v>489</v>
      </c>
      <c r="O519" s="62" t="s">
        <v>490</v>
      </c>
    </row>
    <row r="520" s="96" customFormat="true" ht="15.75" hidden="false" customHeight="true" outlineLevel="0" collapsed="false">
      <c r="A520" s="269"/>
      <c r="B520" s="228"/>
      <c r="C520" s="228"/>
      <c r="D520" s="176"/>
      <c r="E520" s="167"/>
      <c r="F520" s="229"/>
      <c r="G520" s="230"/>
      <c r="H520" s="167"/>
      <c r="I520" s="231"/>
      <c r="J520" s="232"/>
      <c r="M520" s="96" t="n">
        <f aca="false">ROW()</f>
        <v>520</v>
      </c>
      <c r="N520" s="62" t="s">
        <v>491</v>
      </c>
      <c r="O520" s="62" t="s">
        <v>492</v>
      </c>
    </row>
    <row r="521" s="96" customFormat="true" ht="15.75" hidden="false" customHeight="true" outlineLevel="0" collapsed="false">
      <c r="A521" s="269"/>
      <c r="B521" s="228"/>
      <c r="C521" s="228"/>
      <c r="D521" s="176"/>
      <c r="E521" s="167"/>
      <c r="F521" s="229"/>
      <c r="G521" s="230"/>
      <c r="H521" s="167"/>
      <c r="I521" s="231"/>
      <c r="J521" s="232"/>
      <c r="M521" s="96" t="n">
        <f aca="false">ROW()</f>
        <v>521</v>
      </c>
      <c r="N521" s="62" t="s">
        <v>493</v>
      </c>
      <c r="O521" s="62" t="s">
        <v>494</v>
      </c>
    </row>
    <row r="522" s="96" customFormat="true" ht="15.75" hidden="false" customHeight="true" outlineLevel="0" collapsed="false">
      <c r="A522" s="130" t="str">
        <f aca="false">IF(B522="","",+""+1)</f>
        <v/>
      </c>
      <c r="B522" s="131"/>
      <c r="C522" s="131"/>
      <c r="D522" s="132"/>
      <c r="E522" s="130"/>
      <c r="F522" s="233"/>
      <c r="G522" s="270"/>
      <c r="H522" s="130"/>
      <c r="I522" s="142"/>
      <c r="J522" s="133"/>
      <c r="M522" s="96" t="n">
        <f aca="false">ROW()</f>
        <v>522</v>
      </c>
      <c r="N522" s="62" t="s">
        <v>495</v>
      </c>
      <c r="O522" s="62" t="s">
        <v>496</v>
      </c>
    </row>
    <row r="523" s="96" customFormat="true" ht="15.75" hidden="false" customHeight="true" outlineLevel="0" collapsed="false">
      <c r="A523" s="136" t="str">
        <f aca="false">IF(B523="","",+A522+1)</f>
        <v/>
      </c>
      <c r="B523" s="135"/>
      <c r="C523" s="135"/>
      <c r="D523" s="139"/>
      <c r="E523" s="136"/>
      <c r="F523" s="236"/>
      <c r="G523" s="237"/>
      <c r="H523" s="136"/>
      <c r="I523" s="180"/>
      <c r="J523" s="140"/>
      <c r="M523" s="96" t="n">
        <f aca="false">ROW()</f>
        <v>523</v>
      </c>
      <c r="N523" s="62" t="s">
        <v>497</v>
      </c>
      <c r="O523" s="62" t="s">
        <v>498</v>
      </c>
    </row>
    <row r="524" s="96" customFormat="true" ht="15.75" hidden="false" customHeight="true" outlineLevel="0" collapsed="false">
      <c r="A524" s="97"/>
      <c r="D524" s="98"/>
      <c r="E524" s="97"/>
      <c r="F524" s="97"/>
      <c r="G524" s="97"/>
      <c r="H524" s="97"/>
      <c r="I524" s="97"/>
      <c r="J524" s="196"/>
      <c r="M524" s="96" t="n">
        <f aca="false">ROW()</f>
        <v>524</v>
      </c>
      <c r="N524" s="62" t="s">
        <v>499</v>
      </c>
      <c r="O524" s="62" t="s">
        <v>500</v>
      </c>
    </row>
    <row r="525" customFormat="false" ht="14.25" hidden="false" customHeight="false" outlineLevel="0" collapsed="false">
      <c r="J525" s="92" t="str">
        <f aca="false">LEFT($J$111,11)&amp;"-05"</f>
        <v>FG-240-4P4R-05</v>
      </c>
      <c r="M525" s="96" t="n">
        <f aca="false">ROW()</f>
        <v>525</v>
      </c>
      <c r="N525" s="62" t="s">
        <v>501</v>
      </c>
      <c r="O525" s="62" t="s">
        <v>502</v>
      </c>
    </row>
    <row r="526" customFormat="false" ht="14.25" hidden="false" customHeight="false" outlineLevel="0" collapsed="false">
      <c r="M526" s="96" t="n">
        <f aca="false">ROW()</f>
        <v>526</v>
      </c>
      <c r="N526" s="62" t="s">
        <v>503</v>
      </c>
      <c r="O526" s="62" t="s">
        <v>504</v>
      </c>
    </row>
    <row r="527" customFormat="false" ht="14.25" hidden="false" customHeight="false" outlineLevel="0" collapsed="false">
      <c r="M527" s="96" t="n">
        <f aca="false">ROW()</f>
        <v>527</v>
      </c>
      <c r="N527" s="62" t="s">
        <v>505</v>
      </c>
      <c r="O527" s="62" t="s">
        <v>506</v>
      </c>
    </row>
  </sheetData>
  <mergeCells count="43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6"/>
    <mergeCell ref="H163:H166"/>
    <mergeCell ref="I166:J167"/>
    <mergeCell ref="D167:D168"/>
    <mergeCell ref="H167:H168"/>
    <mergeCell ref="I168:J168"/>
    <mergeCell ref="A169:J169"/>
    <mergeCell ref="A212:J212"/>
    <mergeCell ref="A319:J319"/>
    <mergeCell ref="F329:G329"/>
    <mergeCell ref="F330:G330"/>
    <mergeCell ref="F333:G333"/>
    <mergeCell ref="A426:J426"/>
    <mergeCell ref="A517:J517"/>
    <mergeCell ref="F519:G519"/>
  </mergeCells>
  <dataValidations count="4">
    <dataValidation allowBlank="true" errorStyle="stop" operator="between" showDropDown="false" showErrorMessage="true" showInputMessage="true" sqref="D127:G127" type="list">
      <formula1>$N$120:$N$128</formula1>
      <formula2>0</formula2>
    </dataValidation>
    <dataValidation allowBlank="true" errorStyle="stop" operator="between" showDropDown="false" showErrorMessage="true" showInputMessage="true" sqref="C205" type="list">
      <formula1>$AA$171:$AA$189</formula1>
      <formula2>0</formula2>
    </dataValidation>
    <dataValidation allowBlank="true" errorStyle="stop" operator="between" showDropDown="false" showErrorMessage="true" showInputMessage="true" sqref="D129:G129" type="list">
      <formula1>$O$120</formula1>
      <formula2>0</formula2>
    </dataValidation>
    <dataValidation allowBlank="true" errorStyle="stop" operator="between" showDropDown="false" showErrorMessage="true" showInputMessage="true" sqref="D123:G123" type="list">
      <formula1>$P$119:$P$129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6" man="true" max="16383" min="0"/>
    <brk id="313" man="true" max="16383" min="0"/>
    <brk id="420" man="true" max="16383" min="0"/>
  </row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529"/>
  <sheetViews>
    <sheetView showFormulas="false" showGridLines="false" showRowColHeaders="true" showZeros="true" rightToLeft="false" tabSelected="false" showOutlineSymbols="true" defaultGridColor="true" view="pageBreakPreview" topLeftCell="A28" colorId="64" zoomScale="75" zoomScaleNormal="75" zoomScalePageLayoutView="75" workbookViewId="0">
      <selection pane="topLeft" activeCell="I135" activeCellId="0" sqref="I135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34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7.88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3.44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642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>
      <c r="G45" s="91"/>
    </row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643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5" hidden="false" customHeight="true" outlineLevel="0" collapsed="false">
      <c r="A118" s="97"/>
      <c r="C118" s="81"/>
      <c r="D118" s="98"/>
      <c r="E118" s="83"/>
      <c r="J118" s="99"/>
      <c r="K118" s="83"/>
    </row>
    <row r="119" s="96" customFormat="true" ht="15" hidden="false" customHeight="true" outlineLevel="0" collapsed="false">
      <c r="A119" s="97"/>
      <c r="C119" s="100" t="s">
        <v>286</v>
      </c>
      <c r="D119" s="101"/>
      <c r="E119" s="101"/>
      <c r="F119" s="101"/>
      <c r="G119" s="101"/>
      <c r="I119" s="83"/>
      <c r="J119" s="97"/>
      <c r="N119" s="258" t="s">
        <v>288</v>
      </c>
      <c r="O119" s="97" t="s">
        <v>289</v>
      </c>
      <c r="P119" s="102" t="s">
        <v>290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5</v>
      </c>
      <c r="O120" s="97" t="s">
        <v>509</v>
      </c>
      <c r="P120" s="106" t="s">
        <v>294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6</v>
      </c>
      <c r="O121" s="97" t="s">
        <v>296</v>
      </c>
      <c r="P121" s="106" t="s">
        <v>297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8</v>
      </c>
      <c r="P122" s="106" t="s">
        <v>299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2400</v>
      </c>
      <c r="N123" s="259" t="n">
        <v>10</v>
      </c>
      <c r="P123" s="106" t="s">
        <v>303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12</v>
      </c>
      <c r="P124" s="106" t="s">
        <v>305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14</v>
      </c>
      <c r="P125" s="106" t="s">
        <v>308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3250</v>
      </c>
      <c r="K126" s="110"/>
      <c r="L126" s="110"/>
      <c r="N126" s="259" t="n">
        <v>18</v>
      </c>
      <c r="P126" s="106" t="s">
        <v>311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5</v>
      </c>
      <c r="E127" s="111"/>
      <c r="F127" s="111"/>
      <c r="G127" s="111"/>
      <c r="H127" s="104"/>
      <c r="I127" s="104"/>
      <c r="J127" s="105"/>
      <c r="N127" s="259" t="n">
        <v>20</v>
      </c>
      <c r="P127" s="106" t="s">
        <v>313</v>
      </c>
    </row>
    <row r="128" s="96" customFormat="true" ht="18.75" hidden="false" customHeight="true" outlineLevel="0" collapsed="false">
      <c r="C128" s="108" t="s">
        <v>314</v>
      </c>
      <c r="I128" s="97"/>
      <c r="J128" s="97"/>
      <c r="N128" s="259" t="n">
        <v>22</v>
      </c>
      <c r="P128" s="106" t="s">
        <v>315</v>
      </c>
    </row>
    <row r="129" s="96" customFormat="true" ht="15" hidden="false" customHeight="true" outlineLevel="0" collapsed="false">
      <c r="A129" s="89" t="str">
        <f aca="false">A18</f>
        <v>240-5 Panel (1L4R)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3190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10</v>
      </c>
      <c r="U133" s="127" t="s">
        <v>644</v>
      </c>
      <c r="V133" s="128" t="n">
        <f aca="false">($J$126-185-(113.25*4))/5</f>
        <v>522.4</v>
      </c>
      <c r="W133" s="129" t="n">
        <f aca="false">$J$121*T133</f>
        <v>0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3164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10</v>
      </c>
      <c r="U134" s="127" t="s">
        <v>644</v>
      </c>
      <c r="V134" s="128" t="n">
        <f aca="false">($J$126-185-(113.25*4))/5</f>
        <v>522.4</v>
      </c>
      <c r="W134" s="134" t="n">
        <f aca="false">$J$121*T134</f>
        <v>0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3190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10</v>
      </c>
      <c r="U135" s="127" t="s">
        <v>644</v>
      </c>
      <c r="V135" s="128" t="n">
        <f aca="false">($J$126-185-(113.25*4))/5</f>
        <v>522.4</v>
      </c>
      <c r="W135" s="137" t="n">
        <f aca="false">$J$121*T135</f>
        <v>0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3190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10</v>
      </c>
      <c r="U136" s="127" t="s">
        <v>360</v>
      </c>
      <c r="V136" s="138" t="n">
        <f aca="false">$J$123-242</f>
        <v>2158</v>
      </c>
      <c r="W136" s="129" t="n">
        <f aca="false">$J$121*T136</f>
        <v>0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2400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10</v>
      </c>
      <c r="U137" s="130" t="s">
        <v>360</v>
      </c>
      <c r="V137" s="133" t="n">
        <f aca="false">$J$123-242</f>
        <v>2158</v>
      </c>
      <c r="W137" s="134" t="n">
        <f aca="false">$J$121*T137</f>
        <v>0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2400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10</v>
      </c>
      <c r="U138" s="136" t="s">
        <v>360</v>
      </c>
      <c r="V138" s="140" t="n">
        <f aca="false">$J$123-242</f>
        <v>2158</v>
      </c>
      <c r="W138" s="137" t="n">
        <f aca="false">$J$121*T138</f>
        <v>0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2304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2304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5</v>
      </c>
      <c r="H141" s="130" t="s">
        <v>645</v>
      </c>
      <c r="I141" s="141" t="n">
        <f aca="false">($J$126-60-(5+1)*4)/5</f>
        <v>633.2</v>
      </c>
      <c r="J141" s="134" t="n">
        <f aca="false">$J$120*G141</f>
        <v>5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5</v>
      </c>
      <c r="H142" s="130" t="s">
        <v>645</v>
      </c>
      <c r="I142" s="141" t="n">
        <f aca="false">($J$126-60-(5+1)*4)/5</f>
        <v>633.2</v>
      </c>
      <c r="J142" s="134" t="n">
        <f aca="false">$J$120*G142</f>
        <v>5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7</v>
      </c>
      <c r="H143" s="130" t="s">
        <v>389</v>
      </c>
      <c r="I143" s="133" t="n">
        <f aca="false">$J$123-92</f>
        <v>2308</v>
      </c>
      <c r="J143" s="134" t="n">
        <f aca="false">$J$120*G143</f>
        <v>7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563</v>
      </c>
      <c r="G144" s="130" t="n">
        <v>2</v>
      </c>
      <c r="H144" s="130" t="s">
        <v>389</v>
      </c>
      <c r="I144" s="133" t="n">
        <f aca="false">$J$123-92</f>
        <v>2308</v>
      </c>
      <c r="J144" s="134" t="n">
        <f aca="false">$J$120*G144</f>
        <v>2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531</v>
      </c>
      <c r="C145" s="131" t="s">
        <v>532</v>
      </c>
      <c r="D145" s="132" t="s">
        <v>74</v>
      </c>
      <c r="E145" s="130" t="n">
        <v>1.106</v>
      </c>
      <c r="F145" s="132" t="s">
        <v>533</v>
      </c>
      <c r="G145" s="130" t="n">
        <v>1</v>
      </c>
      <c r="H145" s="130" t="s">
        <v>389</v>
      </c>
      <c r="I145" s="133" t="n">
        <f aca="false">$J$123-92</f>
        <v>2308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6" s="131" t="str">
        <f aca="false">IF($D$127=5,Q133,IF($D$127=6,Q133,IF($D$127=8,Q134,IF($D$127=10,Q134,IF($D$127=12,Q134,IF($D$127=14,Q135,IF($D$127=18,Q135,IF($D$127=20,Q135,IF($D$127=22,Q135,)))))))))</f>
        <v>B24008</v>
      </c>
      <c r="E146" s="131" t="n">
        <f aca="false">IF($D$127=5,R133,IF($D$127=6,R133,IF($D$127=8,R134,IF($D$127=10,R134,IF($D$127=12,R134,IF($D$127=14,R135,IF($D$127=18,R135,IF($D$127=20,R135,IF($D$127=22,R135,)))))))))</f>
        <v>0.231</v>
      </c>
      <c r="F146" s="131" t="str">
        <f aca="false">IF($D$127=5,S133,IF($D$127=6,S133,IF($D$127=8,S134,IF($D$127=10,S134,IF($D$127=12,S134,IF($D$127=14,S135,IF($D$127=18,S135,IF($D$127=20,S135,IF($D$127=22,S135,)))))))))</f>
        <v>B24008-001</v>
      </c>
      <c r="G146" s="130" t="n">
        <f aca="false">IF($D$127=5,T133,IF($D$127=6,T133,IF($D$127=8,T134,IF($D$127=10,T134,IF($D$127=12,T134,IF($D$127=14,T135,IF($D$127=18,T135,IF($D$127=20,T135,IF($D$127=22,T135,)))))))))</f>
        <v>10</v>
      </c>
      <c r="H146" s="130" t="str">
        <f aca="false">IF($D$127=5,U133,IF($D$127=6,U133,IF($D$127=8,U134,IF($D$127=10,U134,IF($D$127=12,U134,IF($D$127=14,U135,IF($D$127=18,U135,IF($D$127=20,U135,IF($D$127=22,U135,)))))))))</f>
        <v>(W-185-(113.25 × 4))/5</v>
      </c>
      <c r="I146" s="141" t="n">
        <f aca="false">IF($D$127=5,V133,IF($D$127=6,V133,IF($D$127=8,V134,IF($D$127=10,V134,IF($D$127=12,V134,IF($D$127=14,V135,IF($D$127=18,V135,IF($D$127=20,V135,IF($D$127=22,V135,)))))))))</f>
        <v>522.4</v>
      </c>
      <c r="J146" s="134" t="n">
        <f aca="false">$J$120*G146</f>
        <v>10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7" s="131" t="str">
        <f aca="false">IF($D$127=5,Q136,IF($D$127=6,Q136,IF($D$127=8,Q137,IF($D$127=10,Q137,IF($D$127=12,Q137,IF($D$127=14,Q138,IF($D$127=18,Q138,IF($D$127=20,Q138,IF($D$127=22,Q138,)))))))))</f>
        <v>B24008</v>
      </c>
      <c r="E147" s="131" t="n">
        <f aca="false">IF($D$127=5,R136,IF($D$127=6,R136,IF($D$127=8,R137,IF($D$127=10,R137,IF($D$127=12,R137,IF($D$127=14,R138,IF($D$127=18,R138,IF($D$127=20,R138,IF($D$127=22,R138,)))))))))</f>
        <v>0.231</v>
      </c>
      <c r="F147" s="131" t="str">
        <f aca="false">IF($D$127=5,S136,IF($D$127=6,S136,IF($D$127=8,S137,IF($D$127=10,S137,IF($D$127=12,S137,IF($D$127=14,S138,IF($D$127=18,S138,IF($D$127=20,S138,IF($D$127=22,S138,)))))))))</f>
        <v>B24008-002</v>
      </c>
      <c r="G147" s="130" t="n">
        <f aca="false">IF($D$127=5,T136,IF($D$127=6,T136,IF($D$127=8,T137,IF($D$127=10,T137,IF($D$127=12,T137,IF($D$127=14,T138,IF($D$127=18,T138,IF($D$127=20,T138,IF($D$127=22,T138,)))))))))</f>
        <v>10</v>
      </c>
      <c r="H147" s="130" t="str">
        <f aca="false">IF($D$127=5,U136,IF($D$127=6,U136,IF($D$127=8,U137,IF($D$127=10,U137,IF($D$127=12,U137,IF($D$127=14,U138,IF($D$127=18,U138,IF($D$127=20,U138,IF($D$127=22,U138,)))))))))</f>
        <v>H-242</v>
      </c>
      <c r="I147" s="133" t="n">
        <f aca="false">IF($D$127=5,V136,IF($D$127=6,V136,IF($D$127=8,V137,IF($D$127=10,V137,IF($D$127=12,V137,IF($D$127=14,V138,IF($D$127=18,V138,IF($D$127=20,V138,IF($D$127=22,V138,)))))))))</f>
        <v>2158</v>
      </c>
      <c r="J147" s="134" t="n">
        <f aca="false">$J$120*G147</f>
        <v>10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">
        <v>534</v>
      </c>
      <c r="C148" s="131" t="s">
        <v>535</v>
      </c>
      <c r="D148" s="132" t="s">
        <v>536</v>
      </c>
      <c r="E148" s="130"/>
      <c r="F148" s="132" t="s">
        <v>537</v>
      </c>
      <c r="G148" s="130" t="n">
        <v>1</v>
      </c>
      <c r="H148" s="130" t="s">
        <v>389</v>
      </c>
      <c r="I148" s="133" t="n">
        <f aca="false">$J$123-92</f>
        <v>2308</v>
      </c>
      <c r="J148" s="134" t="n">
        <f aca="false">$J$120*G148</f>
        <v>1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535</v>
      </c>
      <c r="D149" s="132" t="s">
        <v>536</v>
      </c>
      <c r="E149" s="130"/>
      <c r="F149" s="132" t="s">
        <v>539</v>
      </c>
      <c r="G149" s="130" t="n">
        <v>1</v>
      </c>
      <c r="H149" s="130" t="s">
        <v>389</v>
      </c>
      <c r="I149" s="133" t="n">
        <f aca="false">$J$123-92</f>
        <v>2308</v>
      </c>
      <c r="J149" s="134" t="n">
        <f aca="false">$J$120*G149</f>
        <v>1</v>
      </c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33"/>
      <c r="J150" s="134"/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33"/>
      <c r="J151" s="134"/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3190</v>
      </c>
      <c r="G155" s="155" t="n">
        <f aca="false">VLOOKUP(C155,$C$133:$J$153,8,0)</f>
        <v>1</v>
      </c>
      <c r="H155" s="264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VLOOKUP(C156,$C$133:$I$153,7,0)</f>
        <v>3164</v>
      </c>
      <c r="G156" s="155" t="n">
        <f aca="false">VLOOKUP(C156,$C$133:$J$153,8,0)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VLOOKUP(C157,$C$133:$I$153,7,0)</f>
        <v>3190</v>
      </c>
      <c r="G157" s="155" t="n">
        <f aca="false">VLOOKUP(C157,$C$133:$J$153,8,0)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VLOOKUP(C158,$C$133:$I$153,7,0)</f>
        <v>3190</v>
      </c>
      <c r="G158" s="155" t="n">
        <f aca="false">VLOOKUP(C158,$C$133:$J$153,8,0)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VLOOKUP(C159,$C$133:$I$153,7,0)</f>
        <v>2400</v>
      </c>
      <c r="G159" s="155" t="n">
        <f aca="false">VLOOKUP(C159,$C$133:$J$153,8,0)</f>
        <v>1</v>
      </c>
      <c r="H159" s="160" t="n">
        <f aca="false">ROUNDUP(((F159*G159)+(F160*G160))/6400,0)</f>
        <v>1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VLOOKUP(C160,$C$133:$I$153,7,0)</f>
        <v>2400</v>
      </c>
      <c r="G160" s="155" t="n">
        <f aca="false">VLOOKUP(C160,$C$133:$J$153,8,0)</f>
        <v>1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VLOOKUP(C161,$C$133:$I$153,7,0)</f>
        <v>2304</v>
      </c>
      <c r="G161" s="155" t="n">
        <f aca="false">VLOOKUP(C161,$C$133:$J$153,8,0)</f>
        <v>1</v>
      </c>
      <c r="H161" s="160" t="n">
        <f aca="false">ROUNDUP(((F161*G161)+(F162*G162))/6400,0)</f>
        <v>1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155" t="n">
        <f aca="false">VLOOKUP(C162,$C$133:$H$153,3,0)</f>
        <v>0.235</v>
      </c>
      <c r="F162" s="263" t="n">
        <f aca="false">VLOOKUP(C162,$C$133:$I$153,7,0)</f>
        <v>2304</v>
      </c>
      <c r="G162" s="155" t="n">
        <f aca="false">VLOOKUP(C162,$C$133:$J$153,8,0)</f>
        <v>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155" t="n">
        <f aca="false">VLOOKUP(C163,$C$133:$H$153,3,0)</f>
        <v>1.106</v>
      </c>
      <c r="F163" s="267" t="n">
        <f aca="false">VLOOKUP(C163,$C$133:$I$153,7,0)</f>
        <v>633.2</v>
      </c>
      <c r="G163" s="155" t="n">
        <f aca="false">VLOOKUP(C163,$C$133:$J$153,8,0)</f>
        <v>5</v>
      </c>
      <c r="H163" s="160" t="n">
        <f aca="false">ROUNDUP(((F163*G163)+(F164*G164)+(F165*G165)+(F166*G166)+(F167*G167))/6400,0)</f>
        <v>5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155" t="n">
        <f aca="false">VLOOKUP(C164,$C$133:$H$153,3,0)</f>
        <v>1.106</v>
      </c>
      <c r="F164" s="267" t="n">
        <f aca="false">VLOOKUP(C164,$C$133:$I$153,7,0)</f>
        <v>633.2</v>
      </c>
      <c r="G164" s="155" t="n">
        <f aca="false">VLOOKUP(C164,$C$133:$J$153,8,0)</f>
        <v>5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155" t="n">
        <f aca="false">VLOOKUP(C165,$C$133:$H$153,3,0)</f>
        <v>1.106</v>
      </c>
      <c r="F165" s="263" t="n">
        <f aca="false">VLOOKUP(C165,$C$133:$I$153,7,0)</f>
        <v>2308</v>
      </c>
      <c r="G165" s="155" t="n">
        <f aca="false">VLOOKUP(C165,$C$133:$J$153,8,0)</f>
        <v>7</v>
      </c>
      <c r="H165" s="160"/>
      <c r="I165" s="161"/>
      <c r="J165" s="161"/>
    </row>
    <row r="166" s="96" customFormat="true" ht="13.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155" t="n">
        <f aca="false">VLOOKUP(C166,$C$133:$H$153,3,0)</f>
        <v>1.106</v>
      </c>
      <c r="F166" s="263" t="n">
        <f aca="false">VLOOKUP(C166,$C$133:$I$153,7,0)</f>
        <v>2308</v>
      </c>
      <c r="G166" s="155" t="n">
        <f aca="false">VLOOKUP(C166,$C$133:$J$153,8,0)</f>
        <v>2</v>
      </c>
      <c r="H166" s="160"/>
      <c r="I166" s="161"/>
      <c r="J166" s="161"/>
    </row>
    <row r="167" s="96" customFormat="true" ht="15" hidden="false" customHeight="true" outlineLevel="1" collapsed="false">
      <c r="A167" s="158" t="n">
        <f aca="false">IF(B167="","",+A166+1)</f>
        <v>13</v>
      </c>
      <c r="B167" s="153" t="str">
        <f aca="false">B145</f>
        <v>เสากุญแจมือจับ</v>
      </c>
      <c r="C167" s="153" t="str">
        <f aca="false">C145</f>
        <v>SASH (Ver) LOCK HANDLE</v>
      </c>
      <c r="D167" s="159"/>
      <c r="E167" s="155" t="n">
        <f aca="false">VLOOKUP(C167,$C$133:$H$153,3,0)</f>
        <v>1.106</v>
      </c>
      <c r="F167" s="263" t="n">
        <f aca="false">VLOOKUP(C167,$C$133:$I$153,7,0)</f>
        <v>2308</v>
      </c>
      <c r="G167" s="155" t="n">
        <f aca="false">VLOOKUP(C167,$C$133:$J$153,8,0)</f>
        <v>1</v>
      </c>
      <c r="H167" s="160"/>
      <c r="I167" s="161"/>
      <c r="J167" s="161"/>
    </row>
    <row r="168" s="96" customFormat="true" ht="13.5" hidden="false" customHeight="true" outlineLevel="1" collapsed="false">
      <c r="A168" s="158" t="n">
        <f aca="false">IF(B168="","",+A167+1)</f>
        <v>14</v>
      </c>
      <c r="B168" s="153" t="str">
        <f aca="false">B146</f>
        <v>5-6mm คิ้วตบกระจกแนวนอน</v>
      </c>
      <c r="C168" s="153" t="str">
        <f aca="false">C146</f>
        <v>5-6mm GLAZING BEAD HORIZONTAL</v>
      </c>
      <c r="D168" s="159" t="str">
        <f aca="false">VLOOKUP(C168,$C$133:$H$153,2,0)</f>
        <v>B24008</v>
      </c>
      <c r="E168" s="155" t="n">
        <f aca="false">VLOOKUP(C168,$C$133:$H$153,3,0)</f>
        <v>0.231</v>
      </c>
      <c r="F168" s="267" t="n">
        <f aca="false">VLOOKUP(C168,$C$133:$I$153,7,0)</f>
        <v>522.4</v>
      </c>
      <c r="G168" s="155" t="n">
        <f aca="false">VLOOKUP(C168,$C$133:$J$153,8,0)</f>
        <v>10</v>
      </c>
      <c r="H168" s="160" t="n">
        <f aca="false">ROUNDUP(((F168*G168)+(F169*G169))/6400,0)</f>
        <v>5</v>
      </c>
      <c r="I168" s="265"/>
      <c r="J168" s="265"/>
    </row>
    <row r="169" s="96" customFormat="true" ht="15" hidden="false" customHeight="true" outlineLevel="1" collapsed="false">
      <c r="A169" s="158" t="n">
        <f aca="false">IF(B169="","",+A168+1)</f>
        <v>15</v>
      </c>
      <c r="B169" s="153" t="str">
        <f aca="false">B147</f>
        <v>5-6mm คิ้วตบกระจกแนวตั้ง</v>
      </c>
      <c r="C169" s="153" t="str">
        <f aca="false">C147</f>
        <v>5-6mm GLAZING BEAD VERTICAL</v>
      </c>
      <c r="D169" s="159"/>
      <c r="E169" s="155" t="n">
        <f aca="false">VLOOKUP(C169,$C$133:$H$153,3,0)</f>
        <v>0.231</v>
      </c>
      <c r="F169" s="263" t="n">
        <f aca="false">VLOOKUP(C169,$C$133:$I$153,7,0)</f>
        <v>2158</v>
      </c>
      <c r="G169" s="155" t="n">
        <f aca="false">VLOOKUP(C169,$C$133:$J$153,8,0)</f>
        <v>10</v>
      </c>
      <c r="H169" s="160"/>
      <c r="I169" s="196"/>
      <c r="J169" s="196"/>
    </row>
    <row r="170" s="96" customFormat="true" ht="13.5" hidden="false" customHeight="true" outlineLevel="1" collapsed="false">
      <c r="A170" s="158" t="n">
        <f aca="false">IF(B170="","",+A169+1)</f>
        <v>16</v>
      </c>
      <c r="B170" s="153" t="str">
        <f aca="false">B148</f>
        <v>บังใบ</v>
      </c>
      <c r="C170" s="153" t="str">
        <f aca="false">C148</f>
        <v>SASH STOP</v>
      </c>
      <c r="D170" s="163" t="str">
        <f aca="false">VLOOKUP(C170,$C$133:$H$153,2,0)</f>
        <v>B24009</v>
      </c>
      <c r="E170" s="155" t="n">
        <f aca="false">VLOOKUP(C170,$C$133:$H$153,3,0)</f>
        <v>0</v>
      </c>
      <c r="F170" s="263" t="n">
        <f aca="false">VLOOKUP(C170,$C$133:$I$153,7,0)</f>
        <v>2308</v>
      </c>
      <c r="G170" s="155" t="n">
        <f aca="false">VLOOKUP(C170,$C$133:$J$153,8,0)</f>
        <v>1</v>
      </c>
      <c r="H170" s="160" t="n">
        <f aca="false">ROUNDUP(((F170*G170)+(F171*G171))/6400,0)</f>
        <v>1</v>
      </c>
      <c r="I170" s="196"/>
      <c r="J170" s="196"/>
    </row>
    <row r="171" s="96" customFormat="true" ht="14.25" hidden="false" customHeight="false" outlineLevel="1" collapsed="false">
      <c r="A171" s="158" t="n">
        <f aca="false">IF(B171="","",+A170+1)</f>
        <v>17</v>
      </c>
      <c r="B171" s="153" t="str">
        <f aca="false">B149</f>
        <v>บังใบ</v>
      </c>
      <c r="C171" s="153" t="str">
        <f aca="false">C149</f>
        <v>SASH STOP</v>
      </c>
      <c r="D171" s="163"/>
      <c r="E171" s="155" t="n">
        <f aca="false">VLOOKUP(C171,$C$133:$H$153,3,0)</f>
        <v>0</v>
      </c>
      <c r="F171" s="263" t="n">
        <f aca="false">VLOOKUP(C171,$C$133:$I$153,7,0)</f>
        <v>2308</v>
      </c>
      <c r="G171" s="155" t="n">
        <f aca="false">VLOOKUP(C171,$C$133:$J$153,8,0)</f>
        <v>1</v>
      </c>
      <c r="H171" s="160"/>
      <c r="I171" s="196"/>
      <c r="J171" s="196"/>
    </row>
    <row r="172" s="96" customFormat="true" ht="24.75" hidden="false" customHeight="true" outlineLevel="0" collapsed="false">
      <c r="A172" s="113" t="s">
        <v>396</v>
      </c>
      <c r="B172" s="113"/>
      <c r="C172" s="113"/>
      <c r="D172" s="113"/>
      <c r="E172" s="113"/>
      <c r="F172" s="113"/>
      <c r="G172" s="113"/>
      <c r="H172" s="113"/>
      <c r="I172" s="113"/>
      <c r="J172" s="113"/>
    </row>
    <row r="173" s="96" customFormat="true" ht="34.5" hidden="false" customHeight="true" outlineLevel="0" collapsed="false">
      <c r="A173" s="114" t="s">
        <v>319</v>
      </c>
      <c r="B173" s="115" t="s">
        <v>320</v>
      </c>
      <c r="C173" s="115" t="s">
        <v>168</v>
      </c>
      <c r="D173" s="115" t="s">
        <v>397</v>
      </c>
      <c r="E173" s="115" t="s">
        <v>321</v>
      </c>
      <c r="F173" s="116" t="s">
        <v>398</v>
      </c>
      <c r="G173" s="115" t="s">
        <v>399</v>
      </c>
      <c r="H173" s="116" t="s">
        <v>400</v>
      </c>
      <c r="I173" s="116" t="s">
        <v>401</v>
      </c>
      <c r="J173" s="117" t="s">
        <v>402</v>
      </c>
      <c r="N173" s="107" t="s">
        <v>288</v>
      </c>
      <c r="O173" s="165" t="s">
        <v>320</v>
      </c>
      <c r="P173" s="165" t="s">
        <v>168</v>
      </c>
      <c r="Q173" s="165" t="s">
        <v>397</v>
      </c>
      <c r="R173" s="165" t="s">
        <v>321</v>
      </c>
      <c r="S173" s="165" t="s">
        <v>398</v>
      </c>
      <c r="T173" s="165" t="s">
        <v>399</v>
      </c>
      <c r="U173" s="165" t="s">
        <v>400</v>
      </c>
      <c r="V173" s="165" t="s">
        <v>401</v>
      </c>
      <c r="W173" s="165" t="s">
        <v>402</v>
      </c>
    </row>
    <row r="174" s="96" customFormat="true" ht="18" hidden="false" customHeight="true" outlineLevel="0" collapsed="false">
      <c r="A174" s="166" t="n">
        <f aca="false">IF(B174="","",1)</f>
        <v>1</v>
      </c>
      <c r="B174" s="131" t="s">
        <v>410</v>
      </c>
      <c r="C174" s="131" t="s">
        <v>411</v>
      </c>
      <c r="D174" s="132" t="s">
        <v>267</v>
      </c>
      <c r="E174" s="130"/>
      <c r="F174" s="130" t="s">
        <v>267</v>
      </c>
      <c r="G174" s="130"/>
      <c r="H174" s="130" t="n">
        <v>10</v>
      </c>
      <c r="I174" s="133"/>
      <c r="J174" s="134" t="n">
        <f aca="false">$J$120*H174</f>
        <v>10</v>
      </c>
      <c r="N174" s="107" t="s">
        <v>406</v>
      </c>
      <c r="O174" s="55" t="s">
        <v>407</v>
      </c>
      <c r="P174" s="62" t="s">
        <v>408</v>
      </c>
      <c r="Q174" s="55" t="s">
        <v>227</v>
      </c>
      <c r="R174" s="158"/>
      <c r="S174" s="158" t="s">
        <v>227</v>
      </c>
      <c r="T174" s="158" t="s">
        <v>409</v>
      </c>
      <c r="U174" s="168" t="n">
        <f aca="false">((($I$141*$G$141)+($I$142*$G$142)+($I$143*$G$143)+($I$144*$G$144)+($I$145*$G$145))/1000)*$J$120</f>
        <v>29.412</v>
      </c>
      <c r="V174" s="168" t="n">
        <v>100</v>
      </c>
      <c r="W174" s="169" t="n">
        <f aca="false">ROUNDUP((U174)/100,0)</f>
        <v>1</v>
      </c>
    </row>
    <row r="175" s="96" customFormat="true" ht="18" hidden="false" customHeight="true" outlineLevel="0" collapsed="false">
      <c r="A175" s="170" t="n">
        <f aca="false">IF(B175="","",+A174+1)</f>
        <v>2</v>
      </c>
      <c r="B175" s="131" t="s">
        <v>415</v>
      </c>
      <c r="C175" s="131" t="s">
        <v>416</v>
      </c>
      <c r="D175" s="132" t="s">
        <v>222</v>
      </c>
      <c r="E175" s="130"/>
      <c r="F175" s="130" t="s">
        <v>222</v>
      </c>
      <c r="G175" s="130"/>
      <c r="H175" s="130" t="n">
        <v>2</v>
      </c>
      <c r="I175" s="133"/>
      <c r="J175" s="134" t="n">
        <f aca="false">$J$120*H175</f>
        <v>2</v>
      </c>
      <c r="N175" s="107" t="s">
        <v>412</v>
      </c>
      <c r="O175" s="55" t="s">
        <v>413</v>
      </c>
      <c r="P175" s="62" t="s">
        <v>414</v>
      </c>
      <c r="Q175" s="55" t="s">
        <v>234</v>
      </c>
      <c r="R175" s="158"/>
      <c r="S175" s="158" t="s">
        <v>234</v>
      </c>
      <c r="T175" s="158" t="s">
        <v>409</v>
      </c>
      <c r="U175" s="168" t="n">
        <f aca="false">((($I$141*$G$141)+($I$142*$G$142)+($I$143*$G$143)+($I$144*$G$144)+($I$145*$G$145))/1000)*$J$120</f>
        <v>29.412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3</v>
      </c>
      <c r="B176" s="131" t="s">
        <v>420</v>
      </c>
      <c r="C176" s="131" t="s">
        <v>421</v>
      </c>
      <c r="D176" s="132" t="s">
        <v>225</v>
      </c>
      <c r="E176" s="130"/>
      <c r="F176" s="130" t="s">
        <v>225</v>
      </c>
      <c r="G176" s="130"/>
      <c r="H176" s="130" t="n">
        <v>2</v>
      </c>
      <c r="I176" s="133"/>
      <c r="J176" s="134" t="n">
        <f aca="false">$J$120*H176</f>
        <v>2</v>
      </c>
      <c r="N176" s="107" t="s">
        <v>417</v>
      </c>
      <c r="O176" s="62" t="s">
        <v>418</v>
      </c>
      <c r="P176" s="62" t="s">
        <v>419</v>
      </c>
      <c r="Q176" s="55" t="s">
        <v>236</v>
      </c>
      <c r="R176" s="158"/>
      <c r="S176" s="158" t="s">
        <v>236</v>
      </c>
      <c r="T176" s="158" t="s">
        <v>409</v>
      </c>
      <c r="U176" s="168" t="n">
        <f aca="false">((($I$141*$G$141)+($I$142*$G$142)+($I$143*$G$143)+($I$144*$G$144)+($I$145*$G$145))/1000)*$J$120</f>
        <v>29.412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4</v>
      </c>
      <c r="B177" s="131" t="s">
        <v>425</v>
      </c>
      <c r="C177" s="131" t="s">
        <v>426</v>
      </c>
      <c r="D177" s="132" t="n">
        <v>9</v>
      </c>
      <c r="E177" s="130"/>
      <c r="F177" s="130" t="n">
        <v>9</v>
      </c>
      <c r="G177" s="130"/>
      <c r="H177" s="130" t="n">
        <v>8</v>
      </c>
      <c r="I177" s="133"/>
      <c r="J177" s="134" t="n">
        <f aca="false">$J$120*H177</f>
        <v>8</v>
      </c>
      <c r="N177" s="107" t="s">
        <v>422</v>
      </c>
      <c r="O177" s="62" t="s">
        <v>423</v>
      </c>
      <c r="P177" s="62" t="s">
        <v>424</v>
      </c>
      <c r="Q177" s="55" t="s">
        <v>238</v>
      </c>
      <c r="R177" s="158"/>
      <c r="S177" s="158" t="s">
        <v>238</v>
      </c>
      <c r="T177" s="158" t="s">
        <v>409</v>
      </c>
      <c r="U177" s="168" t="n">
        <f aca="false">((($I$141*$G$141)+($I$142*$G$142)+($I$143*$G$143)+($I$144*$G$144)+($I$145*$G$145))/1000)*$J$120</f>
        <v>29.412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5</v>
      </c>
      <c r="B178" s="131" t="s">
        <v>430</v>
      </c>
      <c r="C178" s="131" t="s">
        <v>431</v>
      </c>
      <c r="D178" s="132" t="n">
        <v>9</v>
      </c>
      <c r="E178" s="130"/>
      <c r="F178" s="130" t="n">
        <v>9</v>
      </c>
      <c r="G178" s="130"/>
      <c r="H178" s="130" t="n">
        <v>110</v>
      </c>
      <c r="I178" s="133"/>
      <c r="J178" s="134" t="n">
        <f aca="false">$J$120*H178</f>
        <v>110</v>
      </c>
      <c r="N178" s="107" t="s">
        <v>427</v>
      </c>
      <c r="O178" s="62" t="s">
        <v>428</v>
      </c>
      <c r="P178" s="62" t="s">
        <v>429</v>
      </c>
      <c r="Q178" s="55" t="s">
        <v>240</v>
      </c>
      <c r="R178" s="158"/>
      <c r="S178" s="158" t="s">
        <v>240</v>
      </c>
      <c r="T178" s="158" t="s">
        <v>409</v>
      </c>
      <c r="U178" s="168" t="n">
        <f aca="false">((($I$141*$G$141)+($I$142*$G$142)+($I$143*$G$143)+($I$144*$G$144)+($I$145*$G$145))/1000)*$J$120</f>
        <v>29.412</v>
      </c>
      <c r="V178" s="168" t="n">
        <v>100</v>
      </c>
      <c r="W178" s="169" t="n">
        <f aca="false">ROUNDUP((U178)/100,0)</f>
        <v>1</v>
      </c>
    </row>
    <row r="179" s="96" customFormat="true" ht="18" hidden="false" customHeight="true" outlineLevel="0" collapsed="false">
      <c r="A179" s="170" t="n">
        <f aca="false">IF(B179="","",+A178+1)</f>
        <v>6</v>
      </c>
      <c r="B179" s="131" t="s">
        <v>432</v>
      </c>
      <c r="C179" s="131" t="s">
        <v>433</v>
      </c>
      <c r="D179" s="132" t="s">
        <v>6</v>
      </c>
      <c r="E179" s="130"/>
      <c r="F179" s="130" t="s">
        <v>6</v>
      </c>
      <c r="G179" s="130" t="s">
        <v>434</v>
      </c>
      <c r="H179" s="130" t="n">
        <v>1</v>
      </c>
      <c r="I179" s="133"/>
      <c r="J179" s="134" t="n">
        <f aca="false">$J$120*H179</f>
        <v>1</v>
      </c>
    </row>
    <row r="180" s="96" customFormat="true" ht="18" hidden="false" customHeight="true" outlineLevel="0" collapsed="false">
      <c r="A180" s="170" t="n">
        <f aca="false">IF(B180="","",+A179+1)</f>
        <v>7</v>
      </c>
      <c r="B180" s="131" t="s">
        <v>512</v>
      </c>
      <c r="C180" s="131" t="s">
        <v>513</v>
      </c>
      <c r="D180" s="132" t="s">
        <v>7</v>
      </c>
      <c r="E180" s="130"/>
      <c r="F180" s="130" t="s">
        <v>7</v>
      </c>
      <c r="G180" s="130" t="s">
        <v>434</v>
      </c>
      <c r="H180" s="130" t="n">
        <v>1</v>
      </c>
      <c r="I180" s="133"/>
      <c r="J180" s="134" t="n">
        <f aca="false">$J$120*H180</f>
        <v>1</v>
      </c>
    </row>
    <row r="181" s="96" customFormat="true" ht="18" hidden="false" customHeight="true" outlineLevel="0" collapsed="false">
      <c r="A181" s="170" t="n">
        <f aca="false">IF(B181="","",+A180+1)</f>
        <v>8</v>
      </c>
      <c r="B181" s="131" t="s">
        <v>554</v>
      </c>
      <c r="C181" s="131" t="s">
        <v>555</v>
      </c>
      <c r="D181" s="132" t="s">
        <v>11</v>
      </c>
      <c r="E181" s="130"/>
      <c r="F181" s="130" t="s">
        <v>11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9</v>
      </c>
      <c r="B182" s="131" t="s">
        <v>556</v>
      </c>
      <c r="C182" s="131" t="s">
        <v>557</v>
      </c>
      <c r="D182" s="132" t="s">
        <v>5</v>
      </c>
      <c r="E182" s="130"/>
      <c r="F182" s="130" t="s">
        <v>5</v>
      </c>
      <c r="G182" s="130" t="s">
        <v>434</v>
      </c>
      <c r="H182" s="130" t="n">
        <v>2</v>
      </c>
      <c r="I182" s="142"/>
      <c r="J182" s="134" t="n">
        <f aca="false">$J$120*H182</f>
        <v>2</v>
      </c>
    </row>
    <row r="183" s="96" customFormat="true" ht="18" hidden="false" customHeight="true" outlineLevel="0" collapsed="false">
      <c r="A183" s="170" t="n">
        <f aca="false">IF(B183="","",+A182+1)</f>
        <v>10</v>
      </c>
      <c r="B183" s="131" t="s">
        <v>514</v>
      </c>
      <c r="C183" s="131" t="s">
        <v>515</v>
      </c>
      <c r="D183" s="132" t="s">
        <v>8</v>
      </c>
      <c r="E183" s="130"/>
      <c r="F183" s="130" t="s">
        <v>8</v>
      </c>
      <c r="G183" s="130" t="s">
        <v>434</v>
      </c>
      <c r="H183" s="130" t="n">
        <v>1</v>
      </c>
      <c r="I183" s="133"/>
      <c r="J183" s="134" t="n">
        <f aca="false">$J$120*H183</f>
        <v>1</v>
      </c>
      <c r="Q183" s="172"/>
      <c r="R183" s="172"/>
      <c r="S183" s="172"/>
      <c r="T183" s="97"/>
      <c r="U183" s="97"/>
      <c r="V183" s="97"/>
    </row>
    <row r="184" s="96" customFormat="true" ht="18" hidden="false" customHeight="true" outlineLevel="0" collapsed="false">
      <c r="A184" s="170" t="n">
        <f aca="false">IF(B184="","",+A183+1)</f>
        <v>11</v>
      </c>
      <c r="B184" s="131" t="s">
        <v>439</v>
      </c>
      <c r="C184" s="131" t="s">
        <v>440</v>
      </c>
      <c r="D184" s="132" t="s">
        <v>12</v>
      </c>
      <c r="E184" s="130"/>
      <c r="F184" s="130" t="s">
        <v>12</v>
      </c>
      <c r="G184" s="130" t="s">
        <v>434</v>
      </c>
      <c r="H184" s="130" t="n">
        <v>2</v>
      </c>
      <c r="I184" s="142"/>
      <c r="J184" s="134" t="n">
        <f aca="false">$J$120*H184</f>
        <v>2</v>
      </c>
      <c r="N184" s="107" t="s">
        <v>289</v>
      </c>
      <c r="O184" s="165" t="s">
        <v>320</v>
      </c>
      <c r="P184" s="165" t="s">
        <v>168</v>
      </c>
      <c r="Q184" s="165" t="s">
        <v>397</v>
      </c>
      <c r="R184" s="165" t="s">
        <v>321</v>
      </c>
      <c r="S184" s="165" t="s">
        <v>398</v>
      </c>
      <c r="T184" s="165" t="s">
        <v>399</v>
      </c>
      <c r="U184" s="165" t="s">
        <v>400</v>
      </c>
      <c r="V184" s="165" t="s">
        <v>401</v>
      </c>
      <c r="W184" s="165" t="s">
        <v>402</v>
      </c>
    </row>
    <row r="185" s="96" customFormat="true" ht="18" hidden="false" customHeight="true" outlineLevel="0" collapsed="false">
      <c r="A185" s="170" t="n">
        <f aca="false">IF(B185="","",+A184+1)</f>
        <v>12</v>
      </c>
      <c r="B185" s="131" t="s">
        <v>540</v>
      </c>
      <c r="C185" s="131" t="s">
        <v>541</v>
      </c>
      <c r="D185" s="132" t="s">
        <v>542</v>
      </c>
      <c r="E185" s="130"/>
      <c r="F185" s="130" t="s">
        <v>542</v>
      </c>
      <c r="G185" s="130" t="s">
        <v>434</v>
      </c>
      <c r="H185" s="130" t="n">
        <v>1</v>
      </c>
      <c r="I185" s="142"/>
      <c r="J185" s="134" t="n">
        <f aca="false">$J$120*H185</f>
        <v>1</v>
      </c>
      <c r="N185" s="107" t="s">
        <v>445</v>
      </c>
      <c r="O185" s="62" t="s">
        <v>446</v>
      </c>
      <c r="P185" s="62" t="s">
        <v>447</v>
      </c>
      <c r="Q185" s="55" t="s">
        <v>230</v>
      </c>
      <c r="R185" s="158"/>
      <c r="S185" s="158" t="s">
        <v>230</v>
      </c>
      <c r="T185" s="158" t="s">
        <v>409</v>
      </c>
      <c r="U185" s="168" t="n">
        <f aca="false">((($I$134*$G$134)+($I$136*$G$136)+($I$139*$G$139))/1000)*$J$120</f>
        <v>8.658</v>
      </c>
      <c r="V185" s="168" t="n">
        <v>300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13</v>
      </c>
      <c r="B186" s="131" t="s">
        <v>441</v>
      </c>
      <c r="C186" s="131" t="s">
        <v>442</v>
      </c>
      <c r="D186" s="132" t="s">
        <v>274</v>
      </c>
      <c r="E186" s="130"/>
      <c r="F186" s="130" t="s">
        <v>274</v>
      </c>
      <c r="G186" s="130" t="s">
        <v>405</v>
      </c>
      <c r="H186" s="130" t="n">
        <v>4</v>
      </c>
      <c r="I186" s="142"/>
      <c r="J186" s="134" t="n">
        <f aca="false">$J$120*H186</f>
        <v>4</v>
      </c>
      <c r="N186" s="107" t="s">
        <v>448</v>
      </c>
      <c r="O186" s="62" t="s">
        <v>449</v>
      </c>
      <c r="P186" s="62" t="s">
        <v>450</v>
      </c>
      <c r="Q186" s="55" t="s">
        <v>451</v>
      </c>
      <c r="R186" s="158"/>
      <c r="S186" s="158" t="s">
        <v>451</v>
      </c>
      <c r="T186" s="158" t="s">
        <v>409</v>
      </c>
      <c r="U186" s="168" t="n">
        <f aca="false">((($I$134*$G$134)+($I$136*$G$136)+($I$139*$G$139))/1000)*$J$120</f>
        <v>8.658</v>
      </c>
      <c r="V186" s="168" t="n">
        <v>100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14</v>
      </c>
      <c r="B187" s="131" t="s">
        <v>443</v>
      </c>
      <c r="C187" s="131" t="s">
        <v>444</v>
      </c>
      <c r="D187" s="132" t="s">
        <v>272</v>
      </c>
      <c r="E187" s="130"/>
      <c r="F187" s="130" t="s">
        <v>272</v>
      </c>
      <c r="G187" s="130" t="s">
        <v>405</v>
      </c>
      <c r="H187" s="130" t="n">
        <v>1</v>
      </c>
      <c r="I187" s="133"/>
      <c r="J187" s="134" t="n">
        <f aca="false">$J$120*H187</f>
        <v>1</v>
      </c>
      <c r="N187" s="107" t="s">
        <v>445</v>
      </c>
      <c r="O187" s="62" t="s">
        <v>452</v>
      </c>
      <c r="P187" s="62" t="s">
        <v>453</v>
      </c>
      <c r="Q187" s="55" t="s">
        <v>232</v>
      </c>
      <c r="R187" s="158"/>
      <c r="S187" s="158" t="s">
        <v>232</v>
      </c>
      <c r="T187" s="158" t="s">
        <v>409</v>
      </c>
      <c r="U187" s="168" t="n">
        <f aca="false">((($I$141*$G$141*2)+($I$143*$G$143*2)+($I$145*$G$145*2))/1000)*$J$120</f>
        <v>43.26</v>
      </c>
      <c r="V187" s="168" t="n">
        <v>350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15</v>
      </c>
      <c r="B188" s="131" t="s">
        <v>403</v>
      </c>
      <c r="C188" s="131" t="s">
        <v>404</v>
      </c>
      <c r="D188" s="132" t="s">
        <v>276</v>
      </c>
      <c r="E188" s="130"/>
      <c r="F188" s="130" t="s">
        <v>276</v>
      </c>
      <c r="G188" s="130" t="s">
        <v>405</v>
      </c>
      <c r="H188" s="130" t="n">
        <v>2</v>
      </c>
      <c r="I188" s="133"/>
      <c r="J188" s="134" t="n">
        <f aca="false">$J$120*H188</f>
        <v>2</v>
      </c>
      <c r="N188" s="107" t="s">
        <v>448</v>
      </c>
      <c r="O188" s="62" t="s">
        <v>454</v>
      </c>
      <c r="P188" s="62" t="s">
        <v>455</v>
      </c>
      <c r="Q188" s="55" t="s">
        <v>456</v>
      </c>
      <c r="R188" s="158"/>
      <c r="S188" s="158" t="s">
        <v>456</v>
      </c>
      <c r="T188" s="158" t="s">
        <v>409</v>
      </c>
      <c r="U188" s="168" t="n">
        <f aca="false">((($I$141*$G$141*2)+($I$143*$G$143*2)+($I$145*$G$145*2))/1000)*$J$120</f>
        <v>43.26</v>
      </c>
      <c r="V188" s="168" t="n">
        <v>100</v>
      </c>
      <c r="W188" s="169" t="n">
        <f aca="false">ROUNDUP((U188)/V188,0)</f>
        <v>1</v>
      </c>
    </row>
    <row r="189" s="96" customFormat="true" ht="18" hidden="false" customHeight="true" outlineLevel="0" collapsed="false">
      <c r="A189" s="170" t="n">
        <f aca="false">IF(B189="","",+A188+1)</f>
        <v>16</v>
      </c>
      <c r="B189" s="131" t="s">
        <v>580</v>
      </c>
      <c r="C189" s="131" t="s">
        <v>581</v>
      </c>
      <c r="D189" s="132" t="s">
        <v>582</v>
      </c>
      <c r="E189" s="130"/>
      <c r="F189" s="130" t="s">
        <v>582</v>
      </c>
      <c r="G189" s="130" t="s">
        <v>409</v>
      </c>
      <c r="H189" s="173" t="n">
        <f aca="false">((($I$148*$G$148)+($I$149*$G$149))/1000)*$J$120</f>
        <v>4.616</v>
      </c>
      <c r="I189" s="174" t="n">
        <v>100</v>
      </c>
      <c r="J189" s="175" t="n">
        <f aca="false">ROUNDUP((H189)/100,0)</f>
        <v>1</v>
      </c>
    </row>
    <row r="190" s="96" customFormat="true" ht="18" hidden="false" customHeight="true" outlineLevel="0" collapsed="false">
      <c r="A190" s="170" t="n">
        <f aca="false">IF(B190="","",+A189+1)</f>
        <v>17</v>
      </c>
      <c r="B190" s="131" t="s">
        <v>583</v>
      </c>
      <c r="C190" s="131" t="s">
        <v>584</v>
      </c>
      <c r="D190" s="132" t="s">
        <v>585</v>
      </c>
      <c r="E190" s="130"/>
      <c r="F190" s="130" t="s">
        <v>585</v>
      </c>
      <c r="G190" s="130" t="s">
        <v>409</v>
      </c>
      <c r="H190" s="173" t="n">
        <f aca="false">((($I$144*$G$144)+($I$145*$G$145))/1000)*$J$120</f>
        <v>6.924</v>
      </c>
      <c r="I190" s="174" t="n">
        <v>100</v>
      </c>
      <c r="J190" s="175" t="n">
        <f aca="false">ROUNDUP((H190)/100,0)</f>
        <v>1</v>
      </c>
    </row>
    <row r="191" s="96" customFormat="true" ht="18" hidden="false" customHeight="true" outlineLevel="0" collapsed="false">
      <c r="A191" s="170" t="n">
        <f aca="false">IF(B191="","",+A190+1)</f>
        <v>18</v>
      </c>
      <c r="B191" s="132" t="str">
        <f aca="false">IF($D$129="Standard",$O$185,IF($D$129="Soumdproof",$O$186,))</f>
        <v>ยางเฟรมกันน้ำ (ธรรมดา)</v>
      </c>
      <c r="C191" s="132" t="str">
        <f aca="false">IF($D$129="Standard",$P$185,IF($D$129="Soumdproof",$P$186,))</f>
        <v>FRAME SEAL (Standard)</v>
      </c>
      <c r="D191" s="132" t="str">
        <f aca="false">IF($D$129="Standard",$Q$185,IF($D$129="Soumdproof",$Q$186,))</f>
        <v>02-026</v>
      </c>
      <c r="E191" s="130" t="n">
        <f aca="false">IF($D$129="Standard",R188,IF($D$129="Soumdproof",R189,))</f>
        <v>0</v>
      </c>
      <c r="F191" s="130" t="str">
        <f aca="false">IF($D$129="Standard",$S$185,IF($D$129="Soumdproof",$S$186,))</f>
        <v>02-026</v>
      </c>
      <c r="G191" s="130" t="str">
        <f aca="false">IF($D$129="Standard",$T$185,IF($D$129="Soumdproof",$T$186,))</f>
        <v>M</v>
      </c>
      <c r="H191" s="173" t="n">
        <f aca="false">IF($D$129="Standard",$U$185,IF($D$129="Soumdproof",$U$186,))</f>
        <v>8.658</v>
      </c>
      <c r="I191" s="174" t="n">
        <f aca="false">IF($D$129="Standard",$V$185,IF($D$129="Soumdproof",$V$186,))</f>
        <v>300</v>
      </c>
      <c r="J191" s="175" t="n">
        <f aca="false">ROUNDUP((H191)/100,0)</f>
        <v>1</v>
      </c>
    </row>
    <row r="192" s="96" customFormat="true" ht="18" hidden="false" customHeight="true" outlineLevel="0" collapsed="false">
      <c r="A192" s="170" t="n">
        <f aca="false">IF(B192="","",+A191+1)</f>
        <v>19</v>
      </c>
      <c r="B192" s="132" t="str">
        <f aca="false">IF($D$129="Standard",$O$187,IF($D$129="Soumdproof",$O$188,))</f>
        <v>ยางแซชกันน้ำ (ธรรมดา)</v>
      </c>
      <c r="C192" s="132" t="str">
        <f aca="false">IF($D$129="Standard",$P$187,IF($D$129="Soumdproof",$P$188,))</f>
        <v>SASH SEAL FOAM (Standard)</v>
      </c>
      <c r="D192" s="132" t="str">
        <f aca="false">IF($D$129="Standard",$Q$187,IF($D$129="Soumdproof",$Q$188,))</f>
        <v>02-031</v>
      </c>
      <c r="E192" s="130" t="n">
        <f aca="false">IF($D$129="Standard",R190,IF($D$129="Soumdproof",R191,))</f>
        <v>0</v>
      </c>
      <c r="F192" s="130" t="str">
        <f aca="false">IF($D$129="Standard",$S$187,IF($D$129="Soumdproof",$S$188,))</f>
        <v>02-031</v>
      </c>
      <c r="G192" s="130" t="str">
        <f aca="false">IF($D$129="Standard",$T$187,IF($D$129="Soumdproof",$T$188,))</f>
        <v>M</v>
      </c>
      <c r="H192" s="173" t="n">
        <f aca="false">IF($D$129="Standard",$U$187,IF($D$129="Soumdproof",$U$188,))</f>
        <v>43.26</v>
      </c>
      <c r="I192" s="174" t="n">
        <f aca="false">IF($D$129="Standard",$V$187,IF($D$129="Soumdproof",$V$188,))</f>
        <v>350</v>
      </c>
      <c r="J192" s="175" t="n">
        <f aca="false">ROUNDUP((H192)/100,0)</f>
        <v>1</v>
      </c>
    </row>
    <row r="193" s="96" customFormat="true" ht="18" hidden="false" customHeight="true" outlineLevel="0" collapsed="false">
      <c r="A193" s="170" t="n">
        <f aca="false">IF(B193="","",+A192+1)</f>
        <v>20</v>
      </c>
      <c r="B193" s="176" t="str">
        <f aca="false">IF($D$127=5,$O$176,IF($D$127=6,$O$177,IF($D$127=8,$O$178,IF($D$127=10,$O$176,IF($D$127=12,$O$176,IF($D$127=14,$O$178,IF($D$127=18,$O$176,IF($D$127=20,$O$177,IF($D$127=22,"")))))))))</f>
        <v>5,8,10,12,18 mmยางอัดกระจก</v>
      </c>
      <c r="C193" s="176" t="str">
        <f aca="false">IF($D$127=5,$P$176,IF($D$127=6,$P$177,IF($D$127=8,$P$178,IF($D$127=10,$P$176,IF($D$127=12,$P$176,IF($D$127=14,$P$178,IF($D$127=18,$P$176,IF($D$127=20,$P$177,IF($D$127=22,"")))))))))</f>
        <v>5,8,10,12,18 mm ROLL IN WEDGE</v>
      </c>
      <c r="D193" s="176" t="str">
        <f aca="false">IF($D$127=5,$Q$176,IF($D$127=6,$Q$177,IF($D$127=8,$Q$178,IF($D$127=10,$Q$176,IF($D$127=12,$Q$176,IF($D$127=14,$Q$178,IF($D$127=18,$Q$176,IF($D$127=20,$Q$177,IF($D$127=22,"")))))))))</f>
        <v>02-033</v>
      </c>
      <c r="E193" s="176" t="n">
        <f aca="false">IF($D$127=5,R179,IF($D$127=6,R180,IF($D$127=8,R181,IF($D$127=10,R179,IF($D$127=12,R179,IF($D$127=14,R181,IF($D$127=18,R179,IF($D$127=20,R180,IF($D$127=22,"",)))))))))</f>
        <v>0</v>
      </c>
      <c r="F193" s="167" t="str">
        <f aca="false">IF($D$127=5,$S$176,IF($D$127=6,$S$177,IF($D$127=8,$S$178,IF($D$127=10,$S$176,IF($D$127=12,$S$176,IF($D$127=14,$S$178,IF($D$127=18,$S$176,IF($D$127=20,$S$177,IF($D$127=22,"")))))))))</f>
        <v>02-033</v>
      </c>
      <c r="G193" s="167" t="str">
        <f aca="false">IF($D$127=5,$T$176,IF($D$127=6,$T$177,IF($D$127=8,$T$178,IF($D$127=10,$T$176,IF($D$127=12,$T$176,IF($D$127=14,$T$178,IF($D$127=18,$T$176,IF($D$127=20,$T$177,IF($D$127=22,"")))))))))</f>
        <v>M</v>
      </c>
      <c r="H193" s="173" t="n">
        <f aca="false">IF($D$127=5,$U$176,IF($D$127=6,$U$177,IF($D$127=8,$U$178,IF($D$127=10,$U$176*2,IF($D$127=12,$U$176,IF($D$127=14,$U$178*2,IF($D$127=18,$U$176,IF($D$127=20,$U$177,IF($D$127=22,"")))))))))</f>
        <v>29.412</v>
      </c>
      <c r="I193" s="174" t="n">
        <f aca="false">IF($D$127=5,$V$176,IF($D$127=6,$V$177,IF($D$127=8,$V$178,IF($D$127=10,$V$176,IF($D$127=12,$V$176,IF($D$127=14,$V$178,IF($D$127=18,$V$176,IF($D$127=20,$V$177,IF($D$127=22,"")))))))))</f>
        <v>100</v>
      </c>
      <c r="J193" s="175" t="n">
        <f aca="false">ROUNDUP((H193)/100,0)</f>
        <v>1</v>
      </c>
    </row>
    <row r="194" customFormat="false" ht="18" hidden="false" customHeight="true" outlineLevel="0" collapsed="false">
      <c r="A194" s="170" t="n">
        <f aca="false">IF(B194="","",+A193+1)</f>
        <v>21</v>
      </c>
      <c r="B194" s="176" t="str">
        <f aca="false">IF($D$127=5,$O$174,IF($D$127=6,$O$174,IF($D$127=8,$O$176,IF($D$127=10,"",IF($D$127=12,$O$175,IF($D$127=14,"",IF($D$127=18,$O$174,IF($D$127=20,$O$175,IF($D$127=22,"",)))))))))</f>
        <v>5,6,18 mm ยางรองกระจก</v>
      </c>
      <c r="C194" s="176" t="str">
        <f aca="false">IF($D$127=5,$P$174,IF($D$127=6,$P$174,IF($D$127=8,$P$176,IF($D$127=10,"",IF($D$127=12,$P$175,IF($D$127=14,"",IF($D$127=18,$P$174,IF($D$127=20,$P$175,IF($D$127=22,"",)))))))))</f>
        <v>5,6,18 mm CAPTIVE WEDGE</v>
      </c>
      <c r="D194" s="176" t="str">
        <f aca="false">IF($D$127=5,$Q$174,IF($D$127=6,$Q$174,IF($D$127=8,$Q$176,IF($D$127=10,"",IF($D$127=12,$Q$175,IF($D$127=14,"",IF($D$127=18,$Q$174,IF($D$127=20,$Q$175,IF($D$127=22,"",)))))))))</f>
        <v>02-022</v>
      </c>
      <c r="E194" s="176" t="n">
        <f aca="false">IF($D$127=5,R177,IF($D$127=6,R177,IF($D$127=8,R179,IF($D$127=10,"",IF($D$127=12,R178,IF($D$127=14,"",IF($D$127=18,R177,IF($D$127=20,R178,IF($D$127=22,"",)))))))))</f>
        <v>0</v>
      </c>
      <c r="F194" s="167" t="str">
        <f aca="false">IF($D$127=5,$S$174,IF($D$127=6,$S$174,IF($D$127=8,$S$176,IF($D$127=10,"",IF($D$127=12,$S$175,IF($D$127=14,"",IF($D$127=18,$S$174,IF($D$127=20,$S$175,IF($D$127=22,"",)))))))))</f>
        <v>02-022</v>
      </c>
      <c r="G194" s="167" t="str">
        <f aca="false">IF($D$127=5,$T$174,IF($D$127=6,$T$174,IF($D$127=8,$T$176,IF($D$127=10,"",IF($D$127=12,$T$175,IF($D$127=14,"",IF($D$127=18,$T$174,IF($D$127=20,$T$175,IF($D$127=22,"",)))))))))</f>
        <v>M</v>
      </c>
      <c r="H194" s="173" t="n">
        <f aca="false">IF($D$127=5,$U$174,IF($D$127=6,$U$174,IF($D$127=8,$U$176,IF($D$127=10,"",IF($D$127=12,$U$175,IF($D$127=14,"",IF($D$127=18,$U$174,IF($D$127=20,$U$175,IF($D$127=22,"")))))))))</f>
        <v>29.412</v>
      </c>
      <c r="I194" s="174" t="n">
        <f aca="false">IF($D$127=5,$V$174,IF($D$127=6,$V$174,IF($D$127=8,$V$176,IF($D$127=10,"",IF($D$127=12,$V$175,IF($D$127=14,"",IF($D$127=18,$V$174,IF($D$127=20,$V$175,IF($D$127=22,"",)))))))))</f>
        <v>100</v>
      </c>
      <c r="J194" s="175" t="n">
        <f aca="false">ROUNDUP((H194)/100,0)</f>
        <v>1</v>
      </c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</row>
    <row r="195" s="96" customFormat="true" ht="18" hidden="false" customHeight="true" outlineLevel="0" collapsed="false">
      <c r="A195" s="170" t="str">
        <f aca="false">IF(B195="","",+A194+1)</f>
        <v/>
      </c>
      <c r="B195" s="131"/>
      <c r="C195" s="131"/>
      <c r="D195" s="132"/>
      <c r="E195" s="130"/>
      <c r="F195" s="130"/>
      <c r="G195" s="130"/>
      <c r="H195" s="130"/>
      <c r="I195" s="133"/>
      <c r="J195" s="134" t="n">
        <f aca="false">$J$120*H195</f>
        <v>0</v>
      </c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30"/>
      <c r="I196" s="133"/>
      <c r="J196" s="134" t="n">
        <f aca="false">$J$120*G196</f>
        <v>0</v>
      </c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$J$120*G197</f>
        <v>0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$J$120*G198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$J$120*G199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$J$120*G200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$J$120*G201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$J$120*G202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$J$120*G203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$J$120*G204</f>
        <v>0</v>
      </c>
    </row>
    <row r="205" s="96" customFormat="true" ht="18" hidden="false" customHeight="true" outlineLevel="0" collapsed="false">
      <c r="A205" s="179" t="str">
        <f aca="false">IF(B205="","",+""+1)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$J$120*G205</f>
        <v>0</v>
      </c>
    </row>
    <row r="206" s="96" customFormat="true" ht="18" hidden="false" customHeight="true" outlineLevel="0" collapsed="false">
      <c r="A206" s="200"/>
      <c r="D206" s="98"/>
      <c r="E206" s="97"/>
      <c r="F206" s="97"/>
      <c r="G206" s="97"/>
      <c r="H206" s="97"/>
      <c r="I206" s="196"/>
      <c r="J206" s="256"/>
    </row>
    <row r="207" customFormat="false" ht="18" hidden="false" customHeight="true" outlineLevel="0" collapsed="false">
      <c r="A207" s="97"/>
      <c r="J207" s="92" t="str">
        <f aca="false">LEFT($J$111,13)&amp;"-02"</f>
        <v>FG-240-5P1L4R-02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565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3190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566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3164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519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3190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97"/>
      <c r="H252" s="97"/>
      <c r="I252" s="196"/>
      <c r="J252" s="196"/>
    </row>
    <row r="253" s="96" customFormat="true" ht="15.75" hidden="false" customHeight="true" outlineLevel="0" collapsed="false">
      <c r="A253" s="191"/>
      <c r="B253" s="191"/>
      <c r="D253" s="192"/>
      <c r="E253" s="191"/>
      <c r="F253" s="191"/>
      <c r="G253" s="97"/>
      <c r="H253" s="97"/>
      <c r="I253" s="196"/>
      <c r="J253" s="196"/>
    </row>
    <row r="254" s="96" customFormat="true" ht="15.75" hidden="false" customHeight="true" outlineLevel="0" collapsed="false">
      <c r="A254" s="190"/>
      <c r="B254" s="190"/>
      <c r="C254" s="184" t="s">
        <v>520</v>
      </c>
      <c r="D254" s="194"/>
      <c r="E254" s="190"/>
      <c r="F254" s="189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459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460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5" t="n">
        <f aca="false">$I$136</f>
        <v>3190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7" t="n">
        <f aca="false">$J$136</f>
        <v>1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C262" s="98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184" t="s">
        <v>521</v>
      </c>
      <c r="D264" s="98"/>
      <c r="E264" s="97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522</v>
      </c>
      <c r="D265" s="181"/>
      <c r="E265" s="181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468</v>
      </c>
      <c r="D266" s="181"/>
      <c r="E266" s="181"/>
      <c r="F266" s="97"/>
      <c r="G266" s="97"/>
      <c r="H266" s="97"/>
      <c r="J266" s="97"/>
    </row>
    <row r="267" s="96" customFormat="true" ht="15.75" hidden="false" customHeight="true" outlineLevel="0" collapsed="false">
      <c r="A267" s="200"/>
      <c r="C267" s="185" t="n">
        <f aca="false">$I$137</f>
        <v>2400</v>
      </c>
      <c r="D267" s="98"/>
      <c r="E267" s="97"/>
      <c r="F267" s="97"/>
      <c r="J267" s="97"/>
    </row>
    <row r="268" s="96" customFormat="true" ht="15.75" hidden="false" customHeight="true" outlineLevel="0" collapsed="false">
      <c r="A268" s="200"/>
      <c r="C268" s="187" t="n">
        <f aca="false">$J$137+$J$138</f>
        <v>2</v>
      </c>
      <c r="D268" s="98"/>
      <c r="E268" s="97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H272" s="97"/>
      <c r="J272" s="97"/>
    </row>
    <row r="273" s="96" customFormat="true" ht="15.75" hidden="false" customHeight="true" outlineLevel="0" collapsed="false">
      <c r="A273" s="200"/>
      <c r="D273" s="181"/>
      <c r="E273" s="181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D274" s="98"/>
      <c r="E274" s="97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4" t="s">
        <v>523</v>
      </c>
      <c r="D275" s="201"/>
      <c r="E275" s="196"/>
      <c r="F275" s="97"/>
      <c r="G275" s="97"/>
      <c r="I275" s="196"/>
      <c r="J275" s="196"/>
    </row>
    <row r="276" s="96" customFormat="true" ht="15.75" hidden="false" customHeight="true" outlineLevel="0" collapsed="false">
      <c r="A276" s="200"/>
      <c r="C276" s="181" t="s">
        <v>470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1" t="s">
        <v>471</v>
      </c>
      <c r="D277" s="181"/>
      <c r="E277" s="181"/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5" t="n">
        <f aca="false">$I$139</f>
        <v>2304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C279" s="187" t="n">
        <f aca="false">$J$139+$J$140</f>
        <v>2</v>
      </c>
      <c r="F279" s="97"/>
      <c r="G279" s="97"/>
      <c r="I279" s="97"/>
      <c r="J279" s="196"/>
    </row>
    <row r="280" s="96" customFormat="true" ht="15.75" hidden="false" customHeight="true" outlineLevel="0" collapsed="false">
      <c r="A280" s="200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D281" s="98"/>
      <c r="E281" s="97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J282" s="97"/>
    </row>
    <row r="283" s="96" customFormat="true" ht="15.75" hidden="false" customHeight="true" outlineLevel="0" collapsed="false">
      <c r="A283" s="200"/>
      <c r="F283" s="97"/>
      <c r="G283" s="97"/>
      <c r="H283" s="97"/>
      <c r="I283" s="201"/>
      <c r="J283" s="196"/>
    </row>
    <row r="284" s="96" customFormat="true" ht="15.75" hidden="false" customHeight="true" outlineLevel="0" collapsed="false">
      <c r="A284" s="200"/>
      <c r="C284" s="184" t="s">
        <v>524</v>
      </c>
      <c r="F284" s="97"/>
      <c r="G284" s="97"/>
      <c r="H284" s="97"/>
      <c r="I284" s="97"/>
      <c r="J284" s="196"/>
    </row>
    <row r="285" s="96" customFormat="true" ht="15.75" hidden="false" customHeight="true" outlineLevel="0" collapsed="false">
      <c r="A285" s="200"/>
      <c r="C285" s="83" t="s">
        <v>646</v>
      </c>
      <c r="D285" s="98"/>
      <c r="E285" s="97"/>
      <c r="F285" s="97"/>
      <c r="G285" s="97"/>
      <c r="H285" s="97"/>
      <c r="I285" s="196"/>
      <c r="J285" s="196"/>
    </row>
    <row r="286" s="96" customFormat="true" ht="15.75" hidden="false" customHeight="true" outlineLevel="0" collapsed="false">
      <c r="A286" s="200"/>
      <c r="C286" s="181" t="s">
        <v>647</v>
      </c>
      <c r="D286" s="98"/>
      <c r="E286" s="97"/>
      <c r="F286" s="97"/>
      <c r="G286" s="97"/>
      <c r="H286" s="97"/>
      <c r="I286" s="196"/>
      <c r="J286" s="196"/>
    </row>
    <row r="287" s="96" customFormat="true" ht="15.75" hidden="false" customHeight="true" outlineLevel="0" collapsed="false">
      <c r="A287" s="200"/>
      <c r="C287" s="181" t="s">
        <v>475</v>
      </c>
      <c r="D287" s="181"/>
      <c r="E287" s="181"/>
      <c r="F287" s="97"/>
      <c r="G287" s="97"/>
      <c r="I287" s="196"/>
      <c r="J287" s="196"/>
    </row>
    <row r="288" s="202" customFormat="true" ht="15.75" hidden="false" customHeight="true" outlineLevel="0" collapsed="false">
      <c r="A288" s="200"/>
      <c r="B288" s="96"/>
      <c r="C288" s="181" t="s">
        <v>476</v>
      </c>
      <c r="D288" s="181"/>
      <c r="E288" s="181"/>
      <c r="F288" s="97"/>
      <c r="G288" s="97"/>
      <c r="H288" s="96"/>
      <c r="I288" s="97"/>
      <c r="J288" s="97"/>
    </row>
    <row r="289" s="96" customFormat="true" ht="15.75" hidden="false" customHeight="true" outlineLevel="0" collapsed="false">
      <c r="A289" s="200"/>
      <c r="C289" s="185" t="n">
        <f aca="false">$I$141</f>
        <v>633.2</v>
      </c>
      <c r="F289" s="97"/>
      <c r="G289" s="97"/>
      <c r="I289" s="191"/>
      <c r="J289" s="199"/>
    </row>
    <row r="290" s="96" customFormat="true" ht="15.75" hidden="false" customHeight="true" outlineLevel="0" collapsed="false">
      <c r="A290" s="200"/>
      <c r="C290" s="187" t="n">
        <f aca="false">$J$141+$J$142</f>
        <v>10</v>
      </c>
      <c r="D290" s="98"/>
      <c r="E290" s="97"/>
      <c r="F290" s="97"/>
      <c r="G290" s="97"/>
      <c r="H290" s="98"/>
      <c r="I290" s="189"/>
      <c r="J290" s="190"/>
    </row>
    <row r="291" s="96" customFormat="true" ht="15.75" hidden="false" customHeight="true" outlineLevel="0" collapsed="false">
      <c r="A291" s="200"/>
      <c r="C291" s="185" t="n">
        <f aca="false">$I$143</f>
        <v>2308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C292" s="187" t="n">
        <f aca="false">$J$143+$J$144+$J$145</f>
        <v>10</v>
      </c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D293" s="98"/>
      <c r="E293" s="97"/>
      <c r="F293" s="97"/>
      <c r="G293" s="97"/>
      <c r="H293" s="97"/>
      <c r="I293" s="196"/>
      <c r="J293" s="196"/>
    </row>
    <row r="294" s="96" customFormat="true" ht="15.75" hidden="false" customHeight="true" outlineLevel="0" collapsed="false">
      <c r="A294" s="200"/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202"/>
      <c r="D295" s="98"/>
      <c r="E295" s="97"/>
      <c r="F295" s="97"/>
      <c r="G295" s="97"/>
      <c r="H295" s="97"/>
      <c r="I295" s="97"/>
      <c r="J295" s="196"/>
    </row>
    <row r="296" s="96" customFormat="true" ht="15.75" hidden="false" customHeight="true" outlineLevel="0" collapsed="false">
      <c r="A296" s="200"/>
      <c r="C296" s="184" t="s">
        <v>525</v>
      </c>
      <c r="D296" s="98"/>
      <c r="E296" s="97"/>
      <c r="F296" s="97"/>
      <c r="G296" s="97"/>
      <c r="H296" s="97"/>
      <c r="I296" s="97"/>
      <c r="J296" s="196"/>
    </row>
    <row r="297" s="96" customFormat="true" ht="15.75" hidden="false" customHeight="true" outlineLevel="0" collapsed="false">
      <c r="A297" s="200"/>
      <c r="C297" s="83" t="s">
        <v>646</v>
      </c>
      <c r="D297" s="98"/>
      <c r="E297" s="97"/>
      <c r="F297" s="97"/>
      <c r="G297" s="191"/>
      <c r="H297" s="191"/>
      <c r="I297" s="97"/>
      <c r="J297" s="196"/>
    </row>
    <row r="298" s="96" customFormat="true" ht="15.75" hidden="false" customHeight="true" outlineLevel="0" collapsed="false">
      <c r="A298" s="200"/>
      <c r="C298" s="181" t="s">
        <v>647</v>
      </c>
      <c r="D298" s="181"/>
      <c r="E298" s="181"/>
      <c r="F298" s="97"/>
      <c r="G298" s="190"/>
      <c r="H298" s="189"/>
      <c r="I298" s="97"/>
      <c r="J298" s="196"/>
    </row>
    <row r="299" s="96" customFormat="true" ht="15.75" hidden="false" customHeight="true" outlineLevel="0" collapsed="false">
      <c r="A299" s="107"/>
      <c r="C299" s="181" t="s">
        <v>478</v>
      </c>
      <c r="D299" s="181"/>
      <c r="E299" s="181"/>
      <c r="F299" s="97"/>
      <c r="G299" s="97"/>
      <c r="H299" s="97"/>
      <c r="I299" s="97"/>
      <c r="J299" s="196"/>
    </row>
    <row r="300" s="96" customFormat="true" ht="15.75" hidden="false" customHeight="true" outlineLevel="0" collapsed="false">
      <c r="A300" s="191"/>
      <c r="B300" s="191"/>
      <c r="C300" s="181" t="s">
        <v>479</v>
      </c>
      <c r="D300" s="203"/>
      <c r="E300" s="204"/>
      <c r="F300" s="191"/>
      <c r="G300" s="97"/>
      <c r="H300" s="97"/>
      <c r="I300" s="97"/>
      <c r="J300" s="196"/>
    </row>
    <row r="301" s="96" customFormat="true" ht="15.75" hidden="false" customHeight="true" outlineLevel="0" collapsed="false">
      <c r="A301" s="190"/>
      <c r="B301" s="190"/>
      <c r="C301" s="185" t="n">
        <f aca="false">$I$146</f>
        <v>522.4</v>
      </c>
      <c r="D301" s="205"/>
      <c r="E301" s="206"/>
      <c r="F301" s="189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7" t="n">
        <f aca="false">$J$146</f>
        <v>10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5" t="n">
        <f aca="false">$I$147</f>
        <v>2158</v>
      </c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C304" s="187" t="n">
        <f aca="false">$J$147</f>
        <v>10</v>
      </c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C306" s="184" t="s">
        <v>591</v>
      </c>
      <c r="D306" s="98"/>
      <c r="E306" s="97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1" t="s">
        <v>475</v>
      </c>
      <c r="D307" s="181"/>
      <c r="E307" s="181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249" t="s">
        <v>476</v>
      </c>
      <c r="D308" s="249"/>
      <c r="E308" s="249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5" t="n">
        <f aca="false">$I$148</f>
        <v>2308</v>
      </c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7" t="n">
        <f aca="false">$J$148+$J$149</f>
        <v>2</v>
      </c>
      <c r="D310" s="181"/>
      <c r="E310" s="181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LEFT($J$111,13)&amp;"-03"</f>
        <v>FG-240-5P1L4R-03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A316" s="97"/>
      <c r="B316" s="49"/>
      <c r="C316" s="49"/>
      <c r="D316" s="207"/>
      <c r="E316" s="200"/>
      <c r="F316" s="200"/>
      <c r="G316" s="200"/>
      <c r="H316" s="200"/>
      <c r="I316" s="208"/>
      <c r="J316" s="77" t="str">
        <f aca="false">$J$2</f>
        <v>HOMELIFE</v>
      </c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B324" s="81"/>
      <c r="D324" s="98"/>
      <c r="E324" s="83"/>
      <c r="F324" s="183"/>
      <c r="G324" s="183"/>
      <c r="H324" s="183"/>
      <c r="I324" s="83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240-5 Panel (1L4R)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195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91"/>
      <c r="D405" s="98"/>
      <c r="E405" s="97"/>
      <c r="F405" s="97"/>
      <c r="G405" s="97"/>
      <c r="H405" s="97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LEFT($J$111,13)&amp;"-04"</f>
        <v>FG-240-5P1L4R-04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77" t="str">
        <f aca="false">$J$2</f>
        <v>HOMELIFE</v>
      </c>
      <c r="K423" s="78"/>
      <c r="L423" s="78"/>
      <c r="M423" s="79"/>
      <c r="N423" s="79"/>
    </row>
    <row r="424" customFormat="false" ht="24.75" hidden="false" customHeight="true" outlineLevel="0" collapsed="false">
      <c r="A424" s="97"/>
      <c r="B424" s="96"/>
      <c r="C424" s="96"/>
      <c r="D424" s="98"/>
      <c r="E424" s="97"/>
      <c r="F424" s="97"/>
      <c r="G424" s="97"/>
      <c r="H424" s="97"/>
      <c r="I424" s="97"/>
      <c r="J424" s="80" t="str">
        <f aca="false">$J$3</f>
        <v>Fabricators Guide</v>
      </c>
      <c r="K424" s="78"/>
      <c r="L424" s="78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$J$4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240-5 Panel (1L4R)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191"/>
      <c r="C442" s="212"/>
      <c r="D442" s="98"/>
      <c r="E442" s="97"/>
      <c r="F442" s="97"/>
      <c r="H442" s="191"/>
      <c r="I442" s="191"/>
      <c r="J442" s="199"/>
    </row>
    <row r="443" s="96" customFormat="true" ht="15.75" hidden="false" customHeight="true" outlineLevel="0" collapsed="false">
      <c r="A443" s="190"/>
      <c r="C443" s="191"/>
      <c r="D443" s="192"/>
      <c r="E443" s="191"/>
      <c r="F443" s="191"/>
      <c r="H443" s="191"/>
      <c r="I443" s="191"/>
      <c r="J443" s="199"/>
    </row>
    <row r="444" customFormat="false" ht="15" hidden="false" customHeight="true" outlineLevel="0" collapsed="false">
      <c r="B444" s="211"/>
      <c r="C444" s="98"/>
      <c r="D444" s="98"/>
      <c r="E444" s="97"/>
      <c r="F444" s="98"/>
      <c r="G444" s="97"/>
      <c r="H444" s="97"/>
    </row>
    <row r="449" s="96" customFormat="true" ht="15.75" hidden="false" customHeight="true" outlineLevel="0" collapsed="false">
      <c r="A449" s="97"/>
      <c r="D449" s="73"/>
      <c r="I449" s="196"/>
      <c r="J449" s="196"/>
    </row>
    <row r="450" s="96" customFormat="true" ht="15.75" hidden="false" customHeight="true" outlineLevel="0" collapsed="false">
      <c r="A450" s="97"/>
      <c r="D450" s="98"/>
      <c r="E450" s="97"/>
      <c r="F450" s="98"/>
      <c r="G450" s="97"/>
      <c r="H450" s="97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C453" s="191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98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97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196"/>
      <c r="J456" s="196"/>
    </row>
    <row r="457" s="96" customFormat="true" ht="15.75" hidden="false" customHeight="true" outlineLevel="0" collapsed="false">
      <c r="A457" s="97"/>
      <c r="D457" s="98"/>
      <c r="E457" s="97"/>
      <c r="F457" s="97"/>
      <c r="G457" s="97"/>
      <c r="H457" s="97"/>
      <c r="I457" s="196"/>
      <c r="J457" s="196"/>
    </row>
    <row r="458" s="96" customFormat="true" ht="15" hidden="false" customHeight="true" outlineLevel="0" collapsed="false">
      <c r="A458" s="97"/>
      <c r="D458" s="98"/>
      <c r="E458" s="97"/>
      <c r="F458" s="97"/>
      <c r="G458" s="97"/>
      <c r="H458" s="195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97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202" customFormat="true" ht="15.75" hidden="false" customHeight="true" outlineLevel="0" collapsed="false">
      <c r="A476" s="97"/>
      <c r="B476" s="96"/>
      <c r="C476" s="96"/>
      <c r="D476" s="98"/>
      <c r="E476" s="97"/>
      <c r="F476" s="97"/>
      <c r="G476" s="97"/>
      <c r="H476" s="97"/>
      <c r="I476" s="97"/>
      <c r="J476" s="97"/>
    </row>
    <row r="477" s="96" customFormat="true" ht="15.75" hidden="false" customHeight="true" outlineLevel="0" collapsed="false">
      <c r="A477" s="191"/>
      <c r="D477" s="98"/>
      <c r="E477" s="97"/>
      <c r="F477" s="97"/>
      <c r="G477" s="97"/>
      <c r="H477" s="97"/>
      <c r="I477" s="191"/>
      <c r="J477" s="199"/>
    </row>
    <row r="478" s="96" customFormat="true" ht="15.75" hidden="false" customHeight="true" outlineLevel="0" collapsed="false">
      <c r="A478" s="190"/>
      <c r="B478" s="191"/>
      <c r="C478" s="191"/>
      <c r="D478" s="192"/>
      <c r="E478" s="191"/>
      <c r="F478" s="191"/>
      <c r="G478" s="191"/>
      <c r="H478" s="191"/>
      <c r="I478" s="189"/>
      <c r="J478" s="190"/>
    </row>
    <row r="479" s="96" customFormat="true" ht="15.75" hidden="false" customHeight="true" outlineLevel="0" collapsed="false">
      <c r="A479" s="200"/>
      <c r="B479" s="190"/>
      <c r="C479" s="191"/>
      <c r="D479" s="194"/>
      <c r="E479" s="190"/>
      <c r="F479" s="189"/>
      <c r="G479" s="190"/>
      <c r="H479" s="189"/>
      <c r="I479" s="196"/>
      <c r="J479" s="196"/>
    </row>
    <row r="480" s="96" customFormat="true" ht="15.75" hidden="false" customHeight="true" outlineLevel="0" collapsed="false">
      <c r="A480" s="200"/>
      <c r="C480" s="182"/>
      <c r="D480" s="98"/>
      <c r="E480" s="97"/>
      <c r="F480" s="97"/>
      <c r="G480" s="97"/>
      <c r="H480" s="182"/>
      <c r="J480" s="97"/>
    </row>
    <row r="481" s="96" customFormat="true" ht="15.75" hidden="false" customHeight="true" outlineLevel="0" collapsed="false">
      <c r="A481" s="200"/>
      <c r="C481" s="98"/>
      <c r="D481" s="98"/>
      <c r="E481" s="97"/>
      <c r="F481" s="97"/>
      <c r="G481" s="97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I482" s="196"/>
      <c r="J482" s="196"/>
    </row>
    <row r="483" s="96" customFormat="true" ht="15.75" hidden="false" customHeight="true" outlineLevel="0" collapsed="false">
      <c r="A483" s="200"/>
      <c r="D483" s="98"/>
      <c r="E483" s="97"/>
      <c r="F483" s="97"/>
      <c r="G483" s="97"/>
      <c r="H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C486" s="98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G495" s="97"/>
      <c r="H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182"/>
      <c r="J498" s="97"/>
    </row>
    <row r="499" s="96" customFormat="true" ht="15.75" hidden="false" customHeight="true" outlineLevel="0" collapsed="false">
      <c r="A499" s="200"/>
      <c r="C499" s="188"/>
      <c r="D499" s="98"/>
      <c r="E499" s="97"/>
      <c r="F499" s="97"/>
      <c r="G499" s="97"/>
      <c r="J499" s="97"/>
    </row>
    <row r="500" s="96" customFormat="true" ht="15.75" hidden="false" customHeight="true" outlineLevel="0" collapsed="false">
      <c r="A500" s="200"/>
      <c r="D500" s="98"/>
      <c r="E500" s="97"/>
      <c r="F500" s="97"/>
      <c r="G500" s="97"/>
      <c r="I500" s="196"/>
      <c r="J500" s="196"/>
    </row>
    <row r="501" s="96" customFormat="true" ht="15.75" hidden="false" customHeight="true" outlineLevel="0" collapsed="false">
      <c r="A501" s="200"/>
      <c r="C501" s="98"/>
      <c r="D501" s="98"/>
      <c r="E501" s="97"/>
      <c r="F501" s="97"/>
      <c r="G501" s="97"/>
      <c r="H501" s="182"/>
      <c r="J501" s="97"/>
    </row>
    <row r="502" s="96" customFormat="true" ht="15.75" hidden="false" customHeight="true" outlineLevel="0" collapsed="false">
      <c r="A502" s="200"/>
      <c r="D502" s="98"/>
      <c r="E502" s="97"/>
      <c r="F502" s="97"/>
      <c r="G502" s="97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I503" s="196"/>
      <c r="J503" s="196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I507" s="196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I508" s="196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196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196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97"/>
      <c r="J513" s="196"/>
    </row>
    <row r="514" s="96" customFormat="true" ht="15.75" hidden="false" customHeight="true" outlineLevel="0" collapsed="false">
      <c r="A514" s="200"/>
      <c r="D514" s="98"/>
      <c r="E514" s="97"/>
      <c r="F514" s="97"/>
      <c r="G514" s="97"/>
      <c r="H514" s="97"/>
      <c r="I514" s="212"/>
      <c r="J514" s="195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A516" s="191"/>
      <c r="B516" s="191"/>
      <c r="C516" s="191"/>
      <c r="D516" s="192"/>
      <c r="E516" s="191"/>
      <c r="F516" s="191"/>
      <c r="G516" s="191"/>
      <c r="H516" s="191"/>
      <c r="I516" s="191"/>
      <c r="J516" s="199"/>
    </row>
    <row r="517" s="96" customFormat="true" ht="15.75" hidden="false" customHeight="true" outlineLevel="0" collapsed="false">
      <c r="B517" s="191"/>
      <c r="C517" s="191"/>
      <c r="D517" s="192"/>
      <c r="E517" s="191"/>
      <c r="F517" s="191"/>
      <c r="G517" s="191"/>
      <c r="H517" s="191"/>
    </row>
    <row r="518" s="96" customFormat="true" ht="15.75" hidden="false" customHeight="true" outlineLevel="0" collapsed="false"/>
    <row r="519" s="96" customFormat="true" ht="24.75" hidden="false" customHeight="true" outlineLevel="0" collapsed="false">
      <c r="A519" s="88" t="s">
        <v>482</v>
      </c>
      <c r="B519" s="88"/>
      <c r="C519" s="88"/>
      <c r="D519" s="88"/>
      <c r="E519" s="88"/>
      <c r="F519" s="88"/>
      <c r="G519" s="88"/>
      <c r="H519" s="88"/>
      <c r="I519" s="88"/>
      <c r="J519" s="88"/>
    </row>
    <row r="520" s="96" customFormat="true" ht="34.5" hidden="false" customHeight="true" outlineLevel="0" collapsed="false">
      <c r="A520" s="114" t="s">
        <v>319</v>
      </c>
      <c r="B520" s="115" t="s">
        <v>168</v>
      </c>
      <c r="C520" s="115" t="s">
        <v>168</v>
      </c>
      <c r="D520" s="116" t="s">
        <v>483</v>
      </c>
      <c r="E520" s="115" t="s">
        <v>321</v>
      </c>
      <c r="F520" s="239" t="s">
        <v>484</v>
      </c>
      <c r="G520" s="240"/>
      <c r="H520" s="116" t="s">
        <v>484</v>
      </c>
      <c r="I520" s="116" t="s">
        <v>485</v>
      </c>
      <c r="J520" s="117" t="s">
        <v>323</v>
      </c>
      <c r="N520" s="118" t="s">
        <v>168</v>
      </c>
      <c r="O520" s="118" t="s">
        <v>168</v>
      </c>
    </row>
    <row r="521" s="96" customFormat="true" ht="15.75" hidden="false" customHeight="true" outlineLevel="0" collapsed="false">
      <c r="A521" s="120" t="n">
        <f aca="false">IF(C521="","",1)</f>
        <v>1</v>
      </c>
      <c r="B521" s="121" t="str">
        <f aca="false">IF($D$127=5,N521,IF($D$127=6,N522,IF($D$127=8,N523,IF($D$127=10,N524,IF($D$127=12,N525,IF($D$127=14,N526,IF($D$127=18,N527,IF($D$127=20,N528,IF($D$127=22,N529,)))))))))</f>
        <v>กระจก 5 mm (สูง) (กว้าง)</v>
      </c>
      <c r="C521" s="121" t="str">
        <f aca="false">IF($D$127=5,O521,IF($D$127=6,O522,IF($D$127=8,O523,IF($D$127=10,O524,IF($D$127=12,O525,IF($D$127=14,O526,IF($D$127=18,O527,IF($D$127=20,O528,IF($D$127=22,O529,)))))))))</f>
        <v>GLASS thk.5 mm (H) (W)</v>
      </c>
      <c r="D521" s="123" t="n">
        <f aca="false">$J$123-215</f>
        <v>2185</v>
      </c>
      <c r="E521" s="120" t="s">
        <v>486</v>
      </c>
      <c r="F521" s="224" t="s">
        <v>487</v>
      </c>
      <c r="G521" s="224"/>
      <c r="H521" s="120" t="s">
        <v>648</v>
      </c>
      <c r="I521" s="225" t="n">
        <f aca="false">(($J$126-185-(113.25*4))/5)-13</f>
        <v>509.4</v>
      </c>
      <c r="J521" s="226" t="n">
        <f aca="false">$J$120*5</f>
        <v>5</v>
      </c>
      <c r="M521" s="96" t="n">
        <f aca="false">ROW()</f>
        <v>521</v>
      </c>
      <c r="N521" s="62" t="s">
        <v>489</v>
      </c>
      <c r="O521" s="62" t="s">
        <v>490</v>
      </c>
    </row>
    <row r="522" s="96" customFormat="true" ht="15.75" hidden="false" customHeight="true" outlineLevel="0" collapsed="false">
      <c r="A522" s="269"/>
      <c r="B522" s="228"/>
      <c r="C522" s="228"/>
      <c r="D522" s="176"/>
      <c r="E522" s="167"/>
      <c r="F522" s="229"/>
      <c r="G522" s="230"/>
      <c r="H522" s="167"/>
      <c r="I522" s="231"/>
      <c r="J522" s="232"/>
      <c r="M522" s="96" t="n">
        <f aca="false">ROW()</f>
        <v>522</v>
      </c>
      <c r="N522" s="62" t="s">
        <v>491</v>
      </c>
      <c r="O522" s="62" t="s">
        <v>492</v>
      </c>
    </row>
    <row r="523" s="96" customFormat="true" ht="15.75" hidden="false" customHeight="true" outlineLevel="0" collapsed="false">
      <c r="A523" s="269"/>
      <c r="B523" s="228"/>
      <c r="C523" s="228"/>
      <c r="D523" s="176"/>
      <c r="E523" s="167"/>
      <c r="F523" s="229"/>
      <c r="G523" s="230"/>
      <c r="H523" s="167"/>
      <c r="I523" s="231"/>
      <c r="J523" s="232"/>
      <c r="M523" s="96" t="n">
        <f aca="false">ROW()</f>
        <v>523</v>
      </c>
      <c r="N523" s="62" t="s">
        <v>493</v>
      </c>
      <c r="O523" s="62" t="s">
        <v>494</v>
      </c>
    </row>
    <row r="524" s="96" customFormat="true" ht="15.75" hidden="false" customHeight="true" outlineLevel="0" collapsed="false">
      <c r="A524" s="130" t="str">
        <f aca="false">IF(B524="","",+""+1)</f>
        <v/>
      </c>
      <c r="B524" s="131"/>
      <c r="C524" s="131"/>
      <c r="D524" s="132"/>
      <c r="E524" s="130"/>
      <c r="F524" s="233"/>
      <c r="G524" s="270"/>
      <c r="H524" s="130"/>
      <c r="I524" s="142"/>
      <c r="J524" s="133"/>
      <c r="M524" s="96" t="n">
        <f aca="false">ROW()</f>
        <v>524</v>
      </c>
      <c r="N524" s="62" t="s">
        <v>495</v>
      </c>
      <c r="O524" s="62" t="s">
        <v>496</v>
      </c>
    </row>
    <row r="525" s="96" customFormat="true" ht="15.75" hidden="false" customHeight="true" outlineLevel="0" collapsed="false">
      <c r="A525" s="136" t="str">
        <f aca="false">IF(B525="","",+A524+1)</f>
        <v/>
      </c>
      <c r="B525" s="135"/>
      <c r="C525" s="135"/>
      <c r="D525" s="139"/>
      <c r="E525" s="136"/>
      <c r="F525" s="236"/>
      <c r="G525" s="237"/>
      <c r="H525" s="136"/>
      <c r="I525" s="180"/>
      <c r="J525" s="140"/>
      <c r="M525" s="96" t="n">
        <f aca="false">ROW()</f>
        <v>525</v>
      </c>
      <c r="N525" s="62" t="s">
        <v>497</v>
      </c>
      <c r="O525" s="62" t="s">
        <v>498</v>
      </c>
    </row>
    <row r="526" s="96" customFormat="true" ht="15.75" hidden="false" customHeight="true" outlineLevel="0" collapsed="false">
      <c r="A526" s="97"/>
      <c r="D526" s="98"/>
      <c r="E526" s="97"/>
      <c r="F526" s="97"/>
      <c r="G526" s="97"/>
      <c r="H526" s="97"/>
      <c r="I526" s="97"/>
      <c r="J526" s="196"/>
      <c r="M526" s="96" t="n">
        <f aca="false">ROW()</f>
        <v>526</v>
      </c>
      <c r="N526" s="62" t="s">
        <v>499</v>
      </c>
      <c r="O526" s="62" t="s">
        <v>500</v>
      </c>
    </row>
    <row r="527" customFormat="false" ht="14.25" hidden="false" customHeight="false" outlineLevel="0" collapsed="false">
      <c r="J527" s="92" t="str">
        <f aca="false">LEFT($J$111,13)&amp;"-05"</f>
        <v>FG-240-5P1L4R-05</v>
      </c>
      <c r="M527" s="96" t="n">
        <f aca="false">ROW()</f>
        <v>527</v>
      </c>
      <c r="N527" s="62" t="s">
        <v>501</v>
      </c>
      <c r="O527" s="62" t="s">
        <v>502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503</v>
      </c>
      <c r="O528" s="62" t="s">
        <v>504</v>
      </c>
    </row>
    <row r="529" customFormat="false" ht="14.25" hidden="false" customHeight="false" outlineLevel="0" collapsed="false">
      <c r="M529" s="96" t="n">
        <f aca="false">ROW()</f>
        <v>529</v>
      </c>
      <c r="N529" s="62" t="s">
        <v>505</v>
      </c>
      <c r="O529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7"/>
    <mergeCell ref="H163:H167"/>
    <mergeCell ref="I166:J167"/>
    <mergeCell ref="D168:D169"/>
    <mergeCell ref="H168:H169"/>
    <mergeCell ref="I168:J168"/>
    <mergeCell ref="D170:D171"/>
    <mergeCell ref="H170:H171"/>
    <mergeCell ref="A172:J172"/>
    <mergeCell ref="A213:J213"/>
    <mergeCell ref="C308:E308"/>
    <mergeCell ref="A320:J320"/>
    <mergeCell ref="F330:G330"/>
    <mergeCell ref="F331:G331"/>
    <mergeCell ref="F334:G334"/>
    <mergeCell ref="A427:J427"/>
    <mergeCell ref="A519:J519"/>
    <mergeCell ref="F521:G521"/>
  </mergeCells>
  <dataValidations count="3">
    <dataValidation allowBlank="true" errorStyle="stop" operator="between" showDropDown="false" showErrorMessage="true" showInputMessage="true" sqref="D127:G127" type="list">
      <formula1>$N$120:$N$128</formula1>
      <formula2>0</formula2>
    </dataValidation>
    <dataValidation allowBlank="true" errorStyle="stop" operator="between" showDropDown="false" showErrorMessage="true" showInputMessage="true" sqref="D129:G129" type="list">
      <formula1>$O$120</formula1>
      <formula2>0</formula2>
    </dataValidation>
    <dataValidation allowBlank="true" errorStyle="stop" operator="between" showDropDown="false" showErrorMessage="true" showInputMessage="true" sqref="D123:G123" type="list">
      <formula1>$P$119:$P$128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529"/>
  <sheetViews>
    <sheetView showFormulas="false" showGridLines="false" showRowColHeaders="true" showZeros="true" rightToLeft="false" tabSelected="false" showOutlineSymbols="true" defaultGridColor="true" view="pageBreakPreview" topLeftCell="A145" colorId="64" zoomScale="75" zoomScaleNormal="75" zoomScalePageLayoutView="75" workbookViewId="0">
      <selection pane="topLeft" activeCell="I166" activeCellId="0" sqref="I166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0.33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8.67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6"/>
    <col collapsed="false" customWidth="true" hidden="true" outlineLevel="1" max="16" min="16" style="0" width="35.44"/>
    <col collapsed="false" customWidth="true" hidden="true" outlineLevel="1" max="17" min="17" style="0" width="9.56"/>
    <col collapsed="false" customWidth="true" hidden="true" outlineLevel="1" max="18" min="18" style="0" width="14.33"/>
    <col collapsed="false" customWidth="true" hidden="true" outlineLevel="1" max="19" min="19" style="0" width="18.11"/>
    <col collapsed="false" customWidth="true" hidden="true" outlineLevel="1" max="20" min="20" style="0" width="15.44"/>
    <col collapsed="false" customWidth="true" hidden="true" outlineLevel="1" max="21" min="21" style="0" width="24.11"/>
    <col collapsed="false" customWidth="true" hidden="true" outlineLevel="1" max="22" min="22" style="0" width="11.44"/>
    <col collapsed="false" customWidth="true" hidden="true" outlineLevel="1" max="23" min="23" style="0" width="10.88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649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>
      <c r="G45" s="91"/>
    </row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650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5" hidden="false" customHeight="true" outlineLevel="0" collapsed="false">
      <c r="A118" s="97"/>
      <c r="C118" s="81"/>
      <c r="D118" s="98"/>
      <c r="E118" s="83"/>
      <c r="J118" s="99"/>
      <c r="K118" s="83"/>
    </row>
    <row r="119" s="96" customFormat="true" ht="15" hidden="false" customHeight="true" outlineLevel="0" collapsed="false">
      <c r="A119" s="97"/>
      <c r="C119" s="100" t="s">
        <v>286</v>
      </c>
      <c r="D119" s="101" t="s">
        <v>651</v>
      </c>
      <c r="E119" s="101"/>
      <c r="F119" s="101"/>
      <c r="G119" s="101"/>
      <c r="I119" s="83"/>
      <c r="J119" s="97"/>
      <c r="N119" s="258" t="s">
        <v>288</v>
      </c>
      <c r="O119" s="97" t="s">
        <v>289</v>
      </c>
      <c r="P119" s="102" t="s">
        <v>290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5</v>
      </c>
      <c r="O120" s="97" t="s">
        <v>509</v>
      </c>
      <c r="P120" s="106" t="s">
        <v>294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6</v>
      </c>
      <c r="O121" s="97" t="s">
        <v>296</v>
      </c>
      <c r="P121" s="106" t="s">
        <v>297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8</v>
      </c>
      <c r="P122" s="106" t="s">
        <v>299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2400</v>
      </c>
      <c r="N123" s="259" t="n">
        <v>10</v>
      </c>
      <c r="P123" s="106" t="s">
        <v>303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12</v>
      </c>
      <c r="P124" s="106" t="s">
        <v>305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14</v>
      </c>
      <c r="P125" s="106" t="s">
        <v>308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3800</v>
      </c>
      <c r="K126" s="110"/>
      <c r="L126" s="110"/>
      <c r="N126" s="259" t="n">
        <v>18</v>
      </c>
      <c r="P126" s="106" t="s">
        <v>311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259" t="n">
        <v>20</v>
      </c>
      <c r="P127" s="106" t="s">
        <v>313</v>
      </c>
    </row>
    <row r="128" s="96" customFormat="true" ht="18.75" hidden="false" customHeight="true" outlineLevel="0" collapsed="false">
      <c r="C128" s="108" t="s">
        <v>314</v>
      </c>
      <c r="I128" s="97"/>
      <c r="J128" s="97"/>
      <c r="N128" s="259" t="n">
        <v>22</v>
      </c>
      <c r="P128" s="106" t="s">
        <v>315</v>
      </c>
    </row>
    <row r="129" s="96" customFormat="true" ht="15" hidden="false" customHeight="true" outlineLevel="0" collapsed="false">
      <c r="A129" s="89" t="str">
        <f aca="false">A18</f>
        <v>240-5 Panel (2L3R)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3740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10</v>
      </c>
      <c r="U133" s="127" t="s">
        <v>644</v>
      </c>
      <c r="V133" s="128" t="n">
        <f aca="false">($J$126-185-(113.25*4))/5</f>
        <v>632.4</v>
      </c>
      <c r="W133" s="129" t="n">
        <f aca="false">$J$121*T133</f>
        <v>0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3714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10</v>
      </c>
      <c r="U134" s="130" t="s">
        <v>644</v>
      </c>
      <c r="V134" s="128" t="n">
        <f aca="false">($J$126-185-(113.25*4))/5</f>
        <v>632.4</v>
      </c>
      <c r="W134" s="134" t="n">
        <f aca="false">$J$121*T134</f>
        <v>0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3740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10</v>
      </c>
      <c r="U135" s="136" t="s">
        <v>644</v>
      </c>
      <c r="V135" s="128" t="n">
        <f aca="false">($J$126-185-(113.25*4))/5</f>
        <v>632.4</v>
      </c>
      <c r="W135" s="137" t="n">
        <f aca="false">$J$121*T135</f>
        <v>0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3740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10</v>
      </c>
      <c r="U136" s="127" t="s">
        <v>360</v>
      </c>
      <c r="V136" s="138" t="n">
        <f aca="false">$J$123-242</f>
        <v>2158</v>
      </c>
      <c r="W136" s="129" t="n">
        <f aca="false">$J$121*T136</f>
        <v>0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2400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10</v>
      </c>
      <c r="U137" s="130" t="s">
        <v>360</v>
      </c>
      <c r="V137" s="133" t="n">
        <f aca="false">$J$123-242</f>
        <v>2158</v>
      </c>
      <c r="W137" s="134" t="n">
        <f aca="false">$J$121*T137</f>
        <v>0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2400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10</v>
      </c>
      <c r="U138" s="136" t="s">
        <v>360</v>
      </c>
      <c r="V138" s="140" t="n">
        <f aca="false">$J$123-242</f>
        <v>2158</v>
      </c>
      <c r="W138" s="137" t="n">
        <f aca="false">$J$121*T138</f>
        <v>0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2304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2304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5</v>
      </c>
      <c r="H141" s="130" t="s">
        <v>645</v>
      </c>
      <c r="I141" s="141" t="n">
        <f aca="false">($J$126-60-(5+1)*4)/5</f>
        <v>743.2</v>
      </c>
      <c r="J141" s="134" t="n">
        <f aca="false">$J$120*G141</f>
        <v>5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5</v>
      </c>
      <c r="H142" s="130" t="s">
        <v>645</v>
      </c>
      <c r="I142" s="141" t="n">
        <f aca="false">($J$126-60-(5+1)*4)/5</f>
        <v>743.2</v>
      </c>
      <c r="J142" s="134" t="n">
        <f aca="false">$J$120*G142</f>
        <v>5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7</v>
      </c>
      <c r="H143" s="130" t="s">
        <v>389</v>
      </c>
      <c r="I143" s="133" t="n">
        <f aca="false">$J$123-92</f>
        <v>2308</v>
      </c>
      <c r="J143" s="134" t="n">
        <f aca="false">$J$120*G143</f>
        <v>7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1</v>
      </c>
      <c r="H144" s="130" t="s">
        <v>389</v>
      </c>
      <c r="I144" s="133" t="n">
        <f aca="false">$J$123-92</f>
        <v>2308</v>
      </c>
      <c r="J144" s="134" t="n">
        <f aca="false">$J$120*G144</f>
        <v>1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390</v>
      </c>
      <c r="C145" s="131" t="s">
        <v>391</v>
      </c>
      <c r="D145" s="132" t="s">
        <v>74</v>
      </c>
      <c r="E145" s="130" t="n">
        <v>1.106</v>
      </c>
      <c r="F145" s="132" t="s">
        <v>563</v>
      </c>
      <c r="G145" s="130" t="n">
        <v>1</v>
      </c>
      <c r="H145" s="130" t="s">
        <v>389</v>
      </c>
      <c r="I145" s="133" t="n">
        <f aca="false">$J$123-92</f>
        <v>2308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">
        <v>531</v>
      </c>
      <c r="C146" s="131" t="s">
        <v>532</v>
      </c>
      <c r="D146" s="132" t="s">
        <v>74</v>
      </c>
      <c r="E146" s="130" t="n">
        <v>1.106</v>
      </c>
      <c r="F146" s="132" t="s">
        <v>564</v>
      </c>
      <c r="G146" s="130" t="n">
        <v>1</v>
      </c>
      <c r="H146" s="130" t="s">
        <v>389</v>
      </c>
      <c r="I146" s="133" t="n">
        <f aca="false">$J$123-92</f>
        <v>2308</v>
      </c>
      <c r="J146" s="134" t="n">
        <f aca="false">$J$120*G146</f>
        <v>1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7" s="131" t="str">
        <f aca="false">IF($D$127=5,Q133,IF($D$127=6,Q133,IF($D$127=8,Q134,IF($D$127=10,Q134,IF($D$127=12,Q134,IF($D$127=14,Q135,IF($D$127=18,Q135,IF($D$127=20,Q135,IF($D$127=22,Q135,)))))))))</f>
        <v>B24008</v>
      </c>
      <c r="E147" s="131" t="n">
        <f aca="false">IF($D$127=5,R133,IF($D$127=6,R133,IF($D$127=8,R134,IF($D$127=10,R134,IF($D$127=12,R134,IF($D$127=14,R135,IF($D$127=18,R135,IF($D$127=20,R135,IF($D$127=22,R135,)))))))))</f>
        <v>0.231</v>
      </c>
      <c r="F147" s="131" t="str">
        <f aca="false">IF($D$127=5,S133,IF($D$127=6,S133,IF($D$127=8,S134,IF($D$127=10,S134,IF($D$127=12,S134,IF($D$127=14,S135,IF($D$127=18,S135,IF($D$127=20,S135,IF($D$127=22,S135,)))))))))</f>
        <v>B24008-001</v>
      </c>
      <c r="G147" s="130" t="n">
        <f aca="false">IF($D$127=5,T133,IF($D$127=6,T133,IF($D$127=8,T134,IF($D$127=10,T134,IF($D$127=12,T134,IF($D$127=14,T135,IF($D$127=18,T135,IF($D$127=20,T135,IF($D$127=22,T135,)))))))))</f>
        <v>10</v>
      </c>
      <c r="H147" s="130" t="str">
        <f aca="false">IF($D$127=5,U133,IF($D$127=6,U133,IF($D$127=8,U134,IF($D$127=10,U134,IF($D$127=12,U134,IF($D$127=14,U135,IF($D$127=18,U135,IF($D$127=20,U135,IF($D$127=22,U135,)))))))))</f>
        <v>(W-185-(113.25 × 4))/5</v>
      </c>
      <c r="I147" s="141" t="n">
        <f aca="false">IF($D$127=5,V133,IF($D$127=6,V133,IF($D$127=8,V134,IF($D$127=10,V134,IF($D$127=12,V134,IF($D$127=14,V135,IF($D$127=18,V135,IF($D$127=20,V135,IF($D$127=22,V135,)))))))))</f>
        <v>632.4</v>
      </c>
      <c r="J147" s="134" t="n">
        <f aca="false">$J$120*G147</f>
        <v>10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8" s="131" t="str">
        <f aca="false">IF($D$127=5,Q136,IF($D$127=6,Q136,IF($D$127=8,Q137,IF($D$127=10,Q137,IF($D$127=12,Q137,IF($D$127=14,Q138,IF($D$127=18,Q138,IF($D$127=20,Q138,IF($D$127=22,Q138,)))))))))</f>
        <v>B24008</v>
      </c>
      <c r="E148" s="131" t="n">
        <f aca="false">IF($D$127=5,R136,IF($D$127=6,R136,IF($D$127=8,R137,IF($D$127=10,R137,IF($D$127=12,R137,IF($D$127=14,R138,IF($D$127=18,R138,IF($D$127=20,R138,IF($D$127=22,R138,)))))))))</f>
        <v>0.231</v>
      </c>
      <c r="F148" s="131" t="str">
        <f aca="false">IF($D$127=5,S136,IF($D$127=6,S136,IF($D$127=8,S137,IF($D$127=10,S137,IF($D$127=12,S137,IF($D$127=14,S138,IF($D$127=18,S138,IF($D$127=20,S138,IF($D$127=22,S138,)))))))))</f>
        <v>B24008-002</v>
      </c>
      <c r="G148" s="130" t="n">
        <f aca="false">IF($D$127=5,T136,IF($D$127=6,T136,IF($D$127=8,T137,IF($D$127=10,T137,IF($D$127=12,T137,IF($D$127=14,T138,IF($D$127=18,T138,IF($D$127=20,T138,IF($D$127=22,T138,)))))))))</f>
        <v>10</v>
      </c>
      <c r="H148" s="130" t="str">
        <f aca="false">IF($D$127=5,U136,IF($D$127=6,U136,IF($D$127=8,U137,IF($D$127=10,U137,IF($D$127=12,U137,IF($D$127=14,U138,IF($D$127=18,U138,IF($D$127=20,U138,IF($D$127=22,U138,)))))))))</f>
        <v>H-242</v>
      </c>
      <c r="I148" s="133" t="n">
        <f aca="false">IF($D$127=5,V136,IF($D$127=6,V136,IF($D$127=8,V137,IF($D$127=10,V137,IF($D$127=12,V137,IF($D$127=14,V138,IF($D$127=18,V138,IF($D$127=20,V138,IF($D$127=22,V138,)))))))))</f>
        <v>2158</v>
      </c>
      <c r="J148" s="134" t="n">
        <f aca="false">$J$120*G148</f>
        <v>10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535</v>
      </c>
      <c r="D149" s="132" t="s">
        <v>536</v>
      </c>
      <c r="E149" s="130"/>
      <c r="F149" s="132" t="s">
        <v>652</v>
      </c>
      <c r="G149" s="130" t="n">
        <v>1</v>
      </c>
      <c r="H149" s="130" t="s">
        <v>389</v>
      </c>
      <c r="I149" s="133" t="n">
        <f aca="false">$J$123-92</f>
        <v>2308</v>
      </c>
      <c r="J149" s="134" t="n">
        <f aca="false">$J$120*G149</f>
        <v>1</v>
      </c>
    </row>
    <row r="150" s="96" customFormat="true" ht="18" hidden="false" customHeight="true" outlineLevel="0" collapsed="false">
      <c r="A150" s="130" t="n">
        <f aca="false">IF(B150="","",+A149+1)</f>
        <v>18</v>
      </c>
      <c r="B150" s="131" t="s">
        <v>534</v>
      </c>
      <c r="C150" s="131" t="s">
        <v>535</v>
      </c>
      <c r="D150" s="132" t="s">
        <v>536</v>
      </c>
      <c r="E150" s="130"/>
      <c r="F150" s="132" t="s">
        <v>653</v>
      </c>
      <c r="G150" s="130" t="n">
        <v>1</v>
      </c>
      <c r="H150" s="130" t="s">
        <v>389</v>
      </c>
      <c r="I150" s="133" t="n">
        <f aca="false">$J$123-92</f>
        <v>2308</v>
      </c>
      <c r="J150" s="134" t="n">
        <f aca="false">$J$120*G150</f>
        <v>1</v>
      </c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33"/>
      <c r="J151" s="134"/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3740</v>
      </c>
      <c r="G155" s="155" t="n">
        <f aca="false">VLOOKUP(C155,$C$133:$J$153,8,0)</f>
        <v>1</v>
      </c>
      <c r="H155" s="264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VLOOKUP(C156,$C$133:$I$153,7,0)</f>
        <v>3714</v>
      </c>
      <c r="G156" s="155" t="n">
        <f aca="false">VLOOKUP(C156,$C$133:$J$153,8,0)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VLOOKUP(C157,$C$133:$I$153,7,0)</f>
        <v>3740</v>
      </c>
      <c r="G157" s="155" t="n">
        <f aca="false">VLOOKUP(C157,$C$133:$J$153,8,0)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VLOOKUP(C158,$C$133:$I$153,7,0)</f>
        <v>3740</v>
      </c>
      <c r="G158" s="155" t="n">
        <f aca="false">VLOOKUP(C158,$C$133:$J$153,8,0)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VLOOKUP(C159,$C$133:$I$153,7,0)</f>
        <v>2400</v>
      </c>
      <c r="G159" s="155" t="n">
        <f aca="false">VLOOKUP(C159,$C$133:$J$153,8,0)</f>
        <v>1</v>
      </c>
      <c r="H159" s="160" t="n">
        <f aca="false">ROUNDUP(((F159*G159)+(F160*G160))/6400,0)</f>
        <v>1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VLOOKUP(C160,$C$133:$I$153,7,0)</f>
        <v>2400</v>
      </c>
      <c r="G160" s="155" t="n">
        <f aca="false">VLOOKUP(C160,$C$133:$J$153,8,0)</f>
        <v>1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VLOOKUP(C161,$C$133:$I$153,7,0)</f>
        <v>2304</v>
      </c>
      <c r="G161" s="155" t="n">
        <f aca="false">VLOOKUP(C161,$C$133:$J$153,8,0)</f>
        <v>1</v>
      </c>
      <c r="H161" s="160" t="n">
        <f aca="false">ROUNDUP(((F161*G161)+(F162*G162))/6400,0)</f>
        <v>1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155" t="n">
        <f aca="false">VLOOKUP(C162,$C$133:$H$153,3,0)</f>
        <v>0.235</v>
      </c>
      <c r="F162" s="263" t="n">
        <f aca="false">VLOOKUP(C162,$C$133:$I$153,7,0)</f>
        <v>2304</v>
      </c>
      <c r="G162" s="155" t="n">
        <f aca="false">VLOOKUP(C162,$C$133:$J$153,8,0)</f>
        <v>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155" t="n">
        <f aca="false">VLOOKUP(C163,$C$133:$H$153,3,0)</f>
        <v>1.106</v>
      </c>
      <c r="F163" s="267" t="n">
        <f aca="false">VLOOKUP(C163,$C$133:$I$153,7,0)</f>
        <v>743.2</v>
      </c>
      <c r="G163" s="155" t="n">
        <f aca="false">VLOOKUP(C163,$C$133:$J$153,8,0)</f>
        <v>5</v>
      </c>
      <c r="H163" s="160" t="n">
        <f aca="false">ROUNDUP(((F163*G163)+(F164*G164)+(F165*G165)+(F166*G166)+(F167*G167)+(F168*G168))/6400,0)</f>
        <v>5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155" t="n">
        <f aca="false">VLOOKUP(C164,$C$133:$H$153,3,0)</f>
        <v>1.106</v>
      </c>
      <c r="F164" s="267" t="n">
        <f aca="false">VLOOKUP(C164,$C$133:$I$153,7,0)</f>
        <v>743.2</v>
      </c>
      <c r="G164" s="155" t="n">
        <f aca="false">VLOOKUP(C164,$C$133:$J$153,8,0)</f>
        <v>5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155" t="n">
        <f aca="false">VLOOKUP(C165,$C$133:$H$153,3,0)</f>
        <v>1.106</v>
      </c>
      <c r="F165" s="263" t="n">
        <f aca="false">VLOOKUP(C165,$C$133:$I$153,7,0)</f>
        <v>2308</v>
      </c>
      <c r="G165" s="155" t="n">
        <f aca="false">VLOOKUP(C165,$C$133:$J$153,8,0)</f>
        <v>7</v>
      </c>
      <c r="H165" s="160"/>
      <c r="I165" s="161"/>
      <c r="J165" s="161"/>
    </row>
    <row r="166" s="96" customFormat="true" ht="13.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155" t="n">
        <f aca="false">VLOOKUP(C166,$C$133:$H$153,3,0)</f>
        <v>1.106</v>
      </c>
      <c r="F166" s="263" t="n">
        <f aca="false">VLOOKUP(C166,$C$133:$I$153,7,0)</f>
        <v>2308</v>
      </c>
      <c r="G166" s="155" t="n">
        <f aca="false">VLOOKUP(C166,$C$133:$J$153,8,0)</f>
        <v>1</v>
      </c>
      <c r="H166" s="160"/>
      <c r="I166" s="161"/>
      <c r="J166" s="161"/>
    </row>
    <row r="167" s="96" customFormat="true" ht="13.5" hidden="false" customHeight="true" outlineLevel="1" collapsed="false">
      <c r="A167" s="158" t="n">
        <f aca="false">IF(B167="","",+A166+1)</f>
        <v>13</v>
      </c>
      <c r="B167" s="153" t="str">
        <f aca="false">B145</f>
        <v>เสากุญแจ</v>
      </c>
      <c r="C167" s="153" t="str">
        <f aca="false">C145</f>
        <v>SASH (Ver) LOCK </v>
      </c>
      <c r="D167" s="159"/>
      <c r="E167" s="155" t="n">
        <f aca="false">VLOOKUP(C167,$C$133:$H$153,3,0)</f>
        <v>1.106</v>
      </c>
      <c r="F167" s="263" t="n">
        <f aca="false">VLOOKUP(C167,$C$133:$I$153,7,0)</f>
        <v>2308</v>
      </c>
      <c r="G167" s="155" t="n">
        <f aca="false">VLOOKUP(C167,$C$133:$J$153,8,0)</f>
        <v>1</v>
      </c>
      <c r="H167" s="160"/>
      <c r="I167" s="161"/>
      <c r="J167" s="161"/>
    </row>
    <row r="168" s="96" customFormat="true" ht="15" hidden="false" customHeight="true" outlineLevel="1" collapsed="false">
      <c r="A168" s="158" t="n">
        <f aca="false">IF(B168="","",+A167+1)</f>
        <v>14</v>
      </c>
      <c r="B168" s="153" t="str">
        <f aca="false">B146</f>
        <v>เสากุญแจมือจับ</v>
      </c>
      <c r="C168" s="153" t="str">
        <f aca="false">C146</f>
        <v>SASH (Ver) LOCK HANDLE</v>
      </c>
      <c r="D168" s="159"/>
      <c r="E168" s="155" t="n">
        <f aca="false">VLOOKUP(C168,$C$133:$H$153,3,0)</f>
        <v>1.106</v>
      </c>
      <c r="F168" s="263" t="n">
        <f aca="false">VLOOKUP(C168,$C$133:$I$153,7,0)</f>
        <v>2308</v>
      </c>
      <c r="G168" s="155" t="n">
        <f aca="false">VLOOKUP(C168,$C$133:$J$153,8,0)</f>
        <v>1</v>
      </c>
      <c r="H168" s="160"/>
      <c r="I168" s="265"/>
      <c r="J168" s="265"/>
    </row>
    <row r="169" s="96" customFormat="true" ht="15" hidden="false" customHeight="true" outlineLevel="1" collapsed="false">
      <c r="A169" s="158" t="n">
        <f aca="false">IF(B169="","",+A168+1)</f>
        <v>15</v>
      </c>
      <c r="B169" s="153" t="str">
        <f aca="false">B147</f>
        <v>5-6mm คิ้วตบกระจกแนวนอน</v>
      </c>
      <c r="C169" s="153" t="str">
        <f aca="false">C147</f>
        <v>5-6mm GLAZING BEAD HORIZONTAL</v>
      </c>
      <c r="D169" s="159" t="str">
        <f aca="false">VLOOKUP(C169,$C$133:$H$153,2,0)</f>
        <v>B24008</v>
      </c>
      <c r="E169" s="155" t="n">
        <f aca="false">VLOOKUP(C169,$C$133:$H$153,3,0)</f>
        <v>0.231</v>
      </c>
      <c r="F169" s="267" t="n">
        <f aca="false">VLOOKUP(C169,$C$133:$I$153,7,0)</f>
        <v>632.4</v>
      </c>
      <c r="G169" s="155" t="n">
        <f aca="false">VLOOKUP(C169,$C$133:$J$153,8,0)</f>
        <v>10</v>
      </c>
      <c r="H169" s="160" t="n">
        <f aca="false">ROUNDUP(((F169*G169)+(F170*G170))/6400,0)</f>
        <v>5</v>
      </c>
      <c r="I169" s="196"/>
      <c r="J169" s="196"/>
    </row>
    <row r="170" s="96" customFormat="true" ht="15" hidden="false" customHeight="true" outlineLevel="1" collapsed="false">
      <c r="A170" s="158" t="n">
        <f aca="false">IF(B170="","",+A169+1)</f>
        <v>16</v>
      </c>
      <c r="B170" s="153" t="str">
        <f aca="false">B148</f>
        <v>5-6mm คิ้วตบกระจกแนวตั้ง</v>
      </c>
      <c r="C170" s="153" t="str">
        <f aca="false">C148</f>
        <v>5-6mm GLAZING BEAD VERTICAL</v>
      </c>
      <c r="D170" s="159"/>
      <c r="E170" s="155" t="n">
        <f aca="false">VLOOKUP(C170,$C$133:$H$153,3,0)</f>
        <v>0.231</v>
      </c>
      <c r="F170" s="263" t="n">
        <f aca="false">VLOOKUP(C170,$C$133:$I$153,7,0)</f>
        <v>2158</v>
      </c>
      <c r="G170" s="155" t="n">
        <f aca="false">VLOOKUP(C170,$C$133:$J$153,8,0)</f>
        <v>10</v>
      </c>
      <c r="H170" s="160"/>
      <c r="I170" s="196"/>
      <c r="J170" s="196"/>
    </row>
    <row r="171" s="96" customFormat="true" ht="13.5" hidden="false" customHeight="true" outlineLevel="1" collapsed="false">
      <c r="A171" s="158" t="n">
        <f aca="false">IF(B171="","",+A170+1)</f>
        <v>17</v>
      </c>
      <c r="B171" s="153" t="str">
        <f aca="false">B149</f>
        <v>บังใบ</v>
      </c>
      <c r="C171" s="153" t="str">
        <f aca="false">C149</f>
        <v>SASH STOP</v>
      </c>
      <c r="D171" s="304" t="str">
        <f aca="false">VLOOKUP(C171,$C$133:$H$153,2,0)</f>
        <v>B24009</v>
      </c>
      <c r="E171" s="155" t="n">
        <f aca="false">VLOOKUP(C171,$C$133:$H$153,3,0)</f>
        <v>0</v>
      </c>
      <c r="F171" s="263" t="n">
        <f aca="false">VLOOKUP(C171,$C$133:$I$153,7,0)</f>
        <v>2308</v>
      </c>
      <c r="G171" s="155" t="n">
        <f aca="false">VLOOKUP(C171,$C$133:$J$153,8,0)</f>
        <v>1</v>
      </c>
      <c r="H171" s="160" t="n">
        <f aca="false">ROUNDUP(((F171*G171)+(F172*G172))/6400,0)</f>
        <v>1</v>
      </c>
      <c r="I171" s="196"/>
      <c r="J171" s="196"/>
    </row>
    <row r="172" s="96" customFormat="true" ht="14.25" hidden="false" customHeight="false" outlineLevel="1" collapsed="false">
      <c r="A172" s="158" t="n">
        <f aca="false">IF(B172="","",+A171+1)</f>
        <v>18</v>
      </c>
      <c r="B172" s="153" t="str">
        <f aca="false">B150</f>
        <v>บังใบ</v>
      </c>
      <c r="C172" s="153" t="str">
        <f aca="false">C150</f>
        <v>SASH STOP</v>
      </c>
      <c r="D172" s="304"/>
      <c r="E172" s="155" t="n">
        <f aca="false">VLOOKUP(C172,$C$133:$H$153,3,0)</f>
        <v>0</v>
      </c>
      <c r="F172" s="263" t="n">
        <f aca="false">VLOOKUP(C172,$C$133:$I$153,7,0)</f>
        <v>2308</v>
      </c>
      <c r="G172" s="155" t="n">
        <f aca="false">VLOOKUP(C172,$C$133:$J$153,8,0)</f>
        <v>1</v>
      </c>
      <c r="H172" s="160"/>
      <c r="I172" s="196"/>
      <c r="J172" s="196"/>
    </row>
    <row r="173" s="96" customFormat="true" ht="24.75" hidden="false" customHeight="true" outlineLevel="0" collapsed="false">
      <c r="A173" s="113" t="s">
        <v>396</v>
      </c>
      <c r="B173" s="113"/>
      <c r="C173" s="113"/>
      <c r="D173" s="113"/>
      <c r="E173" s="113"/>
      <c r="F173" s="113"/>
      <c r="G173" s="113"/>
      <c r="H173" s="113"/>
      <c r="I173" s="113"/>
      <c r="J173" s="113"/>
    </row>
    <row r="174" s="96" customFormat="true" ht="34.5" hidden="false" customHeight="true" outlineLevel="0" collapsed="false">
      <c r="A174" s="114" t="s">
        <v>319</v>
      </c>
      <c r="B174" s="115" t="s">
        <v>320</v>
      </c>
      <c r="C174" s="115" t="s">
        <v>168</v>
      </c>
      <c r="D174" s="115" t="s">
        <v>397</v>
      </c>
      <c r="E174" s="115" t="s">
        <v>321</v>
      </c>
      <c r="F174" s="116" t="s">
        <v>398</v>
      </c>
      <c r="G174" s="115" t="s">
        <v>399</v>
      </c>
      <c r="H174" s="116" t="s">
        <v>400</v>
      </c>
      <c r="I174" s="116" t="s">
        <v>401</v>
      </c>
      <c r="J174" s="117" t="s">
        <v>402</v>
      </c>
      <c r="N174" s="107" t="s">
        <v>288</v>
      </c>
      <c r="O174" s="165" t="s">
        <v>320</v>
      </c>
      <c r="P174" s="165" t="s">
        <v>168</v>
      </c>
      <c r="Q174" s="165" t="s">
        <v>397</v>
      </c>
      <c r="R174" s="165" t="s">
        <v>321</v>
      </c>
      <c r="S174" s="165" t="s">
        <v>398</v>
      </c>
      <c r="T174" s="165" t="s">
        <v>399</v>
      </c>
      <c r="U174" s="165" t="s">
        <v>400</v>
      </c>
      <c r="V174" s="165" t="s">
        <v>401</v>
      </c>
      <c r="W174" s="165" t="s">
        <v>402</v>
      </c>
    </row>
    <row r="175" s="96" customFormat="true" ht="18" hidden="false" customHeight="true" outlineLevel="0" collapsed="false">
      <c r="A175" s="166" t="n">
        <f aca="false">IF(B175="","",1)</f>
        <v>1</v>
      </c>
      <c r="B175" s="131" t="s">
        <v>410</v>
      </c>
      <c r="C175" s="131" t="s">
        <v>411</v>
      </c>
      <c r="D175" s="132" t="s">
        <v>267</v>
      </c>
      <c r="E175" s="130"/>
      <c r="F175" s="130" t="s">
        <v>267</v>
      </c>
      <c r="G175" s="130"/>
      <c r="H175" s="130" t="n">
        <v>10</v>
      </c>
      <c r="I175" s="133"/>
      <c r="J175" s="134" t="n">
        <f aca="false">$J$120*H175</f>
        <v>10</v>
      </c>
      <c r="N175" s="107" t="s">
        <v>406</v>
      </c>
      <c r="O175" s="55" t="s">
        <v>407</v>
      </c>
      <c r="P175" s="62" t="s">
        <v>408</v>
      </c>
      <c r="Q175" s="55" t="s">
        <v>227</v>
      </c>
      <c r="R175" s="158"/>
      <c r="S175" s="158" t="s">
        <v>227</v>
      </c>
      <c r="T175" s="158" t="s">
        <v>409</v>
      </c>
      <c r="U175" s="168" t="n">
        <f aca="false">((($I$141*$G$141)+($I$142*$G$142)+($I$143*$G$143)+($I$144*$G$144)+($I$145*$G$145)+($I$146*$G$146))/1000)*$J$120</f>
        <v>30.512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2</v>
      </c>
      <c r="B176" s="131" t="s">
        <v>415</v>
      </c>
      <c r="C176" s="131" t="s">
        <v>416</v>
      </c>
      <c r="D176" s="132" t="s">
        <v>222</v>
      </c>
      <c r="E176" s="130"/>
      <c r="F176" s="130" t="s">
        <v>222</v>
      </c>
      <c r="G176" s="130"/>
      <c r="H176" s="130" t="n">
        <v>2</v>
      </c>
      <c r="I176" s="133"/>
      <c r="J176" s="134" t="n">
        <f aca="false">$J$120*H176</f>
        <v>2</v>
      </c>
      <c r="N176" s="107" t="s">
        <v>412</v>
      </c>
      <c r="O176" s="55" t="s">
        <v>413</v>
      </c>
      <c r="P176" s="62" t="s">
        <v>414</v>
      </c>
      <c r="Q176" s="55" t="s">
        <v>234</v>
      </c>
      <c r="R176" s="158"/>
      <c r="S176" s="158" t="s">
        <v>234</v>
      </c>
      <c r="T176" s="158" t="s">
        <v>409</v>
      </c>
      <c r="U176" s="168" t="n">
        <f aca="false">((($I$141*$G$141)+($I$142*$G$142)+($I$143*$G$143)+($I$144*$G$144)+($I$145*$G$145)+($I$146*$G$146))/1000)*$J$120</f>
        <v>30.512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3</v>
      </c>
      <c r="B177" s="131" t="s">
        <v>420</v>
      </c>
      <c r="C177" s="131" t="s">
        <v>421</v>
      </c>
      <c r="D177" s="132" t="s">
        <v>225</v>
      </c>
      <c r="E177" s="130"/>
      <c r="F177" s="130" t="s">
        <v>225</v>
      </c>
      <c r="G177" s="130"/>
      <c r="H177" s="130" t="n">
        <v>2</v>
      </c>
      <c r="I177" s="133"/>
      <c r="J177" s="134" t="n">
        <f aca="false">$J$120*H177</f>
        <v>2</v>
      </c>
      <c r="N177" s="107" t="s">
        <v>417</v>
      </c>
      <c r="O177" s="62" t="s">
        <v>418</v>
      </c>
      <c r="P177" s="62" t="s">
        <v>419</v>
      </c>
      <c r="Q177" s="55" t="s">
        <v>236</v>
      </c>
      <c r="R177" s="158"/>
      <c r="S177" s="158" t="s">
        <v>236</v>
      </c>
      <c r="T177" s="158" t="s">
        <v>409</v>
      </c>
      <c r="U177" s="168" t="n">
        <f aca="false">((($I$141*$G$141)+($I$142*$G$142)+($I$143*$G$143)+($I$144*$G$144)+($I$145*$G$145)+($I$146*$G$146))/1000)*$J$120</f>
        <v>30.512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4</v>
      </c>
      <c r="B178" s="131" t="s">
        <v>425</v>
      </c>
      <c r="C178" s="131" t="s">
        <v>426</v>
      </c>
      <c r="D178" s="132" t="n">
        <v>9</v>
      </c>
      <c r="E178" s="130"/>
      <c r="F178" s="130" t="n">
        <v>9</v>
      </c>
      <c r="G178" s="130"/>
      <c r="H178" s="130" t="n">
        <v>8</v>
      </c>
      <c r="I178" s="133"/>
      <c r="J178" s="134" t="n">
        <f aca="false">$J$120*H178</f>
        <v>8</v>
      </c>
      <c r="N178" s="107" t="s">
        <v>422</v>
      </c>
      <c r="O178" s="62" t="s">
        <v>423</v>
      </c>
      <c r="P178" s="62" t="s">
        <v>424</v>
      </c>
      <c r="Q178" s="55" t="s">
        <v>238</v>
      </c>
      <c r="R178" s="158"/>
      <c r="S178" s="158" t="s">
        <v>238</v>
      </c>
      <c r="T178" s="158" t="s">
        <v>409</v>
      </c>
      <c r="U178" s="168" t="n">
        <f aca="false">((($I$141*$G$141)+($I$142*$G$142)+($I$143*$G$143)+($I$144*$G$144)+($I$145*$G$145)+($I$146*$G$146))/1000)*$J$120</f>
        <v>30.512</v>
      </c>
      <c r="V178" s="168" t="n">
        <v>100</v>
      </c>
      <c r="W178" s="169" t="n">
        <f aca="false">ROUNDUP((U178)/100,0)</f>
        <v>1</v>
      </c>
    </row>
    <row r="179" s="96" customFormat="true" ht="18" hidden="false" customHeight="true" outlineLevel="0" collapsed="false">
      <c r="A179" s="170" t="n">
        <f aca="false">IF(B179="","",+A178+1)</f>
        <v>5</v>
      </c>
      <c r="B179" s="131" t="s">
        <v>430</v>
      </c>
      <c r="C179" s="131" t="s">
        <v>431</v>
      </c>
      <c r="D179" s="132" t="n">
        <v>9</v>
      </c>
      <c r="E179" s="130"/>
      <c r="F179" s="130" t="n">
        <v>9</v>
      </c>
      <c r="G179" s="130"/>
      <c r="H179" s="130" t="n">
        <v>110</v>
      </c>
      <c r="I179" s="133"/>
      <c r="J179" s="134" t="n">
        <f aca="false">$J$120*H179</f>
        <v>110</v>
      </c>
      <c r="N179" s="107" t="s">
        <v>427</v>
      </c>
      <c r="O179" s="62" t="s">
        <v>428</v>
      </c>
      <c r="P179" s="62" t="s">
        <v>429</v>
      </c>
      <c r="Q179" s="55" t="s">
        <v>240</v>
      </c>
      <c r="R179" s="158"/>
      <c r="S179" s="158" t="s">
        <v>240</v>
      </c>
      <c r="T179" s="158" t="s">
        <v>409</v>
      </c>
      <c r="U179" s="168" t="n">
        <f aca="false">((($I$141*$G$141)+($I$142*$G$142)+($I$143*$G$143)+($I$144*$G$144)+($I$145*$G$145)+($I$146*$G$146))/1000)*$J$120</f>
        <v>30.512</v>
      </c>
      <c r="V179" s="168" t="n">
        <v>100</v>
      </c>
      <c r="W179" s="169" t="n">
        <f aca="false">ROUNDUP((U179)/100,0)</f>
        <v>1</v>
      </c>
    </row>
    <row r="180" s="96" customFormat="true" ht="18" hidden="false" customHeight="true" outlineLevel="0" collapsed="false">
      <c r="A180" s="170" t="n">
        <f aca="false">IF(B180="","",+A179+1)</f>
        <v>6</v>
      </c>
      <c r="B180" s="131" t="s">
        <v>432</v>
      </c>
      <c r="C180" s="131" t="s">
        <v>433</v>
      </c>
      <c r="D180" s="132" t="s">
        <v>6</v>
      </c>
      <c r="E180" s="130"/>
      <c r="F180" s="130" t="s">
        <v>6</v>
      </c>
      <c r="G180" s="130" t="s">
        <v>434</v>
      </c>
      <c r="H180" s="130" t="n">
        <v>1</v>
      </c>
      <c r="I180" s="133"/>
      <c r="J180" s="134" t="n">
        <f aca="false">$J$120*H180</f>
        <v>1</v>
      </c>
    </row>
    <row r="181" s="96" customFormat="true" ht="18" hidden="false" customHeight="true" outlineLevel="0" collapsed="false">
      <c r="A181" s="170" t="n">
        <f aca="false">IF(B181="","",+A180+1)</f>
        <v>7</v>
      </c>
      <c r="B181" s="131" t="s">
        <v>512</v>
      </c>
      <c r="C181" s="131" t="s">
        <v>513</v>
      </c>
      <c r="D181" s="132" t="s">
        <v>7</v>
      </c>
      <c r="E181" s="130"/>
      <c r="F181" s="130" t="s">
        <v>7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8</v>
      </c>
      <c r="B182" s="131" t="s">
        <v>435</v>
      </c>
      <c r="C182" s="131" t="s">
        <v>436</v>
      </c>
      <c r="D182" s="132" t="s">
        <v>9</v>
      </c>
      <c r="E182" s="130"/>
      <c r="F182" s="130" t="s">
        <v>9</v>
      </c>
      <c r="G182" s="130" t="s">
        <v>434</v>
      </c>
      <c r="H182" s="130" t="n">
        <v>1</v>
      </c>
      <c r="I182" s="133"/>
      <c r="J182" s="134" t="n">
        <f aca="false">$J$120*H182</f>
        <v>1</v>
      </c>
    </row>
    <row r="183" s="96" customFormat="true" ht="18" hidden="false" customHeight="true" outlineLevel="0" collapsed="false">
      <c r="A183" s="170" t="n">
        <f aca="false">IF(B183="","",+A182+1)</f>
        <v>9</v>
      </c>
      <c r="B183" s="131" t="s">
        <v>554</v>
      </c>
      <c r="C183" s="131" t="s">
        <v>555</v>
      </c>
      <c r="D183" s="132" t="s">
        <v>11</v>
      </c>
      <c r="E183" s="130"/>
      <c r="F183" s="130" t="s">
        <v>11</v>
      </c>
      <c r="G183" s="130" t="s">
        <v>434</v>
      </c>
      <c r="H183" s="130" t="n">
        <v>1</v>
      </c>
      <c r="I183" s="142"/>
      <c r="J183" s="134" t="n">
        <f aca="false">$J$120*H183</f>
        <v>1</v>
      </c>
    </row>
    <row r="184" s="96" customFormat="true" ht="18" hidden="false" customHeight="true" outlineLevel="0" collapsed="false">
      <c r="A184" s="170" t="n">
        <f aca="false">IF(B184="","",+A183+1)</f>
        <v>10</v>
      </c>
      <c r="B184" s="131" t="s">
        <v>437</v>
      </c>
      <c r="C184" s="131" t="s">
        <v>438</v>
      </c>
      <c r="D184" s="132" t="s">
        <v>4</v>
      </c>
      <c r="E184" s="130"/>
      <c r="F184" s="130" t="s">
        <v>4</v>
      </c>
      <c r="G184" s="130" t="s">
        <v>434</v>
      </c>
      <c r="H184" s="130" t="n">
        <v>1</v>
      </c>
      <c r="I184" s="142"/>
      <c r="J184" s="134" t="n">
        <f aca="false">$J$120*H184</f>
        <v>1</v>
      </c>
      <c r="Q184" s="172"/>
      <c r="R184" s="172"/>
      <c r="S184" s="172"/>
      <c r="T184" s="97"/>
      <c r="U184" s="97"/>
      <c r="V184" s="97"/>
    </row>
    <row r="185" s="96" customFormat="true" ht="18" hidden="false" customHeight="true" outlineLevel="0" collapsed="false">
      <c r="A185" s="170" t="n">
        <f aca="false">IF(B185="","",+A184+1)</f>
        <v>11</v>
      </c>
      <c r="B185" s="131" t="s">
        <v>556</v>
      </c>
      <c r="C185" s="131" t="s">
        <v>557</v>
      </c>
      <c r="D185" s="132" t="s">
        <v>5</v>
      </c>
      <c r="E185" s="130"/>
      <c r="F185" s="130" t="s">
        <v>5</v>
      </c>
      <c r="G185" s="130" t="s">
        <v>434</v>
      </c>
      <c r="H185" s="130" t="n">
        <v>1</v>
      </c>
      <c r="I185" s="142"/>
      <c r="J185" s="134" t="n">
        <f aca="false">$J$120*H185</f>
        <v>1</v>
      </c>
      <c r="N185" s="107" t="s">
        <v>289</v>
      </c>
      <c r="O185" s="165" t="s">
        <v>320</v>
      </c>
      <c r="P185" s="165" t="s">
        <v>168</v>
      </c>
      <c r="Q185" s="165" t="s">
        <v>397</v>
      </c>
      <c r="R185" s="165" t="s">
        <v>321</v>
      </c>
      <c r="S185" s="165" t="s">
        <v>398</v>
      </c>
      <c r="T185" s="165" t="s">
        <v>399</v>
      </c>
      <c r="U185" s="165" t="s">
        <v>400</v>
      </c>
      <c r="V185" s="165" t="s">
        <v>401</v>
      </c>
      <c r="W185" s="165" t="s">
        <v>402</v>
      </c>
    </row>
    <row r="186" s="96" customFormat="true" ht="18" hidden="false" customHeight="true" outlineLevel="0" collapsed="false">
      <c r="A186" s="170" t="n">
        <f aca="false">IF(B186="","",+A185+1)</f>
        <v>12</v>
      </c>
      <c r="B186" s="131" t="s">
        <v>439</v>
      </c>
      <c r="C186" s="131" t="s">
        <v>440</v>
      </c>
      <c r="D186" s="132" t="s">
        <v>12</v>
      </c>
      <c r="E186" s="130"/>
      <c r="F186" s="130" t="s">
        <v>12</v>
      </c>
      <c r="G186" s="130" t="s">
        <v>434</v>
      </c>
      <c r="H186" s="130" t="n">
        <v>2</v>
      </c>
      <c r="I186" s="142"/>
      <c r="J186" s="134" t="n">
        <f aca="false">$J$120*H186</f>
        <v>2</v>
      </c>
      <c r="N186" s="107" t="s">
        <v>445</v>
      </c>
      <c r="O186" s="62" t="s">
        <v>446</v>
      </c>
      <c r="P186" s="62" t="s">
        <v>447</v>
      </c>
      <c r="Q186" s="55" t="s">
        <v>230</v>
      </c>
      <c r="R186" s="158"/>
      <c r="S186" s="158" t="s">
        <v>230</v>
      </c>
      <c r="T186" s="158" t="s">
        <v>409</v>
      </c>
      <c r="U186" s="168" t="n">
        <f aca="false">((($I$134*$G$134)+($I$136*$G$136)+($I$139*$G$139))/1000)*$J$120</f>
        <v>9.758</v>
      </c>
      <c r="V186" s="168" t="n">
        <v>300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13</v>
      </c>
      <c r="B187" s="131" t="s">
        <v>540</v>
      </c>
      <c r="C187" s="131" t="s">
        <v>541</v>
      </c>
      <c r="D187" s="132" t="s">
        <v>542</v>
      </c>
      <c r="E187" s="130"/>
      <c r="F187" s="130" t="s">
        <v>542</v>
      </c>
      <c r="G187" s="130" t="s">
        <v>434</v>
      </c>
      <c r="H187" s="130" t="n">
        <v>1</v>
      </c>
      <c r="I187" s="133"/>
      <c r="J187" s="134" t="n">
        <f aca="false">$J$120*H187</f>
        <v>1</v>
      </c>
      <c r="N187" s="107" t="s">
        <v>448</v>
      </c>
      <c r="O187" s="62" t="s">
        <v>449</v>
      </c>
      <c r="P187" s="62" t="s">
        <v>450</v>
      </c>
      <c r="Q187" s="55" t="s">
        <v>451</v>
      </c>
      <c r="R187" s="158"/>
      <c r="S187" s="158" t="s">
        <v>451</v>
      </c>
      <c r="T187" s="158" t="s">
        <v>409</v>
      </c>
      <c r="U187" s="168" t="n">
        <f aca="false">((($I$134*$G$134)+($I$136*$G$136)+($I$139*$G$139))/1000)*$J$120</f>
        <v>9.758</v>
      </c>
      <c r="V187" s="168" t="n">
        <v>100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14</v>
      </c>
      <c r="B188" s="131" t="s">
        <v>441</v>
      </c>
      <c r="C188" s="131" t="s">
        <v>442</v>
      </c>
      <c r="D188" s="132" t="s">
        <v>274</v>
      </c>
      <c r="E188" s="130"/>
      <c r="F188" s="130" t="s">
        <v>274</v>
      </c>
      <c r="G188" s="130" t="s">
        <v>405</v>
      </c>
      <c r="H188" s="130" t="n">
        <v>4</v>
      </c>
      <c r="I188" s="133"/>
      <c r="J188" s="134" t="n">
        <f aca="false">$J$120*H188</f>
        <v>4</v>
      </c>
      <c r="N188" s="107" t="s">
        <v>445</v>
      </c>
      <c r="O188" s="62" t="s">
        <v>452</v>
      </c>
      <c r="P188" s="62" t="s">
        <v>453</v>
      </c>
      <c r="Q188" s="55" t="s">
        <v>232</v>
      </c>
      <c r="R188" s="158"/>
      <c r="S188" s="158" t="s">
        <v>232</v>
      </c>
      <c r="T188" s="158" t="s">
        <v>409</v>
      </c>
      <c r="U188" s="168" t="n">
        <f aca="false">((($I$141*$G$141*2)+($I$143*$G$143*2)+($I$144*$G$144*2))/1000)*$J$120</f>
        <v>44.36</v>
      </c>
      <c r="V188" s="168" t="n">
        <v>350</v>
      </c>
      <c r="W188" s="169" t="n">
        <f aca="false">ROUNDUP((U188)/V188,0)</f>
        <v>1</v>
      </c>
    </row>
    <row r="189" s="96" customFormat="true" ht="18" hidden="false" customHeight="true" outlineLevel="0" collapsed="false">
      <c r="A189" s="170" t="n">
        <f aca="false">IF(B189="","",+A188+1)</f>
        <v>15</v>
      </c>
      <c r="B189" s="131" t="s">
        <v>443</v>
      </c>
      <c r="C189" s="131" t="s">
        <v>444</v>
      </c>
      <c r="D189" s="132" t="s">
        <v>272</v>
      </c>
      <c r="E189" s="130"/>
      <c r="F189" s="130" t="s">
        <v>272</v>
      </c>
      <c r="G189" s="130" t="s">
        <v>405</v>
      </c>
      <c r="H189" s="130" t="n">
        <v>1</v>
      </c>
      <c r="I189" s="133"/>
      <c r="J189" s="134" t="n">
        <f aca="false">$J$120*H189</f>
        <v>1</v>
      </c>
      <c r="N189" s="107" t="s">
        <v>448</v>
      </c>
      <c r="O189" s="62" t="s">
        <v>454</v>
      </c>
      <c r="P189" s="62" t="s">
        <v>455</v>
      </c>
      <c r="Q189" s="55" t="s">
        <v>456</v>
      </c>
      <c r="R189" s="158"/>
      <c r="S189" s="158" t="s">
        <v>456</v>
      </c>
      <c r="T189" s="158" t="s">
        <v>409</v>
      </c>
      <c r="U189" s="168" t="n">
        <f aca="false">((($I$141*$G$141*2)+($I$143*$G$143*2)+($I$144*$G$144*2))/1000)*$J$120</f>
        <v>44.36</v>
      </c>
      <c r="V189" s="168" t="n">
        <v>100</v>
      </c>
      <c r="W189" s="169" t="n">
        <f aca="false">ROUNDUP((U189)/V189,0)</f>
        <v>1</v>
      </c>
    </row>
    <row r="190" s="96" customFormat="true" ht="18" hidden="false" customHeight="true" outlineLevel="0" collapsed="false">
      <c r="A190" s="170" t="n">
        <f aca="false">IF(B190="","",+A189+1)</f>
        <v>16</v>
      </c>
      <c r="B190" s="131" t="s">
        <v>403</v>
      </c>
      <c r="C190" s="131" t="s">
        <v>404</v>
      </c>
      <c r="D190" s="132" t="s">
        <v>276</v>
      </c>
      <c r="E190" s="130"/>
      <c r="F190" s="130" t="s">
        <v>276</v>
      </c>
      <c r="G190" s="130" t="s">
        <v>405</v>
      </c>
      <c r="H190" s="130" t="n">
        <v>2</v>
      </c>
      <c r="I190" s="133"/>
      <c r="J190" s="134" t="n">
        <f aca="false">$J$120*H190</f>
        <v>2</v>
      </c>
    </row>
    <row r="191" s="96" customFormat="true" ht="18" hidden="false" customHeight="true" outlineLevel="0" collapsed="false">
      <c r="A191" s="170" t="n">
        <f aca="false">IF(B191="","",+A190+1)</f>
        <v>17</v>
      </c>
      <c r="B191" s="131" t="s">
        <v>580</v>
      </c>
      <c r="C191" s="131" t="s">
        <v>581</v>
      </c>
      <c r="D191" s="132" t="s">
        <v>582</v>
      </c>
      <c r="E191" s="130"/>
      <c r="F191" s="130" t="s">
        <v>582</v>
      </c>
      <c r="G191" s="130" t="s">
        <v>409</v>
      </c>
      <c r="H191" s="173" t="n">
        <f aca="false">((($I$149*$G$149)+($I$150*$G$150))/1000)*$J$120</f>
        <v>4.616</v>
      </c>
      <c r="I191" s="174" t="n">
        <v>100</v>
      </c>
      <c r="J191" s="175" t="n">
        <f aca="false">ROUNDUP((H191)/100,0)</f>
        <v>1</v>
      </c>
    </row>
    <row r="192" s="96" customFormat="true" ht="18" hidden="false" customHeight="true" outlineLevel="0" collapsed="false">
      <c r="A192" s="170" t="n">
        <f aca="false">IF(B192="","",+A191+1)</f>
        <v>18</v>
      </c>
      <c r="B192" s="131" t="s">
        <v>583</v>
      </c>
      <c r="C192" s="131" t="s">
        <v>584</v>
      </c>
      <c r="D192" s="132" t="s">
        <v>585</v>
      </c>
      <c r="E192" s="130"/>
      <c r="F192" s="130" t="s">
        <v>585</v>
      </c>
      <c r="G192" s="130" t="s">
        <v>409</v>
      </c>
      <c r="H192" s="173" t="n">
        <f aca="false">(((G145*I145)+($I$146*$G$146))/1000)*$J$120</f>
        <v>4.616</v>
      </c>
      <c r="I192" s="174" t="n">
        <v>100</v>
      </c>
      <c r="J192" s="175" t="n">
        <f aca="false">ROUNDUP((H192)/100,0)</f>
        <v>1</v>
      </c>
    </row>
    <row r="193" s="96" customFormat="true" ht="18" hidden="false" customHeight="true" outlineLevel="0" collapsed="false">
      <c r="A193" s="170" t="n">
        <f aca="false">IF(B193="","",+A192+1)</f>
        <v>19</v>
      </c>
      <c r="B193" s="132" t="str">
        <f aca="false">IF($D$129="Standard",$O$186,IF($D$129="Soumdproof",$O$187,))</f>
        <v>ยางเฟรมกันน้ำ (ธรรมดา)</v>
      </c>
      <c r="C193" s="132" t="str">
        <f aca="false">IF($D$129="Standard",$P$186,IF($D$129="Soumdproof",$P$187,))</f>
        <v>FRAME SEAL (Standard)</v>
      </c>
      <c r="D193" s="132" t="str">
        <f aca="false">IF($D$129="Standard",$Q$186,IF($D$129="Soumdproof",$Q$187,))</f>
        <v>02-026</v>
      </c>
      <c r="E193" s="130" t="n">
        <f aca="false">IF($D$129="Standard",R191,IF($D$129="Soumdproof",R192,))</f>
        <v>0</v>
      </c>
      <c r="F193" s="130" t="str">
        <f aca="false">IF($D$129="Standard",$S$186,IF($D$129="Soumdproof",$S$187,))</f>
        <v>02-026</v>
      </c>
      <c r="G193" s="130" t="str">
        <f aca="false">IF($D$129="Standard",$T$186,IF($D$129="Soumdproof",$T$187,))</f>
        <v>M</v>
      </c>
      <c r="H193" s="173" t="n">
        <f aca="false">IF($D$129="Standard",$U$186,IF($D$129="Soumdproof",$U$187,))</f>
        <v>9.758</v>
      </c>
      <c r="I193" s="174" t="n">
        <f aca="false">IF($D$129="Standard",$V$186,IF($D$129="Soumdproof",$V$187,))</f>
        <v>300</v>
      </c>
      <c r="J193" s="175" t="n">
        <f aca="false">ROUNDUP((H193)/100,0)</f>
        <v>1</v>
      </c>
    </row>
    <row r="194" s="96" customFormat="true" ht="18" hidden="false" customHeight="true" outlineLevel="0" collapsed="false">
      <c r="A194" s="170" t="n">
        <f aca="false">IF(B194="","",+A193+1)</f>
        <v>20</v>
      </c>
      <c r="B194" s="132" t="str">
        <f aca="false">IF($D$129="Standard",$O$188,IF($D$129="Soumdproof",$O$189,))</f>
        <v>ยางแซชกันน้ำ (ธรรมดา)</v>
      </c>
      <c r="C194" s="132" t="str">
        <f aca="false">IF($D$129="Standard",$P$188,IF($D$129="Soumdproof",$P$189,))</f>
        <v>SASH SEAL FOAM (Standard)</v>
      </c>
      <c r="D194" s="132" t="str">
        <f aca="false">IF($D$129="Standard",$Q$188,IF($D$129="Soumdproof",$Q$189,))</f>
        <v>02-031</v>
      </c>
      <c r="E194" s="130" t="n">
        <f aca="false">IF($D$129="Standard",R193,IF($D$129="Soumdproof",R194,))</f>
        <v>0</v>
      </c>
      <c r="F194" s="130" t="str">
        <f aca="false">IF($D$129="Standard",$S$188,IF($D$129="Soumdproof",$S$189,))</f>
        <v>02-031</v>
      </c>
      <c r="G194" s="130" t="str">
        <f aca="false">IF($D$129="Standard",$T$188,IF($D$129="Soumdproof",$T$189,))</f>
        <v>M</v>
      </c>
      <c r="H194" s="173" t="n">
        <f aca="false">IF($D$129="Standard",$U$188,IF($D$129="Soumdproof",$U$189,))</f>
        <v>44.36</v>
      </c>
      <c r="I194" s="174" t="n">
        <f aca="false">IF($D$129="Standard",$V$188,IF($D$129="Soumdproof",$V$189,))</f>
        <v>350</v>
      </c>
      <c r="J194" s="175" t="n">
        <f aca="false">ROUNDUP((H194)/100,0)</f>
        <v>1</v>
      </c>
    </row>
    <row r="195" customFormat="false" ht="18" hidden="false" customHeight="true" outlineLevel="0" collapsed="false">
      <c r="A195" s="170" t="n">
        <f aca="false">IF(B195="","",+A194+1)</f>
        <v>21</v>
      </c>
      <c r="B195" s="176" t="str">
        <f aca="false">IF($D$127=5,$O$177,IF($D$127=6,$O$178,IF($D$127=8,$O$179,IF($D$127=10,$O$177,IF($D$127=12,$O$177,IF($D$127=14,$O$179,IF($D$127=18,$O$177,IF($D$127=20,$O$178,IF($D$127=22,"")))))))))</f>
        <v>6,20 mm ยางอัดกระจก</v>
      </c>
      <c r="C195" s="176" t="str">
        <f aca="false">IF($D$127=5,$P$177,IF($D$127=6,$P$178,IF($D$127=8,$P$179,IF($D$127=10,$P$177,IF($D$127=12,$P$177,IF($D$127=14,$P$179,IF($D$127=18,$P$177,IF($D$127=20,$P$178,IF($D$127=22,"")))))))))</f>
        <v>6,20 mm ROLL IN WEDGE</v>
      </c>
      <c r="D195" s="176" t="str">
        <f aca="false">IF($D$127=5,$Q$177,IF($D$127=6,$Q$178,IF($D$127=8,$Q$179,IF($D$127=10,$Q$177,IF($D$127=12,$Q$177,IF($D$127=14,$Q$179,IF($D$127=18,$Q$177,IF($D$127=20,$Q$178,IF($D$127=22,"")))))))))</f>
        <v>02-034</v>
      </c>
      <c r="E195" s="176" t="n">
        <f aca="false">IF($D$127=5,R182,IF($D$127=6,R183,IF($D$127=8,R184,IF($D$127=10,R182,IF($D$127=12,R182,IF($D$127=14,R184,IF($D$127=18,R182,IF($D$127=20,R183,IF($D$127=22,"",)))))))))</f>
        <v>0</v>
      </c>
      <c r="F195" s="167" t="str">
        <f aca="false">IF($D$127=5,$S$177,IF($D$127=6,$S$178,IF($D$127=8,$S$179,IF($D$127=10,$S$177,IF($D$127=12,$S$177,IF($D$127=14,$S$179,IF($D$127=18,$S$177,IF($D$127=20,$S$178,IF($D$127=22,"")))))))))</f>
        <v>02-034</v>
      </c>
      <c r="G195" s="167" t="str">
        <f aca="false">IF($D$127=5,$T$177,IF($D$127=6,$T$178,IF($D$127=8,$T$179,IF($D$127=10,$T$177,IF($D$127=12,$T$177,IF($D$127=14,$T$179,IF($D$127=18,$T$177,IF($D$127=20,$T$178,IF($D$127=22,"")))))))))</f>
        <v>M</v>
      </c>
      <c r="H195" s="173" t="n">
        <f aca="false">IF($D$127=5,$U$177,IF($D$127=6,$U$178,IF($D$127=8,$U$179,IF($D$127=10,$U$177*2,IF($D$127=12,$U$177,IF($D$127=14,$U$179*2,IF($D$127=18,$U$177,IF($D$127=20,$U$178,IF($D$127=22,"")))))))))</f>
        <v>30.512</v>
      </c>
      <c r="I195" s="174" t="n">
        <f aca="false">IF($D$127=5,$V$177,IF($D$127=6,$V$178,IF($D$127=8,$V$179,IF($D$127=10,$V$177,IF($D$127=12,$V$177,IF($D$127=14,$V$179,IF($D$127=18,$V$177,IF($D$127=20,$V$178,IF($D$127=22,"")))))))))</f>
        <v>100</v>
      </c>
      <c r="J195" s="175" t="n">
        <f aca="false">ROUNDUP((H195)/100,0)</f>
        <v>1</v>
      </c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</row>
    <row r="196" s="96" customFormat="true" ht="18" hidden="false" customHeight="true" outlineLevel="0" collapsed="false">
      <c r="A196" s="170" t="n">
        <f aca="false">IF(B196="","",+A195+1)</f>
        <v>22</v>
      </c>
      <c r="B196" s="176" t="str">
        <f aca="false">IF($D$127=5,$O$175,IF($D$127=6,$O$175,IF($D$127=8,$O$177,IF($D$127=10,"",IF($D$127=12,$O$176,IF($D$127=14,"",IF($D$127=18,$O$175,IF($D$127=20,$O$176,IF($D$127=22,"",)))))))))</f>
        <v>5,6,18 mm ยางรองกระจก</v>
      </c>
      <c r="C196" s="176" t="str">
        <f aca="false">IF($D$127=5,$P$175,IF($D$127=6,$P$175,IF($D$127=8,$P$177,IF($D$127=10,"",IF($D$127=12,$P$176,IF($D$127=14,"",IF($D$127=18,$P$175,IF($D$127=20,$P$176,IF($D$127=22,"",)))))))))</f>
        <v>5,6,18 mm CAPTIVE WEDGE</v>
      </c>
      <c r="D196" s="176" t="str">
        <f aca="false">IF($D$127=5,$Q$175,IF($D$127=6,$Q$175,IF($D$127=8,$Q$177,IF($D$127=10,"",IF($D$127=12,$Q$176,IF($D$127=14,"",IF($D$127=18,$Q$175,IF($D$127=20,$Q$176,IF($D$127=22,"",)))))))))</f>
        <v>02-022</v>
      </c>
      <c r="E196" s="176" t="n">
        <f aca="false">IF($D$127=5,R180,IF($D$127=6,R180,IF($D$127=8,R182,IF($D$127=10,"",IF($D$127=12,R181,IF($D$127=14,"",IF($D$127=18,R180,IF($D$127=20,R181,IF($D$127=22,"",)))))))))</f>
        <v>0</v>
      </c>
      <c r="F196" s="167" t="str">
        <f aca="false">IF($D$127=5,$S$175,IF($D$127=6,$S$175,IF($D$127=8,$S$177,IF($D$127=10,"",IF($D$127=12,$S$176,IF($D$127=14,"",IF($D$127=18,$S$175,IF($D$127=20,$S$176,IF($D$127=22,"",)))))))))</f>
        <v>02-022</v>
      </c>
      <c r="G196" s="167" t="str">
        <f aca="false">IF($D$127=5,$T$175,IF($D$127=6,$T$175,IF($D$127=8,$T$177,IF($D$127=10,"",IF($D$127=12,$T$176,IF($D$127=14,"",IF($D$127=18,$T$175,IF($D$127=20,$T$176,IF($D$127=22,"",)))))))))</f>
        <v>M</v>
      </c>
      <c r="H196" s="173" t="n">
        <f aca="false">IF($D$127=5,$U$175,IF($D$127=6,$U$175,IF($D$127=8,$U$177,IF($D$127=10,"",IF($D$127=12,$U$176,IF($D$127=14,"",IF($D$127=18,$U$175,IF($D$127=20,$U$176,IF($D$127=22,"")))))))))</f>
        <v>30.512</v>
      </c>
      <c r="I196" s="174" t="n">
        <f aca="false">IF($D$127=5,$V$175,IF($D$127=6,$V$175,IF($D$127=8,$V$177,IF($D$127=10,"",IF($D$127=12,$V$176,IF($D$127=14,"",IF($D$127=18,$V$175,IF($D$127=20,$V$176,IF($D$127=22,"",)))))))))</f>
        <v>100</v>
      </c>
      <c r="J196" s="175" t="n">
        <f aca="false">ROUNDUP((H196)/100,0)</f>
        <v>1</v>
      </c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$J$120*H197</f>
        <v>0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$J$120*G198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$J$120*G199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$J$120*G200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$J$120*G201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$J$120*G202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$J$120*G203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$J$120*G204</f>
        <v>0</v>
      </c>
    </row>
    <row r="205" s="96" customFormat="true" ht="18" hidden="false" customHeight="true" outlineLevel="0" collapsed="false">
      <c r="A205" s="179" t="str">
        <f aca="false">IF(B205="","",+A204+1)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$J$120*G205</f>
        <v>0</v>
      </c>
    </row>
    <row r="206" s="96" customFormat="true" ht="18" hidden="false" customHeight="true" outlineLevel="0" collapsed="false">
      <c r="A206" s="200"/>
      <c r="B206" s="98"/>
      <c r="D206" s="98"/>
      <c r="E206" s="97"/>
      <c r="F206" s="98"/>
      <c r="G206" s="98"/>
      <c r="H206" s="98"/>
      <c r="I206" s="196"/>
      <c r="J206" s="196"/>
    </row>
    <row r="207" customFormat="false" ht="18" hidden="false" customHeight="true" outlineLevel="0" collapsed="false">
      <c r="A207" s="97"/>
      <c r="J207" s="92" t="str">
        <f aca="false">LEFT($J$111,13)&amp;"-02"</f>
        <v>FG-240-5P2L3R-02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516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3740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517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3714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519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3740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97"/>
      <c r="H252" s="97"/>
      <c r="I252" s="196"/>
      <c r="J252" s="196"/>
    </row>
    <row r="253" s="96" customFormat="true" ht="15.75" hidden="false" customHeight="true" outlineLevel="0" collapsed="false">
      <c r="A253" s="191"/>
      <c r="B253" s="191"/>
      <c r="D253" s="192"/>
      <c r="E253" s="191"/>
      <c r="F253" s="191"/>
      <c r="G253" s="97"/>
      <c r="H253" s="97"/>
      <c r="I253" s="196"/>
      <c r="J253" s="196"/>
    </row>
    <row r="254" s="96" customFormat="true" ht="15.75" hidden="false" customHeight="true" outlineLevel="0" collapsed="false">
      <c r="A254" s="190"/>
      <c r="B254" s="190"/>
      <c r="C254" s="184" t="s">
        <v>520</v>
      </c>
      <c r="D254" s="194"/>
      <c r="E254" s="190"/>
      <c r="F254" s="189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459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460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5" t="n">
        <f aca="false">$I$136</f>
        <v>3740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7" t="n">
        <f aca="false">$J$136</f>
        <v>1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C262" s="98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184" t="s">
        <v>521</v>
      </c>
      <c r="D264" s="98"/>
      <c r="E264" s="97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522</v>
      </c>
      <c r="D265" s="181"/>
      <c r="E265" s="181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468</v>
      </c>
      <c r="D266" s="181"/>
      <c r="E266" s="181"/>
      <c r="F266" s="97"/>
      <c r="G266" s="97"/>
      <c r="H266" s="97"/>
      <c r="J266" s="97"/>
    </row>
    <row r="267" s="96" customFormat="true" ht="15.75" hidden="false" customHeight="true" outlineLevel="0" collapsed="false">
      <c r="A267" s="200"/>
      <c r="C267" s="185" t="n">
        <f aca="false">$I$137</f>
        <v>2400</v>
      </c>
      <c r="D267" s="98"/>
      <c r="E267" s="97"/>
      <c r="F267" s="97"/>
      <c r="J267" s="97"/>
    </row>
    <row r="268" s="96" customFormat="true" ht="15.75" hidden="false" customHeight="true" outlineLevel="0" collapsed="false">
      <c r="A268" s="200"/>
      <c r="C268" s="187" t="n">
        <f aca="false">$J$137+$J$138</f>
        <v>2</v>
      </c>
      <c r="D268" s="98"/>
      <c r="E268" s="97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4"/>
      <c r="E271" s="184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H272" s="97"/>
      <c r="J272" s="97"/>
    </row>
    <row r="273" s="96" customFormat="true" ht="15.75" hidden="false" customHeight="true" outlineLevel="0" collapsed="false">
      <c r="A273" s="200"/>
      <c r="D273" s="181"/>
      <c r="E273" s="181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D274" s="98"/>
      <c r="E274" s="97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4" t="s">
        <v>523</v>
      </c>
      <c r="D275" s="201"/>
      <c r="E275" s="196"/>
      <c r="F275" s="97"/>
      <c r="G275" s="97"/>
      <c r="I275" s="196"/>
      <c r="J275" s="196"/>
    </row>
    <row r="276" s="96" customFormat="true" ht="15.75" hidden="false" customHeight="true" outlineLevel="0" collapsed="false">
      <c r="A276" s="200"/>
      <c r="C276" s="181" t="s">
        <v>470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1" t="s">
        <v>471</v>
      </c>
      <c r="D277" s="181"/>
      <c r="E277" s="181"/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5" t="n">
        <f aca="false">$I$139</f>
        <v>2304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C279" s="187" t="n">
        <f aca="false">$J$139+$J$140</f>
        <v>2</v>
      </c>
      <c r="F279" s="97"/>
      <c r="G279" s="97"/>
      <c r="I279" s="97"/>
      <c r="J279" s="196"/>
    </row>
    <row r="280" s="96" customFormat="true" ht="15.75" hidden="false" customHeight="true" outlineLevel="0" collapsed="false">
      <c r="A280" s="200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J282" s="97"/>
    </row>
    <row r="283" s="96" customFormat="true" ht="15.75" hidden="false" customHeight="true" outlineLevel="0" collapsed="false">
      <c r="A283" s="200"/>
      <c r="F283" s="97"/>
      <c r="G283" s="97"/>
      <c r="H283" s="97"/>
      <c r="I283" s="201"/>
      <c r="J283" s="196"/>
    </row>
    <row r="284" s="96" customFormat="true" ht="15.75" hidden="false" customHeight="true" outlineLevel="0" collapsed="false">
      <c r="A284" s="200"/>
      <c r="C284" s="184" t="s">
        <v>524</v>
      </c>
      <c r="F284" s="97"/>
      <c r="G284" s="97"/>
      <c r="H284" s="97"/>
      <c r="I284" s="97"/>
      <c r="J284" s="196"/>
    </row>
    <row r="285" s="96" customFormat="true" ht="15.75" hidden="false" customHeight="true" outlineLevel="0" collapsed="false">
      <c r="A285" s="200"/>
      <c r="C285" s="83" t="s">
        <v>646</v>
      </c>
      <c r="D285" s="98"/>
      <c r="E285" s="97"/>
      <c r="F285" s="97"/>
      <c r="G285" s="97"/>
      <c r="H285" s="97"/>
      <c r="I285" s="196"/>
      <c r="J285" s="196"/>
    </row>
    <row r="286" s="96" customFormat="true" ht="15.75" hidden="false" customHeight="true" outlineLevel="0" collapsed="false">
      <c r="A286" s="200"/>
      <c r="C286" s="181" t="s">
        <v>647</v>
      </c>
      <c r="D286" s="98"/>
      <c r="E286" s="97"/>
      <c r="F286" s="97"/>
      <c r="G286" s="97"/>
      <c r="H286" s="97"/>
      <c r="I286" s="196"/>
      <c r="J286" s="196"/>
    </row>
    <row r="287" s="96" customFormat="true" ht="15.75" hidden="false" customHeight="true" outlineLevel="0" collapsed="false">
      <c r="A287" s="200"/>
      <c r="C287" s="181" t="s">
        <v>475</v>
      </c>
      <c r="D287" s="181"/>
      <c r="E287" s="181"/>
      <c r="F287" s="97"/>
      <c r="G287" s="97"/>
      <c r="I287" s="196"/>
      <c r="J287" s="196"/>
    </row>
    <row r="288" s="202" customFormat="true" ht="15.75" hidden="false" customHeight="true" outlineLevel="0" collapsed="false">
      <c r="A288" s="200"/>
      <c r="B288" s="96"/>
      <c r="C288" s="181" t="s">
        <v>476</v>
      </c>
      <c r="D288" s="181"/>
      <c r="E288" s="181"/>
      <c r="F288" s="97"/>
      <c r="G288" s="97"/>
      <c r="H288" s="96"/>
      <c r="I288" s="97"/>
      <c r="J288" s="97"/>
    </row>
    <row r="289" s="96" customFormat="true" ht="15.75" hidden="false" customHeight="true" outlineLevel="0" collapsed="false">
      <c r="A289" s="200"/>
      <c r="C289" s="185" t="n">
        <f aca="false">$I$141</f>
        <v>743.2</v>
      </c>
      <c r="F289" s="97"/>
      <c r="G289" s="97"/>
      <c r="I289" s="191"/>
      <c r="J289" s="199"/>
    </row>
    <row r="290" s="96" customFormat="true" ht="15.75" hidden="false" customHeight="true" outlineLevel="0" collapsed="false">
      <c r="A290" s="200"/>
      <c r="C290" s="187" t="n">
        <f aca="false">$J$141+$J$142</f>
        <v>10</v>
      </c>
      <c r="D290" s="98"/>
      <c r="E290" s="97"/>
      <c r="F290" s="97"/>
      <c r="G290" s="97"/>
      <c r="H290" s="98"/>
      <c r="I290" s="189"/>
      <c r="J290" s="190"/>
    </row>
    <row r="291" s="96" customFormat="true" ht="15.75" hidden="false" customHeight="true" outlineLevel="0" collapsed="false">
      <c r="A291" s="200"/>
      <c r="C291" s="185" t="n">
        <f aca="false">$I$143</f>
        <v>2308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C292" s="187" t="n">
        <f aca="false">$J$143+$J$144+$J$145+$J$146</f>
        <v>10</v>
      </c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D293" s="98"/>
      <c r="E293" s="97"/>
      <c r="F293" s="97"/>
      <c r="G293" s="97"/>
      <c r="H293" s="97"/>
      <c r="I293" s="196"/>
      <c r="J293" s="196"/>
    </row>
    <row r="294" s="96" customFormat="true" ht="15.75" hidden="false" customHeight="true" outlineLevel="0" collapsed="false">
      <c r="A294" s="200"/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202"/>
      <c r="D295" s="98"/>
      <c r="E295" s="97"/>
      <c r="F295" s="97"/>
      <c r="G295" s="97"/>
      <c r="H295" s="97"/>
      <c r="I295" s="97"/>
      <c r="J295" s="196"/>
    </row>
    <row r="296" s="96" customFormat="true" ht="15.75" hidden="false" customHeight="true" outlineLevel="0" collapsed="false">
      <c r="A296" s="200"/>
      <c r="C296" s="184" t="s">
        <v>525</v>
      </c>
      <c r="D296" s="98"/>
      <c r="E296" s="97"/>
      <c r="F296" s="97"/>
      <c r="G296" s="97"/>
      <c r="H296" s="97"/>
      <c r="I296" s="97"/>
      <c r="J296" s="196"/>
    </row>
    <row r="297" s="96" customFormat="true" ht="15.75" hidden="false" customHeight="true" outlineLevel="0" collapsed="false">
      <c r="A297" s="200"/>
      <c r="C297" s="83" t="s">
        <v>646</v>
      </c>
      <c r="D297" s="98"/>
      <c r="E297" s="97"/>
      <c r="F297" s="97"/>
      <c r="G297" s="191"/>
      <c r="H297" s="191"/>
      <c r="I297" s="97"/>
      <c r="J297" s="196"/>
    </row>
    <row r="298" s="96" customFormat="true" ht="15.75" hidden="false" customHeight="true" outlineLevel="0" collapsed="false">
      <c r="A298" s="200"/>
      <c r="C298" s="181" t="s">
        <v>647</v>
      </c>
      <c r="D298" s="181"/>
      <c r="E298" s="181"/>
      <c r="F298" s="97"/>
      <c r="G298" s="190"/>
      <c r="H298" s="189"/>
      <c r="I298" s="97"/>
      <c r="J298" s="196"/>
    </row>
    <row r="299" s="96" customFormat="true" ht="15.75" hidden="false" customHeight="true" outlineLevel="0" collapsed="false">
      <c r="A299" s="107"/>
      <c r="C299" s="181" t="s">
        <v>478</v>
      </c>
      <c r="D299" s="181"/>
      <c r="E299" s="181"/>
      <c r="F299" s="97"/>
      <c r="G299" s="97"/>
      <c r="H299" s="97"/>
      <c r="I299" s="97"/>
      <c r="J299" s="196"/>
    </row>
    <row r="300" s="96" customFormat="true" ht="15.75" hidden="false" customHeight="true" outlineLevel="0" collapsed="false">
      <c r="A300" s="191"/>
      <c r="B300" s="191"/>
      <c r="C300" s="181" t="s">
        <v>479</v>
      </c>
      <c r="D300" s="203"/>
      <c r="E300" s="204"/>
      <c r="F300" s="191"/>
      <c r="G300" s="97"/>
      <c r="H300" s="97"/>
      <c r="I300" s="97"/>
      <c r="J300" s="196"/>
    </row>
    <row r="301" s="96" customFormat="true" ht="15.75" hidden="false" customHeight="true" outlineLevel="0" collapsed="false">
      <c r="A301" s="190"/>
      <c r="B301" s="190"/>
      <c r="C301" s="185" t="n">
        <f aca="false">$I$147</f>
        <v>632.4</v>
      </c>
      <c r="D301" s="205"/>
      <c r="E301" s="206"/>
      <c r="F301" s="189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7" t="n">
        <f aca="false">$J$147</f>
        <v>10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5" t="n">
        <f aca="false">$I$148</f>
        <v>2158</v>
      </c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C304" s="187" t="n">
        <f aca="false">$J$148</f>
        <v>10</v>
      </c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D306" s="98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4" t="s">
        <v>591</v>
      </c>
      <c r="D307" s="98"/>
      <c r="E307" s="97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181" t="s">
        <v>475</v>
      </c>
      <c r="D308" s="181"/>
      <c r="E308" s="181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249" t="s">
        <v>476</v>
      </c>
      <c r="D309" s="249"/>
      <c r="E309" s="249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5" t="n">
        <f aca="false">$I$149</f>
        <v>2308</v>
      </c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C311" s="187" t="n">
        <f aca="false">$J$149+$J$150</f>
        <v>2</v>
      </c>
      <c r="D311" s="181"/>
      <c r="E311" s="181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LEFT($J$111,13)&amp;"-03"</f>
        <v>FG-240-5P2L3R-03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A316" s="97"/>
      <c r="B316" s="49"/>
      <c r="C316" s="49"/>
      <c r="D316" s="207"/>
      <c r="E316" s="200"/>
      <c r="F316" s="200"/>
      <c r="G316" s="200"/>
      <c r="H316" s="200"/>
      <c r="I316" s="208"/>
      <c r="J316" s="77" t="str">
        <f aca="false">$J$2</f>
        <v>HOMELIFE</v>
      </c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B324" s="81"/>
      <c r="D324" s="98"/>
      <c r="E324" s="83"/>
      <c r="F324" s="183"/>
      <c r="G324" s="183"/>
      <c r="H324" s="183"/>
      <c r="I324" s="83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240-5 Panel (2L3R)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195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91"/>
      <c r="D405" s="98"/>
      <c r="E405" s="97"/>
      <c r="F405" s="97"/>
      <c r="G405" s="97"/>
      <c r="H405" s="97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LEFT($J$111,13)&amp;"-04"</f>
        <v>FG-240-5P2L3R-04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77" t="str">
        <f aca="false">$J$2</f>
        <v>HOMELIFE</v>
      </c>
      <c r="K423" s="78"/>
      <c r="L423" s="78"/>
      <c r="M423" s="79"/>
      <c r="N423" s="79"/>
    </row>
    <row r="424" customFormat="false" ht="24.75" hidden="false" customHeight="true" outlineLevel="0" collapsed="false">
      <c r="A424" s="97"/>
      <c r="B424" s="96"/>
      <c r="C424" s="96"/>
      <c r="D424" s="98"/>
      <c r="E424" s="97"/>
      <c r="F424" s="97"/>
      <c r="G424" s="97"/>
      <c r="H424" s="97"/>
      <c r="I424" s="97"/>
      <c r="J424" s="80" t="str">
        <f aca="false">$J$3</f>
        <v>Fabricators Guide</v>
      </c>
      <c r="K424" s="78"/>
      <c r="L424" s="78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$J$4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240-5 Panel (2L3R)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191"/>
      <c r="C442" s="212"/>
      <c r="D442" s="98"/>
      <c r="E442" s="97"/>
      <c r="F442" s="97"/>
      <c r="H442" s="191"/>
      <c r="I442" s="191"/>
      <c r="J442" s="199"/>
    </row>
    <row r="443" s="96" customFormat="true" ht="15.75" hidden="false" customHeight="true" outlineLevel="0" collapsed="false">
      <c r="A443" s="190"/>
      <c r="C443" s="191"/>
      <c r="D443" s="192"/>
      <c r="E443" s="191"/>
      <c r="F443" s="191"/>
      <c r="H443" s="191"/>
      <c r="I443" s="191"/>
      <c r="J443" s="199"/>
    </row>
    <row r="444" customFormat="false" ht="15" hidden="false" customHeight="true" outlineLevel="0" collapsed="false">
      <c r="B444" s="211"/>
      <c r="C444" s="98"/>
      <c r="D444" s="98"/>
      <c r="E444" s="97"/>
      <c r="F444" s="98"/>
      <c r="G444" s="97"/>
      <c r="H444" s="97"/>
    </row>
    <row r="449" s="96" customFormat="true" ht="15.75" hidden="false" customHeight="true" outlineLevel="0" collapsed="false">
      <c r="A449" s="97"/>
      <c r="D449" s="73"/>
      <c r="I449" s="196"/>
      <c r="J449" s="196"/>
    </row>
    <row r="450" s="96" customFormat="true" ht="15.75" hidden="false" customHeight="true" outlineLevel="0" collapsed="false">
      <c r="A450" s="97"/>
      <c r="D450" s="98"/>
      <c r="E450" s="97"/>
      <c r="F450" s="98"/>
      <c r="G450" s="97"/>
      <c r="H450" s="97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C453" s="191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98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97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196"/>
      <c r="J456" s="196"/>
    </row>
    <row r="457" s="96" customFormat="true" ht="15.75" hidden="false" customHeight="true" outlineLevel="0" collapsed="false">
      <c r="A457" s="97"/>
      <c r="D457" s="98"/>
      <c r="E457" s="97"/>
      <c r="F457" s="97"/>
      <c r="G457" s="97"/>
      <c r="H457" s="97"/>
      <c r="I457" s="196"/>
      <c r="J457" s="196"/>
    </row>
    <row r="458" s="96" customFormat="true" ht="15" hidden="false" customHeight="true" outlineLevel="0" collapsed="false">
      <c r="A458" s="97"/>
      <c r="D458" s="98"/>
      <c r="E458" s="97"/>
      <c r="F458" s="97"/>
      <c r="G458" s="97"/>
      <c r="H458" s="195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97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202" customFormat="true" ht="15.75" hidden="false" customHeight="true" outlineLevel="0" collapsed="false">
      <c r="A476" s="97"/>
      <c r="B476" s="96"/>
      <c r="C476" s="96"/>
      <c r="D476" s="98"/>
      <c r="E476" s="97"/>
      <c r="F476" s="97"/>
      <c r="G476" s="97"/>
      <c r="H476" s="97"/>
      <c r="I476" s="97"/>
      <c r="J476" s="97"/>
    </row>
    <row r="477" s="96" customFormat="true" ht="15.75" hidden="false" customHeight="true" outlineLevel="0" collapsed="false">
      <c r="A477" s="191"/>
      <c r="D477" s="98"/>
      <c r="E477" s="97"/>
      <c r="F477" s="97"/>
      <c r="G477" s="97"/>
      <c r="H477" s="97"/>
      <c r="I477" s="191"/>
      <c r="J477" s="199"/>
    </row>
    <row r="478" s="96" customFormat="true" ht="15.75" hidden="false" customHeight="true" outlineLevel="0" collapsed="false">
      <c r="A478" s="190"/>
      <c r="B478" s="191"/>
      <c r="C478" s="191"/>
      <c r="D478" s="192"/>
      <c r="E478" s="191"/>
      <c r="F478" s="191"/>
      <c r="G478" s="191"/>
      <c r="H478" s="191"/>
      <c r="I478" s="189"/>
      <c r="J478" s="190"/>
    </row>
    <row r="479" s="96" customFormat="true" ht="15.75" hidden="false" customHeight="true" outlineLevel="0" collapsed="false">
      <c r="A479" s="200"/>
      <c r="B479" s="190"/>
      <c r="C479" s="191"/>
      <c r="D479" s="194"/>
      <c r="E479" s="190"/>
      <c r="F479" s="189"/>
      <c r="G479" s="190"/>
      <c r="H479" s="189"/>
      <c r="I479" s="196"/>
      <c r="J479" s="196"/>
    </row>
    <row r="480" s="96" customFormat="true" ht="15.75" hidden="false" customHeight="true" outlineLevel="0" collapsed="false">
      <c r="A480" s="200"/>
      <c r="C480" s="182"/>
      <c r="D480" s="98"/>
      <c r="E480" s="97"/>
      <c r="F480" s="97"/>
      <c r="G480" s="97"/>
      <c r="H480" s="182"/>
      <c r="J480" s="97"/>
    </row>
    <row r="481" s="96" customFormat="true" ht="15.75" hidden="false" customHeight="true" outlineLevel="0" collapsed="false">
      <c r="A481" s="200"/>
      <c r="C481" s="98"/>
      <c r="D481" s="98"/>
      <c r="E481" s="97"/>
      <c r="F481" s="97"/>
      <c r="G481" s="97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I482" s="196"/>
      <c r="J482" s="196"/>
    </row>
    <row r="483" s="96" customFormat="true" ht="15.75" hidden="false" customHeight="true" outlineLevel="0" collapsed="false">
      <c r="A483" s="200"/>
      <c r="D483" s="98"/>
      <c r="E483" s="97"/>
      <c r="F483" s="97"/>
      <c r="G483" s="97"/>
      <c r="H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C486" s="98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G495" s="97"/>
      <c r="H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182"/>
      <c r="J498" s="97"/>
    </row>
    <row r="499" s="96" customFormat="true" ht="15.75" hidden="false" customHeight="true" outlineLevel="0" collapsed="false">
      <c r="A499" s="200"/>
      <c r="C499" s="188"/>
      <c r="D499" s="98"/>
      <c r="E499" s="97"/>
      <c r="F499" s="97"/>
      <c r="G499" s="97"/>
      <c r="J499" s="97"/>
    </row>
    <row r="500" s="96" customFormat="true" ht="15.75" hidden="false" customHeight="true" outlineLevel="0" collapsed="false">
      <c r="A500" s="200"/>
      <c r="D500" s="98"/>
      <c r="E500" s="97"/>
      <c r="F500" s="97"/>
      <c r="G500" s="97"/>
      <c r="I500" s="196"/>
      <c r="J500" s="196"/>
    </row>
    <row r="501" s="96" customFormat="true" ht="15.75" hidden="false" customHeight="true" outlineLevel="0" collapsed="false">
      <c r="A501" s="200"/>
      <c r="C501" s="98"/>
      <c r="D501" s="98"/>
      <c r="E501" s="97"/>
      <c r="F501" s="97"/>
      <c r="G501" s="97"/>
      <c r="H501" s="182"/>
      <c r="J501" s="97"/>
    </row>
    <row r="502" s="96" customFormat="true" ht="15.75" hidden="false" customHeight="true" outlineLevel="0" collapsed="false">
      <c r="A502" s="200"/>
      <c r="D502" s="98"/>
      <c r="E502" s="97"/>
      <c r="F502" s="97"/>
      <c r="G502" s="97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I503" s="196"/>
      <c r="J503" s="196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H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196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97"/>
      <c r="J513" s="196"/>
    </row>
    <row r="514" s="96" customFormat="true" ht="15.75" hidden="false" customHeight="true" outlineLevel="0" collapsed="false">
      <c r="A514" s="200"/>
      <c r="D514" s="98"/>
      <c r="E514" s="97"/>
      <c r="F514" s="97"/>
      <c r="G514" s="97"/>
      <c r="H514" s="97"/>
      <c r="I514" s="212"/>
      <c r="J514" s="195"/>
    </row>
    <row r="515" s="96" customFormat="true" ht="15.75" hidden="false" customHeight="true" outlineLevel="0" collapsed="false">
      <c r="A515" s="200"/>
      <c r="D515" s="98"/>
      <c r="E515" s="97"/>
      <c r="F515" s="97"/>
      <c r="G515" s="97"/>
      <c r="H515" s="238"/>
      <c r="J515" s="97"/>
    </row>
    <row r="516" s="96" customFormat="true" ht="15.75" hidden="false" customHeight="true" outlineLevel="0" collapsed="false">
      <c r="A516" s="191"/>
      <c r="B516" s="191"/>
      <c r="C516" s="191"/>
      <c r="D516" s="192"/>
      <c r="E516" s="191"/>
      <c r="F516" s="191"/>
      <c r="G516" s="191"/>
      <c r="H516" s="191"/>
      <c r="I516" s="191"/>
      <c r="J516" s="199"/>
    </row>
    <row r="517" s="96" customFormat="true" ht="15.75" hidden="false" customHeight="true" outlineLevel="0" collapsed="false">
      <c r="B517" s="191"/>
      <c r="C517" s="191"/>
      <c r="D517" s="192"/>
      <c r="E517" s="191"/>
      <c r="F517" s="191"/>
      <c r="G517" s="191"/>
      <c r="H517" s="191"/>
    </row>
    <row r="518" s="96" customFormat="true" ht="15.75" hidden="false" customHeight="true" outlineLevel="0" collapsed="false"/>
    <row r="519" s="96" customFormat="true" ht="24.75" hidden="false" customHeight="true" outlineLevel="0" collapsed="false">
      <c r="A519" s="88" t="s">
        <v>482</v>
      </c>
      <c r="B519" s="88"/>
      <c r="C519" s="88"/>
      <c r="D519" s="88"/>
      <c r="E519" s="88"/>
      <c r="F519" s="88"/>
      <c r="G519" s="88"/>
      <c r="H519" s="88"/>
      <c r="I519" s="88"/>
      <c r="J519" s="88"/>
    </row>
    <row r="520" s="96" customFormat="true" ht="34.5" hidden="false" customHeight="true" outlineLevel="0" collapsed="false">
      <c r="A520" s="114" t="s">
        <v>319</v>
      </c>
      <c r="B520" s="115" t="s">
        <v>168</v>
      </c>
      <c r="C520" s="115" t="s">
        <v>168</v>
      </c>
      <c r="D520" s="116" t="s">
        <v>483</v>
      </c>
      <c r="E520" s="115" t="s">
        <v>321</v>
      </c>
      <c r="F520" s="239" t="s">
        <v>484</v>
      </c>
      <c r="G520" s="240"/>
      <c r="H520" s="116" t="s">
        <v>484</v>
      </c>
      <c r="I520" s="116" t="s">
        <v>485</v>
      </c>
      <c r="J520" s="117" t="s">
        <v>323</v>
      </c>
      <c r="N520" s="118" t="s">
        <v>168</v>
      </c>
      <c r="O520" s="118" t="s">
        <v>168</v>
      </c>
    </row>
    <row r="521" s="96" customFormat="true" ht="15.75" hidden="false" customHeight="true" outlineLevel="0" collapsed="false">
      <c r="A521" s="120" t="n">
        <f aca="false">IF(C521="","",1)</f>
        <v>1</v>
      </c>
      <c r="B521" s="121" t="str">
        <f aca="false">IF($D$127=5,N521,IF($D$127=6,N522,IF($D$127=8,N523,IF($D$127=10,N524,IF($D$127=12,N525,IF($D$127=14,N526,IF($D$127=18,N527,IF($D$127=20,N528,IF($D$127=22,N529,)))))))))</f>
        <v>กระจก 6 mm (สูง) (กว้าง)</v>
      </c>
      <c r="C521" s="121" t="str">
        <f aca="false">IF($D$127=5,O521,IF($D$127=6,O522,IF($D$127=8,O523,IF($D$127=10,O524,IF($D$127=12,O525,IF($D$127=14,O526,IF($D$127=18,O527,IF($D$127=20,O528,IF($D$127=22,O529,)))))))))</f>
        <v>GLASS thk.6 mm (H) (W)</v>
      </c>
      <c r="D521" s="123" t="n">
        <f aca="false">$J$123-215</f>
        <v>2185</v>
      </c>
      <c r="E521" s="120" t="s">
        <v>486</v>
      </c>
      <c r="F521" s="224" t="s">
        <v>487</v>
      </c>
      <c r="G521" s="224"/>
      <c r="H521" s="120" t="s">
        <v>648</v>
      </c>
      <c r="I521" s="225" t="n">
        <f aca="false">(($J$126-185-(113.25*4))/5)-13</f>
        <v>619.4</v>
      </c>
      <c r="J521" s="226" t="n">
        <f aca="false">$J$120*5</f>
        <v>5</v>
      </c>
      <c r="M521" s="96" t="n">
        <f aca="false">ROW()</f>
        <v>521</v>
      </c>
      <c r="N521" s="62" t="s">
        <v>489</v>
      </c>
      <c r="O521" s="62" t="s">
        <v>490</v>
      </c>
    </row>
    <row r="522" s="96" customFormat="true" ht="15.75" hidden="false" customHeight="true" outlineLevel="0" collapsed="false">
      <c r="A522" s="269"/>
      <c r="B522" s="228"/>
      <c r="C522" s="228"/>
      <c r="D522" s="176"/>
      <c r="E522" s="167"/>
      <c r="F522" s="229"/>
      <c r="G522" s="230"/>
      <c r="H522" s="167"/>
      <c r="I522" s="231"/>
      <c r="J522" s="232"/>
      <c r="M522" s="96" t="n">
        <f aca="false">ROW()</f>
        <v>522</v>
      </c>
      <c r="N522" s="62" t="s">
        <v>491</v>
      </c>
      <c r="O522" s="62" t="s">
        <v>492</v>
      </c>
    </row>
    <row r="523" s="96" customFormat="true" ht="15.75" hidden="false" customHeight="true" outlineLevel="0" collapsed="false">
      <c r="A523" s="269"/>
      <c r="B523" s="228"/>
      <c r="C523" s="228"/>
      <c r="D523" s="176"/>
      <c r="E523" s="167"/>
      <c r="F523" s="229"/>
      <c r="G523" s="230"/>
      <c r="H523" s="167"/>
      <c r="I523" s="231"/>
      <c r="J523" s="232"/>
      <c r="M523" s="96" t="n">
        <f aca="false">ROW()</f>
        <v>523</v>
      </c>
      <c r="N523" s="62" t="s">
        <v>493</v>
      </c>
      <c r="O523" s="62" t="s">
        <v>494</v>
      </c>
    </row>
    <row r="524" s="96" customFormat="true" ht="15.75" hidden="false" customHeight="true" outlineLevel="0" collapsed="false">
      <c r="A524" s="130" t="str">
        <f aca="false">IF(B524="","",+""+1)</f>
        <v/>
      </c>
      <c r="B524" s="131"/>
      <c r="C524" s="131"/>
      <c r="D524" s="132"/>
      <c r="E524" s="130"/>
      <c r="F524" s="233"/>
      <c r="G524" s="270"/>
      <c r="H524" s="130"/>
      <c r="I524" s="142"/>
      <c r="J524" s="133"/>
      <c r="M524" s="96" t="n">
        <f aca="false">ROW()</f>
        <v>524</v>
      </c>
      <c r="N524" s="62" t="s">
        <v>495</v>
      </c>
      <c r="O524" s="62" t="s">
        <v>496</v>
      </c>
    </row>
    <row r="525" s="96" customFormat="true" ht="15.75" hidden="false" customHeight="true" outlineLevel="0" collapsed="false">
      <c r="A525" s="136" t="str">
        <f aca="false">IF(B525="","",+A524+1)</f>
        <v/>
      </c>
      <c r="B525" s="135"/>
      <c r="C525" s="135"/>
      <c r="D525" s="139"/>
      <c r="E525" s="136"/>
      <c r="F525" s="236"/>
      <c r="G525" s="237"/>
      <c r="H525" s="136"/>
      <c r="I525" s="180"/>
      <c r="J525" s="140"/>
      <c r="M525" s="96" t="n">
        <f aca="false">ROW()</f>
        <v>525</v>
      </c>
      <c r="N525" s="62" t="s">
        <v>497</v>
      </c>
      <c r="O525" s="62" t="s">
        <v>498</v>
      </c>
    </row>
    <row r="526" s="96" customFormat="true" ht="15.75" hidden="false" customHeight="true" outlineLevel="0" collapsed="false">
      <c r="A526" s="97"/>
      <c r="D526" s="98"/>
      <c r="E526" s="97"/>
      <c r="F526" s="97"/>
      <c r="G526" s="97"/>
      <c r="H526" s="97"/>
      <c r="I526" s="97"/>
      <c r="J526" s="196"/>
      <c r="M526" s="96" t="n">
        <f aca="false">ROW()</f>
        <v>526</v>
      </c>
      <c r="N526" s="62" t="s">
        <v>499</v>
      </c>
      <c r="O526" s="62" t="s">
        <v>500</v>
      </c>
    </row>
    <row r="527" customFormat="false" ht="14.25" hidden="false" customHeight="false" outlineLevel="0" collapsed="false">
      <c r="J527" s="92" t="str">
        <f aca="false">LEFT($J$111,13)&amp;"-05"</f>
        <v>FG-240-5P2L3R-05</v>
      </c>
      <c r="M527" s="96" t="n">
        <f aca="false">ROW()</f>
        <v>527</v>
      </c>
      <c r="N527" s="62" t="s">
        <v>501</v>
      </c>
      <c r="O527" s="62" t="s">
        <v>502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503</v>
      </c>
      <c r="O528" s="62" t="s">
        <v>504</v>
      </c>
    </row>
    <row r="529" customFormat="false" ht="14.25" hidden="false" customHeight="false" outlineLevel="0" collapsed="false">
      <c r="M529" s="96" t="n">
        <f aca="false">ROW()</f>
        <v>529</v>
      </c>
      <c r="N529" s="62" t="s">
        <v>505</v>
      </c>
      <c r="O529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8"/>
    <mergeCell ref="H163:H168"/>
    <mergeCell ref="I166:J167"/>
    <mergeCell ref="I168:J168"/>
    <mergeCell ref="D169:D170"/>
    <mergeCell ref="H169:H170"/>
    <mergeCell ref="D171:D172"/>
    <mergeCell ref="H171:H172"/>
    <mergeCell ref="A173:J173"/>
    <mergeCell ref="A213:J213"/>
    <mergeCell ref="C309:E309"/>
    <mergeCell ref="A320:J320"/>
    <mergeCell ref="F330:G330"/>
    <mergeCell ref="F331:G331"/>
    <mergeCell ref="F334:G334"/>
    <mergeCell ref="A427:J427"/>
    <mergeCell ref="A519:J519"/>
    <mergeCell ref="F521:G521"/>
  </mergeCells>
  <dataValidations count="4">
    <dataValidation allowBlank="true" errorStyle="stop" operator="between" showDropDown="false" showErrorMessage="true" showInputMessage="true" sqref="D127:G127" type="list">
      <formula1>$N$120:$N$128</formula1>
      <formula2>0</formula2>
    </dataValidation>
    <dataValidation allowBlank="true" errorStyle="stop" operator="between" showDropDown="false" showErrorMessage="true" showInputMessage="true" sqref="C206" type="list">
      <formula1>$O$175:$O$193</formula1>
      <formula2>0</formula2>
    </dataValidation>
    <dataValidation allowBlank="true" errorStyle="stop" operator="between" showDropDown="false" showErrorMessage="true" showInputMessage="true" sqref="D129:G129" type="list">
      <formula1>$O$120</formula1>
      <formula2>0</formula2>
    </dataValidation>
    <dataValidation allowBlank="true" errorStyle="stop" operator="between" showDropDown="false" showErrorMessage="true" showInputMessage="true" sqref="D123:G123" type="list">
      <formula1>$P$119:$P$128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529"/>
  <sheetViews>
    <sheetView showFormulas="false" showGridLines="false" showRowColHeaders="true" showZeros="true" rightToLeft="false" tabSelected="false" showOutlineSymbols="true" defaultGridColor="true" view="pageBreakPreview" topLeftCell="A127" colorId="64" zoomScale="75" zoomScaleNormal="75" zoomScalePageLayoutView="75" workbookViewId="0">
      <selection pane="topLeft" activeCell="C138" activeCellId="0" sqref="C138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0.33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8.67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6"/>
    <col collapsed="false" customWidth="true" hidden="true" outlineLevel="1" max="16" min="16" style="0" width="35.44"/>
    <col collapsed="false" customWidth="true" hidden="true" outlineLevel="1" max="17" min="17" style="0" width="9.56"/>
    <col collapsed="false" customWidth="true" hidden="true" outlineLevel="1" max="18" min="18" style="0" width="14.33"/>
    <col collapsed="false" customWidth="true" hidden="true" outlineLevel="1" max="19" min="19" style="0" width="18.11"/>
    <col collapsed="false" customWidth="true" hidden="true" outlineLevel="1" max="20" min="20" style="0" width="15.44"/>
    <col collapsed="false" customWidth="true" hidden="true" outlineLevel="1" max="21" min="21" style="0" width="24.11"/>
    <col collapsed="false" customWidth="true" hidden="true" outlineLevel="1" max="22" min="22" style="0" width="11"/>
    <col collapsed="false" customWidth="true" hidden="true" outlineLevel="1" max="23" min="23" style="0" width="10.88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654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>
      <c r="G45" s="91"/>
    </row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655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5" hidden="false" customHeight="true" outlineLevel="0" collapsed="false">
      <c r="A118" s="97"/>
      <c r="C118" s="81"/>
      <c r="D118" s="98"/>
      <c r="E118" s="83"/>
      <c r="J118" s="99"/>
      <c r="K118" s="83"/>
    </row>
    <row r="119" s="96" customFormat="true" ht="15" hidden="false" customHeight="true" outlineLevel="0" collapsed="false">
      <c r="A119" s="97"/>
      <c r="C119" s="100" t="s">
        <v>286</v>
      </c>
      <c r="D119" s="101"/>
      <c r="E119" s="101"/>
      <c r="F119" s="101"/>
      <c r="G119" s="101"/>
      <c r="I119" s="83"/>
      <c r="J119" s="97"/>
      <c r="N119" s="258" t="s">
        <v>288</v>
      </c>
      <c r="O119" s="97" t="s">
        <v>289</v>
      </c>
      <c r="P119" s="102" t="s">
        <v>290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5</v>
      </c>
      <c r="O120" s="97" t="s">
        <v>509</v>
      </c>
      <c r="P120" s="106" t="s">
        <v>294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6</v>
      </c>
      <c r="O121" s="97" t="s">
        <v>296</v>
      </c>
      <c r="P121" s="106" t="s">
        <v>297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8</v>
      </c>
      <c r="P122" s="106" t="s">
        <v>299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2355</v>
      </c>
      <c r="N123" s="259" t="n">
        <v>10</v>
      </c>
      <c r="P123" s="106" t="s">
        <v>303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12</v>
      </c>
      <c r="P124" s="106" t="s">
        <v>305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14</v>
      </c>
      <c r="P125" s="106" t="s">
        <v>308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2795</v>
      </c>
      <c r="K126" s="110"/>
      <c r="L126" s="110"/>
      <c r="N126" s="259" t="n">
        <v>18</v>
      </c>
      <c r="P126" s="106" t="s">
        <v>311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259" t="n">
        <v>20</v>
      </c>
      <c r="P127" s="106" t="s">
        <v>313</v>
      </c>
    </row>
    <row r="128" s="96" customFormat="true" ht="18.75" hidden="false" customHeight="true" outlineLevel="0" collapsed="false">
      <c r="C128" s="108" t="s">
        <v>314</v>
      </c>
      <c r="I128" s="97"/>
      <c r="J128" s="97"/>
      <c r="N128" s="259" t="n">
        <v>22</v>
      </c>
      <c r="P128" s="106" t="s">
        <v>315</v>
      </c>
    </row>
    <row r="129" s="96" customFormat="true" ht="15" hidden="false" customHeight="true" outlineLevel="0" collapsed="false">
      <c r="A129" s="89" t="str">
        <f aca="false">A18</f>
        <v>240-5 Panel (3L2R)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2735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10</v>
      </c>
      <c r="U133" s="127" t="s">
        <v>644</v>
      </c>
      <c r="V133" s="128" t="n">
        <f aca="false">($J$126-185-(113.25*4))/5</f>
        <v>431.4</v>
      </c>
      <c r="W133" s="129" t="n">
        <f aca="false">$J$121*T133</f>
        <v>0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2709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10</v>
      </c>
      <c r="U134" s="130" t="s">
        <v>644</v>
      </c>
      <c r="V134" s="128" t="n">
        <f aca="false">($J$126-185-(113.25*4))/5</f>
        <v>431.4</v>
      </c>
      <c r="W134" s="134" t="n">
        <f aca="false">$J$121*T134</f>
        <v>0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2735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10</v>
      </c>
      <c r="U135" s="136" t="s">
        <v>644</v>
      </c>
      <c r="V135" s="128" t="n">
        <f aca="false">($J$126-185-(113.25*4))/5</f>
        <v>431.4</v>
      </c>
      <c r="W135" s="137" t="n">
        <f aca="false">$J$121*T135</f>
        <v>0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2735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10</v>
      </c>
      <c r="U136" s="127" t="s">
        <v>360</v>
      </c>
      <c r="V136" s="138" t="n">
        <f aca="false">$J$123-242</f>
        <v>2113</v>
      </c>
      <c r="W136" s="129" t="n">
        <f aca="false">$J$121*T136</f>
        <v>0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2355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10</v>
      </c>
      <c r="U137" s="130" t="s">
        <v>360</v>
      </c>
      <c r="V137" s="133" t="n">
        <f aca="false">$J$123-242</f>
        <v>2113</v>
      </c>
      <c r="W137" s="134" t="n">
        <f aca="false">$J$121*T137</f>
        <v>0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2355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10</v>
      </c>
      <c r="U138" s="136" t="s">
        <v>360</v>
      </c>
      <c r="V138" s="140" t="n">
        <f aca="false">$J$123-242</f>
        <v>2113</v>
      </c>
      <c r="W138" s="137" t="n">
        <f aca="false">$J$121*T138</f>
        <v>0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2259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2259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5</v>
      </c>
      <c r="H141" s="130" t="s">
        <v>645</v>
      </c>
      <c r="I141" s="141" t="n">
        <f aca="false">($J$126-60-(5+1)*4)/5</f>
        <v>542.2</v>
      </c>
      <c r="J141" s="134" t="n">
        <f aca="false">$J$120*G141</f>
        <v>5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5</v>
      </c>
      <c r="H142" s="130" t="s">
        <v>645</v>
      </c>
      <c r="I142" s="141" t="n">
        <f aca="false">($J$126-60-(5+1)*4)/5</f>
        <v>542.2</v>
      </c>
      <c r="J142" s="134" t="n">
        <f aca="false">$J$120*G142</f>
        <v>5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7</v>
      </c>
      <c r="H143" s="130" t="s">
        <v>389</v>
      </c>
      <c r="I143" s="133" t="n">
        <f aca="false">$J$123-92</f>
        <v>2263</v>
      </c>
      <c r="J143" s="134" t="n">
        <f aca="false">$J$120*G143</f>
        <v>7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1</v>
      </c>
      <c r="H144" s="130" t="s">
        <v>389</v>
      </c>
      <c r="I144" s="133" t="n">
        <f aca="false">$J$123-92</f>
        <v>2263</v>
      </c>
      <c r="J144" s="134" t="n">
        <f aca="false">$J$120*G144</f>
        <v>1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390</v>
      </c>
      <c r="C145" s="131" t="s">
        <v>656</v>
      </c>
      <c r="D145" s="132" t="s">
        <v>74</v>
      </c>
      <c r="E145" s="130" t="n">
        <v>1.106</v>
      </c>
      <c r="F145" s="132" t="s">
        <v>563</v>
      </c>
      <c r="G145" s="130" t="n">
        <v>1</v>
      </c>
      <c r="H145" s="130" t="s">
        <v>389</v>
      </c>
      <c r="I145" s="133" t="n">
        <f aca="false">$J$123-92</f>
        <v>2263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">
        <v>531</v>
      </c>
      <c r="C146" s="131" t="s">
        <v>532</v>
      </c>
      <c r="D146" s="132" t="s">
        <v>74</v>
      </c>
      <c r="E146" s="130" t="n">
        <v>1.106</v>
      </c>
      <c r="F146" s="176" t="s">
        <v>533</v>
      </c>
      <c r="G146" s="130" t="n">
        <v>1</v>
      </c>
      <c r="H146" s="130" t="s">
        <v>389</v>
      </c>
      <c r="I146" s="133" t="n">
        <f aca="false">$J$123-92</f>
        <v>2263</v>
      </c>
      <c r="J146" s="134" t="n">
        <f aca="false">$J$120*G146</f>
        <v>1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7" s="131" t="str">
        <f aca="false">IF($D$127=5,Q133,IF($D$127=6,Q133,IF($D$127=8,Q134,IF($D$127=10,Q134,IF($D$127=12,Q134,IF($D$127=14,Q135,IF($D$127=18,Q135,IF($D$127=20,Q135,IF($D$127=22,Q135,)))))))))</f>
        <v>B24008</v>
      </c>
      <c r="E147" s="131" t="n">
        <f aca="false">IF($D$127=5,R133,IF($D$127=6,R133,IF($D$127=8,R134,IF($D$127=10,R134,IF($D$127=12,R134,IF($D$127=14,R135,IF($D$127=18,R135,IF($D$127=20,R135,IF($D$127=22,R135,)))))))))</f>
        <v>0.231</v>
      </c>
      <c r="F147" s="131" t="str">
        <f aca="false">IF($D$127=5,S133,IF($D$127=6,S133,IF($D$127=8,S134,IF($D$127=10,S134,IF($D$127=12,S134,IF($D$127=14,S135,IF($D$127=18,S135,IF($D$127=20,S135,IF($D$127=22,S135,)))))))))</f>
        <v>B24008-001</v>
      </c>
      <c r="G147" s="130" t="n">
        <f aca="false">IF($D$127=5,T133,IF($D$127=6,T133,IF($D$127=8,T134,IF($D$127=10,T134,IF($D$127=12,T134,IF($D$127=14,T135,IF($D$127=18,T135,IF($D$127=20,T135,IF($D$127=22,T135,)))))))))</f>
        <v>10</v>
      </c>
      <c r="H147" s="130" t="str">
        <f aca="false">IF($D$127=5,U133,IF($D$127=6,U133,IF($D$127=8,U134,IF($D$127=10,U134,IF($D$127=12,U134,IF($D$127=14,U135,IF($D$127=18,U135,IF($D$127=20,U135,IF($D$127=22,U135,)))))))))</f>
        <v>(W-185-(113.25 × 4))/5</v>
      </c>
      <c r="I147" s="141" t="n">
        <f aca="false">IF($D$127=5,V133,IF($D$127=6,V133,IF($D$127=8,V134,IF($D$127=10,V134,IF($D$127=12,V134,IF($D$127=14,V135,IF($D$127=18,V135,IF($D$127=20,V135,IF($D$127=22,V135,)))))))))</f>
        <v>431.4</v>
      </c>
      <c r="J147" s="134" t="n">
        <f aca="false">$J$120*G147</f>
        <v>10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8" s="131" t="str">
        <f aca="false">IF($D$127=5,Q136,IF($D$127=6,Q136,IF($D$127=8,Q137,IF($D$127=10,Q137,IF($D$127=12,Q137,IF($D$127=14,Q138,IF($D$127=18,Q138,IF($D$127=20,Q138,IF($D$127=22,Q138,)))))))))</f>
        <v>B24008</v>
      </c>
      <c r="E148" s="131" t="n">
        <f aca="false">IF($D$127=5,R136,IF($D$127=6,R136,IF($D$127=8,R137,IF($D$127=10,R137,IF($D$127=12,R137,IF($D$127=14,R138,IF($D$127=18,R138,IF($D$127=20,R138,IF($D$127=22,R138,)))))))))</f>
        <v>0.231</v>
      </c>
      <c r="F148" s="131" t="str">
        <f aca="false">IF($D$127=5,S136,IF($D$127=6,S136,IF($D$127=8,S137,IF($D$127=10,S137,IF($D$127=12,S137,IF($D$127=14,S138,IF($D$127=18,S138,IF($D$127=20,S138,IF($D$127=22,S138,)))))))))</f>
        <v>B24008-002</v>
      </c>
      <c r="G148" s="130" t="n">
        <f aca="false">IF($D$127=5,T136,IF($D$127=6,T136,IF($D$127=8,T137,IF($D$127=10,T137,IF($D$127=12,T137,IF($D$127=14,T138,IF($D$127=18,T138,IF($D$127=20,T138,IF($D$127=22,T138,)))))))))</f>
        <v>10</v>
      </c>
      <c r="H148" s="130" t="str">
        <f aca="false">IF($D$127=5,U136,IF($D$127=6,U136,IF($D$127=8,U137,IF($D$127=10,U137,IF($D$127=12,U137,IF($D$127=14,U138,IF($D$127=18,U138,IF($D$127=20,U138,IF($D$127=22,U138,)))))))))</f>
        <v>H-242</v>
      </c>
      <c r="I148" s="133" t="n">
        <f aca="false">IF($D$127=5,V136,IF($D$127=6,V136,IF($D$127=8,V137,IF($D$127=10,V137,IF($D$127=12,V137,IF($D$127=14,V138,IF($D$127=18,V138,IF($D$127=20,V138,IF($D$127=22,V138,)))))))))</f>
        <v>2113</v>
      </c>
      <c r="J148" s="134" t="n">
        <f aca="false">$J$120*G148</f>
        <v>10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538</v>
      </c>
      <c r="D149" s="132" t="s">
        <v>536</v>
      </c>
      <c r="E149" s="130"/>
      <c r="F149" s="132" t="s">
        <v>537</v>
      </c>
      <c r="G149" s="130" t="n">
        <v>1</v>
      </c>
      <c r="H149" s="130" t="s">
        <v>389</v>
      </c>
      <c r="I149" s="133" t="n">
        <f aca="false">$J$123-92</f>
        <v>2263</v>
      </c>
      <c r="J149" s="134" t="n">
        <f aca="false">$J$120*G149</f>
        <v>1</v>
      </c>
    </row>
    <row r="150" s="96" customFormat="true" ht="18" hidden="false" customHeight="true" outlineLevel="0" collapsed="false">
      <c r="A150" s="130" t="n">
        <f aca="false">IF(B150="","",+A149+1)</f>
        <v>18</v>
      </c>
      <c r="B150" s="131" t="s">
        <v>534</v>
      </c>
      <c r="C150" s="131" t="s">
        <v>535</v>
      </c>
      <c r="D150" s="132" t="s">
        <v>536</v>
      </c>
      <c r="E150" s="130"/>
      <c r="F150" s="132" t="s">
        <v>539</v>
      </c>
      <c r="G150" s="130" t="n">
        <v>1</v>
      </c>
      <c r="H150" s="130" t="s">
        <v>389</v>
      </c>
      <c r="I150" s="133" t="n">
        <f aca="false">$J$123-92</f>
        <v>2263</v>
      </c>
      <c r="J150" s="134" t="n">
        <f aca="false">$J$120*G150</f>
        <v>1</v>
      </c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33"/>
      <c r="J151" s="134"/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2735</v>
      </c>
      <c r="G155" s="155" t="n">
        <f aca="false">VLOOKUP(C155,$C$133:$J$153,8,0)</f>
        <v>1</v>
      </c>
      <c r="H155" s="264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VLOOKUP(C156,$C$133:$I$153,7,0)</f>
        <v>2709</v>
      </c>
      <c r="G156" s="155" t="n">
        <f aca="false">VLOOKUP(C156,$C$133:$J$153,8,0)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VLOOKUP(C157,$C$133:$I$153,7,0)</f>
        <v>2735</v>
      </c>
      <c r="G157" s="155" t="n">
        <f aca="false">VLOOKUP(C157,$C$133:$J$153,8,0)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VLOOKUP(C158,$C$133:$I$153,7,0)</f>
        <v>2735</v>
      </c>
      <c r="G158" s="155" t="n">
        <f aca="false">VLOOKUP(C158,$C$133:$J$153,8,0)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VLOOKUP(C159,$C$133:$I$153,7,0)</f>
        <v>2355</v>
      </c>
      <c r="G159" s="155" t="n">
        <f aca="false">VLOOKUP(C159,$C$133:$J$153,8,0)</f>
        <v>1</v>
      </c>
      <c r="H159" s="160" t="n">
        <f aca="false">ROUNDUP(((F159*G159)+(F160*G160))/6400,0)</f>
        <v>1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VLOOKUP(C160,$C$133:$I$153,7,0)</f>
        <v>2355</v>
      </c>
      <c r="G160" s="155" t="n">
        <f aca="false">VLOOKUP(C160,$C$133:$J$153,8,0)</f>
        <v>1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VLOOKUP(C161,$C$133:$I$153,7,0)</f>
        <v>2259</v>
      </c>
      <c r="G161" s="155" t="n">
        <f aca="false">VLOOKUP(C161,$C$133:$J$153,8,0)</f>
        <v>1</v>
      </c>
      <c r="H161" s="160" t="n">
        <f aca="false">ROUNDUP(((F161*G161)+(F162*G162))/6400,0)</f>
        <v>1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155" t="n">
        <f aca="false">VLOOKUP(C162,$C$133:$H$153,3,0)</f>
        <v>0.235</v>
      </c>
      <c r="F162" s="263" t="n">
        <f aca="false">VLOOKUP(C162,$C$133:$I$153,7,0)</f>
        <v>2259</v>
      </c>
      <c r="G162" s="155" t="n">
        <f aca="false">VLOOKUP(C162,$C$133:$J$153,8,0)</f>
        <v>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155" t="n">
        <f aca="false">VLOOKUP(C163,$C$133:$H$153,3,0)</f>
        <v>1.106</v>
      </c>
      <c r="F163" s="267" t="n">
        <f aca="false">VLOOKUP(C163,$C$133:$I$153,7,0)</f>
        <v>542.2</v>
      </c>
      <c r="G163" s="155" t="n">
        <f aca="false">VLOOKUP(C163,$C$133:$J$153,8,0)</f>
        <v>5</v>
      </c>
      <c r="H163" s="160" t="n">
        <f aca="false">ROUNDUP(((F163*G163)+(F164*G164)+(F165*G165)+(F166*G166)+(F167*G167)+(F168*G168))/6400,0)</f>
        <v>5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155" t="n">
        <f aca="false">VLOOKUP(C164,$C$133:$H$153,3,0)</f>
        <v>1.106</v>
      </c>
      <c r="F164" s="267" t="n">
        <f aca="false">VLOOKUP(C164,$C$133:$I$153,7,0)</f>
        <v>542.2</v>
      </c>
      <c r="G164" s="155" t="n">
        <f aca="false">VLOOKUP(C164,$C$133:$J$153,8,0)</f>
        <v>5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155" t="n">
        <f aca="false">VLOOKUP(C165,$C$133:$H$153,3,0)</f>
        <v>1.106</v>
      </c>
      <c r="F165" s="263" t="n">
        <f aca="false">VLOOKUP(C165,$C$133:$I$153,7,0)</f>
        <v>2263</v>
      </c>
      <c r="G165" s="155" t="n">
        <f aca="false">VLOOKUP(C165,$C$133:$J$153,8,0)</f>
        <v>7</v>
      </c>
      <c r="H165" s="160"/>
      <c r="I165" s="161"/>
      <c r="J165" s="161"/>
    </row>
    <row r="166" s="96" customFormat="true" ht="13.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155" t="n">
        <f aca="false">VLOOKUP(C166,$C$133:$H$153,3,0)</f>
        <v>1.106</v>
      </c>
      <c r="F166" s="263" t="n">
        <f aca="false">VLOOKUP(C166,$C$133:$I$153,7,0)</f>
        <v>2263</v>
      </c>
      <c r="G166" s="155" t="n">
        <f aca="false">VLOOKUP(C166,$C$133:$J$153,8,0)</f>
        <v>1</v>
      </c>
      <c r="H166" s="160"/>
      <c r="I166" s="161"/>
      <c r="J166" s="161"/>
    </row>
    <row r="167" s="96" customFormat="true" ht="13.5" hidden="false" customHeight="true" outlineLevel="1" collapsed="false">
      <c r="A167" s="158" t="n">
        <f aca="false">IF(B167="","",+A166+1)</f>
        <v>13</v>
      </c>
      <c r="B167" s="153" t="str">
        <f aca="false">B145</f>
        <v>เสากุญแจ</v>
      </c>
      <c r="C167" s="153" t="str">
        <f aca="false">C145</f>
        <v>SASH (Ver) LOCK  </v>
      </c>
      <c r="D167" s="159"/>
      <c r="E167" s="155" t="n">
        <f aca="false">VLOOKUP(C167,$C$133:$H$153,3,0)</f>
        <v>1.106</v>
      </c>
      <c r="F167" s="263" t="n">
        <f aca="false">VLOOKUP(C167,$C$133:$I$153,7,0)</f>
        <v>2263</v>
      </c>
      <c r="G167" s="155" t="n">
        <f aca="false">VLOOKUP(C167,$C$133:$J$153,8,0)</f>
        <v>1</v>
      </c>
      <c r="H167" s="160"/>
      <c r="I167" s="161"/>
      <c r="J167" s="161"/>
    </row>
    <row r="168" s="96" customFormat="true" ht="15" hidden="false" customHeight="true" outlineLevel="1" collapsed="false">
      <c r="A168" s="158" t="n">
        <f aca="false">IF(B168="","",+A167+1)</f>
        <v>14</v>
      </c>
      <c r="B168" s="153" t="str">
        <f aca="false">B146</f>
        <v>เสากุญแจมือจับ</v>
      </c>
      <c r="C168" s="153" t="str">
        <f aca="false">C146</f>
        <v>SASH (Ver) LOCK HANDLE</v>
      </c>
      <c r="D168" s="159"/>
      <c r="E168" s="155" t="n">
        <f aca="false">VLOOKUP(C168,$C$133:$H$153,3,0)</f>
        <v>1.106</v>
      </c>
      <c r="F168" s="263" t="n">
        <f aca="false">VLOOKUP(C168,$C$133:$I$153,7,0)</f>
        <v>2263</v>
      </c>
      <c r="G168" s="155" t="n">
        <f aca="false">VLOOKUP(C168,$C$133:$J$153,8,0)</f>
        <v>1</v>
      </c>
      <c r="H168" s="160"/>
      <c r="I168" s="265"/>
      <c r="J168" s="265"/>
    </row>
    <row r="169" s="96" customFormat="true" ht="15" hidden="false" customHeight="true" outlineLevel="1" collapsed="false">
      <c r="A169" s="158" t="n">
        <f aca="false">IF(B169="","",+A168+1)</f>
        <v>15</v>
      </c>
      <c r="B169" s="153" t="str">
        <f aca="false">B147</f>
        <v>5-6mm คิ้วตบกระจกแนวนอน</v>
      </c>
      <c r="C169" s="153" t="str">
        <f aca="false">C147</f>
        <v>5-6mm GLAZING BEAD HORIZONTAL</v>
      </c>
      <c r="D169" s="159" t="str">
        <f aca="false">VLOOKUP(C169,$C$133:$H$153,2,0)</f>
        <v>B24008</v>
      </c>
      <c r="E169" s="155" t="n">
        <f aca="false">VLOOKUP(C169,$C$133:$H$153,3,0)</f>
        <v>0.231</v>
      </c>
      <c r="F169" s="267" t="n">
        <f aca="false">VLOOKUP(C169,$C$133:$I$153,7,0)</f>
        <v>431.4</v>
      </c>
      <c r="G169" s="155" t="n">
        <f aca="false">VLOOKUP(C169,$C$133:$J$153,8,0)</f>
        <v>10</v>
      </c>
      <c r="H169" s="160" t="n">
        <f aca="false">ROUNDUP(((F169*G169)+(F170*G170))/6400,0)</f>
        <v>4</v>
      </c>
      <c r="I169" s="196"/>
      <c r="J169" s="196"/>
    </row>
    <row r="170" s="96" customFormat="true" ht="15" hidden="false" customHeight="true" outlineLevel="1" collapsed="false">
      <c r="A170" s="158" t="n">
        <f aca="false">IF(B170="","",+A169+1)</f>
        <v>16</v>
      </c>
      <c r="B170" s="153" t="str">
        <f aca="false">B148</f>
        <v>5-6mm คิ้วตบกระจกแนวตั้ง</v>
      </c>
      <c r="C170" s="153" t="str">
        <f aca="false">C148</f>
        <v>5-6mm GLAZING BEAD VERTICAL</v>
      </c>
      <c r="D170" s="159"/>
      <c r="E170" s="155" t="n">
        <f aca="false">VLOOKUP(C170,$C$133:$H$153,3,0)</f>
        <v>0.231</v>
      </c>
      <c r="F170" s="263" t="n">
        <f aca="false">VLOOKUP(C170,$C$133:$I$153,7,0)</f>
        <v>2113</v>
      </c>
      <c r="G170" s="155" t="n">
        <f aca="false">VLOOKUP(C170,$C$133:$J$153,8,0)</f>
        <v>10</v>
      </c>
      <c r="H170" s="160"/>
      <c r="I170" s="196"/>
      <c r="J170" s="196"/>
    </row>
    <row r="171" s="96" customFormat="true" ht="13.5" hidden="false" customHeight="true" outlineLevel="1" collapsed="false">
      <c r="A171" s="158" t="n">
        <f aca="false">IF(B171="","",+A170+1)</f>
        <v>17</v>
      </c>
      <c r="B171" s="153" t="str">
        <f aca="false">B149</f>
        <v>บังใบ</v>
      </c>
      <c r="C171" s="153" t="str">
        <f aca="false">C149</f>
        <v>SASH STOP </v>
      </c>
      <c r="D171" s="163" t="str">
        <f aca="false">VLOOKUP(C171,$C$133:$H$153,2,0)</f>
        <v>B24009</v>
      </c>
      <c r="E171" s="155" t="n">
        <f aca="false">VLOOKUP(C171,$C$133:$H$153,3,0)</f>
        <v>0</v>
      </c>
      <c r="F171" s="263" t="n">
        <f aca="false">VLOOKUP(C171,$C$133:$I$153,7,0)</f>
        <v>2263</v>
      </c>
      <c r="G171" s="155" t="n">
        <f aca="false">VLOOKUP(C171,$C$133:$J$153,8,0)</f>
        <v>1</v>
      </c>
      <c r="H171" s="160" t="n">
        <f aca="false">ROUNDUP(((F171*G171)+(F172*G172))/6400,0)</f>
        <v>1</v>
      </c>
      <c r="I171" s="196"/>
      <c r="J171" s="196"/>
    </row>
    <row r="172" s="96" customFormat="true" ht="14.25" hidden="false" customHeight="false" outlineLevel="1" collapsed="false">
      <c r="A172" s="158" t="n">
        <f aca="false">IF(B172="","",+A171+1)</f>
        <v>18</v>
      </c>
      <c r="B172" s="153" t="str">
        <f aca="false">B150</f>
        <v>บังใบ</v>
      </c>
      <c r="C172" s="153" t="str">
        <f aca="false">C150</f>
        <v>SASH STOP</v>
      </c>
      <c r="D172" s="163"/>
      <c r="E172" s="155" t="n">
        <f aca="false">VLOOKUP(C172,$C$133:$H$153,3,0)</f>
        <v>0</v>
      </c>
      <c r="F172" s="263" t="n">
        <f aca="false">VLOOKUP(C172,$C$133:$I$153,7,0)</f>
        <v>2263</v>
      </c>
      <c r="G172" s="155" t="n">
        <f aca="false">VLOOKUP(C172,$C$133:$J$153,8,0)</f>
        <v>1</v>
      </c>
      <c r="H172" s="160"/>
      <c r="I172" s="196"/>
      <c r="J172" s="196"/>
    </row>
    <row r="173" s="96" customFormat="true" ht="24.75" hidden="false" customHeight="true" outlineLevel="0" collapsed="false">
      <c r="A173" s="113" t="s">
        <v>396</v>
      </c>
      <c r="B173" s="113"/>
      <c r="C173" s="113"/>
      <c r="D173" s="113"/>
      <c r="E173" s="113"/>
      <c r="F173" s="113"/>
      <c r="G173" s="113"/>
      <c r="H173" s="113"/>
      <c r="I173" s="113"/>
      <c r="J173" s="113"/>
    </row>
    <row r="174" s="96" customFormat="true" ht="34.5" hidden="false" customHeight="true" outlineLevel="0" collapsed="false">
      <c r="A174" s="114" t="s">
        <v>319</v>
      </c>
      <c r="B174" s="115" t="s">
        <v>320</v>
      </c>
      <c r="C174" s="115" t="s">
        <v>168</v>
      </c>
      <c r="D174" s="115" t="s">
        <v>397</v>
      </c>
      <c r="E174" s="115" t="s">
        <v>321</v>
      </c>
      <c r="F174" s="116" t="s">
        <v>398</v>
      </c>
      <c r="G174" s="115" t="s">
        <v>399</v>
      </c>
      <c r="H174" s="116" t="s">
        <v>400</v>
      </c>
      <c r="I174" s="116" t="s">
        <v>401</v>
      </c>
      <c r="J174" s="117" t="s">
        <v>402</v>
      </c>
      <c r="N174" s="107" t="s">
        <v>288</v>
      </c>
      <c r="O174" s="165" t="s">
        <v>320</v>
      </c>
      <c r="P174" s="165" t="s">
        <v>168</v>
      </c>
      <c r="Q174" s="165" t="s">
        <v>397</v>
      </c>
      <c r="R174" s="165" t="s">
        <v>321</v>
      </c>
      <c r="S174" s="165" t="s">
        <v>398</v>
      </c>
      <c r="T174" s="165" t="s">
        <v>399</v>
      </c>
      <c r="U174" s="165" t="s">
        <v>400</v>
      </c>
      <c r="V174" s="165" t="s">
        <v>401</v>
      </c>
      <c r="W174" s="165" t="s">
        <v>402</v>
      </c>
    </row>
    <row r="175" s="96" customFormat="true" ht="18" hidden="false" customHeight="true" outlineLevel="0" collapsed="false">
      <c r="A175" s="166" t="n">
        <f aca="false">IF(B175="","",1)</f>
        <v>1</v>
      </c>
      <c r="B175" s="131" t="s">
        <v>410</v>
      </c>
      <c r="C175" s="131" t="s">
        <v>411</v>
      </c>
      <c r="D175" s="132" t="s">
        <v>267</v>
      </c>
      <c r="E175" s="130"/>
      <c r="F175" s="130" t="s">
        <v>267</v>
      </c>
      <c r="G175" s="130" t="s">
        <v>405</v>
      </c>
      <c r="H175" s="130" t="n">
        <v>10</v>
      </c>
      <c r="I175" s="133"/>
      <c r="J175" s="134" t="n">
        <f aca="false">$J$120*H175</f>
        <v>10</v>
      </c>
      <c r="N175" s="107" t="s">
        <v>406</v>
      </c>
      <c r="O175" s="55" t="s">
        <v>407</v>
      </c>
      <c r="P175" s="62" t="s">
        <v>408</v>
      </c>
      <c r="Q175" s="55" t="s">
        <v>227</v>
      </c>
      <c r="R175" s="158"/>
      <c r="S175" s="158" t="s">
        <v>227</v>
      </c>
      <c r="T175" s="158" t="s">
        <v>409</v>
      </c>
      <c r="U175" s="168" t="n">
        <f aca="false">((($I$141*$G$141)+($I$142*$G$142)+($I$143*$G$143)+($I$144*$G$144)+($I$145*$G$145)+($I$146*$G$146))/1000)*$J$120</f>
        <v>28.052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2</v>
      </c>
      <c r="B176" s="131" t="s">
        <v>415</v>
      </c>
      <c r="C176" s="131" t="s">
        <v>416</v>
      </c>
      <c r="D176" s="132" t="s">
        <v>222</v>
      </c>
      <c r="E176" s="130"/>
      <c r="F176" s="130" t="s">
        <v>222</v>
      </c>
      <c r="G176" s="130" t="s">
        <v>405</v>
      </c>
      <c r="H176" s="130" t="n">
        <v>2</v>
      </c>
      <c r="I176" s="133"/>
      <c r="J176" s="134" t="n">
        <f aca="false">$J$120*H176</f>
        <v>2</v>
      </c>
      <c r="N176" s="107" t="s">
        <v>412</v>
      </c>
      <c r="O176" s="55" t="s">
        <v>413</v>
      </c>
      <c r="P176" s="62" t="s">
        <v>414</v>
      </c>
      <c r="Q176" s="55" t="s">
        <v>234</v>
      </c>
      <c r="R176" s="158"/>
      <c r="S176" s="158" t="s">
        <v>234</v>
      </c>
      <c r="T176" s="158" t="s">
        <v>409</v>
      </c>
      <c r="U176" s="168" t="n">
        <f aca="false">((($I$141*$G$141)+($I$142*$G$142)+($I$143*$G$143)+($I$144*$G$144)+($I$145*$G$145)+($I$146*$G$146))/1000)*$J$120</f>
        <v>28.052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3</v>
      </c>
      <c r="B177" s="131" t="s">
        <v>420</v>
      </c>
      <c r="C177" s="131" t="s">
        <v>421</v>
      </c>
      <c r="D177" s="132" t="s">
        <v>225</v>
      </c>
      <c r="E177" s="130"/>
      <c r="F177" s="130" t="s">
        <v>225</v>
      </c>
      <c r="G177" s="130" t="s">
        <v>405</v>
      </c>
      <c r="H177" s="130" t="n">
        <v>2</v>
      </c>
      <c r="I177" s="133"/>
      <c r="J177" s="134" t="n">
        <f aca="false">$J$120*H177</f>
        <v>2</v>
      </c>
      <c r="N177" s="107" t="s">
        <v>417</v>
      </c>
      <c r="O177" s="62" t="s">
        <v>418</v>
      </c>
      <c r="P177" s="62" t="s">
        <v>419</v>
      </c>
      <c r="Q177" s="55" t="s">
        <v>236</v>
      </c>
      <c r="R177" s="158"/>
      <c r="S177" s="158" t="s">
        <v>236</v>
      </c>
      <c r="T177" s="158" t="s">
        <v>409</v>
      </c>
      <c r="U177" s="168" t="n">
        <f aca="false">((($I$141*$G$141)+($I$142*$G$142)+($I$143*$G$143)+($I$144*$G$144)+($I$145*$G$145)+($I$146*$G$146))/1000)*$J$120</f>
        <v>28.052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4</v>
      </c>
      <c r="B178" s="131" t="s">
        <v>403</v>
      </c>
      <c r="C178" s="131" t="s">
        <v>404</v>
      </c>
      <c r="D178" s="132" t="s">
        <v>276</v>
      </c>
      <c r="E178" s="130"/>
      <c r="F178" s="130" t="s">
        <v>276</v>
      </c>
      <c r="G178" s="130" t="s">
        <v>405</v>
      </c>
      <c r="H178" s="130" t="n">
        <v>2</v>
      </c>
      <c r="I178" s="133"/>
      <c r="J178" s="134" t="n">
        <f aca="false">$J$120*H178</f>
        <v>2</v>
      </c>
      <c r="N178" s="107" t="s">
        <v>422</v>
      </c>
      <c r="O178" s="62" t="s">
        <v>423</v>
      </c>
      <c r="P178" s="62" t="s">
        <v>424</v>
      </c>
      <c r="Q178" s="55" t="s">
        <v>238</v>
      </c>
      <c r="R178" s="158"/>
      <c r="S178" s="158" t="s">
        <v>238</v>
      </c>
      <c r="T178" s="158" t="s">
        <v>409</v>
      </c>
      <c r="U178" s="168" t="n">
        <f aca="false">((($I$141*$G$141)+($I$142*$G$142)+($I$143*$G$143)+($I$144*$G$144)+($I$145*$G$145)+($I$146*$G$146))/1000)*$J$120</f>
        <v>28.052</v>
      </c>
      <c r="V178" s="168" t="n">
        <v>100</v>
      </c>
      <c r="W178" s="169" t="n">
        <f aca="false">ROUNDUP((U178)/100,0)</f>
        <v>1</v>
      </c>
    </row>
    <row r="179" s="96" customFormat="true" ht="18" hidden="false" customHeight="true" outlineLevel="0" collapsed="false">
      <c r="A179" s="170" t="n">
        <f aca="false">IF(B179="","",+A178+1)</f>
        <v>5</v>
      </c>
      <c r="B179" s="131" t="s">
        <v>425</v>
      </c>
      <c r="C179" s="131" t="s">
        <v>426</v>
      </c>
      <c r="D179" s="132" t="n">
        <v>9</v>
      </c>
      <c r="E179" s="130"/>
      <c r="F179" s="130" t="n">
        <v>9</v>
      </c>
      <c r="G179" s="130" t="s">
        <v>405</v>
      </c>
      <c r="H179" s="130" t="n">
        <v>8</v>
      </c>
      <c r="I179" s="133"/>
      <c r="J179" s="134" t="n">
        <f aca="false">$J$120*H179</f>
        <v>8</v>
      </c>
      <c r="N179" s="107" t="s">
        <v>427</v>
      </c>
      <c r="O179" s="62" t="s">
        <v>428</v>
      </c>
      <c r="P179" s="62" t="s">
        <v>429</v>
      </c>
      <c r="Q179" s="55" t="s">
        <v>240</v>
      </c>
      <c r="R179" s="158"/>
      <c r="S179" s="158" t="s">
        <v>240</v>
      </c>
      <c r="T179" s="158" t="s">
        <v>409</v>
      </c>
      <c r="U179" s="168" t="n">
        <f aca="false">((($I$141*$G$141)+($I$142*$G$142)+($I$143*$G$143)+($I$144*$G$144)+($I$145*$G$145)+($I$146*$G$146))/1000)*$J$120</f>
        <v>28.052</v>
      </c>
      <c r="V179" s="168" t="n">
        <v>100</v>
      </c>
      <c r="W179" s="169" t="n">
        <f aca="false">ROUNDUP((U179)/100,0)</f>
        <v>1</v>
      </c>
    </row>
    <row r="180" s="96" customFormat="true" ht="18" hidden="false" customHeight="true" outlineLevel="0" collapsed="false">
      <c r="A180" s="170" t="n">
        <f aca="false">IF(B180="","",+A179+1)</f>
        <v>6</v>
      </c>
      <c r="B180" s="131" t="s">
        <v>430</v>
      </c>
      <c r="C180" s="131" t="s">
        <v>431</v>
      </c>
      <c r="D180" s="132" t="n">
        <v>9</v>
      </c>
      <c r="E180" s="130"/>
      <c r="F180" s="130" t="n">
        <v>9</v>
      </c>
      <c r="G180" s="130" t="s">
        <v>405</v>
      </c>
      <c r="H180" s="130" t="n">
        <v>110</v>
      </c>
      <c r="I180" s="133"/>
      <c r="J180" s="134" t="n">
        <f aca="false">$J$120*H180</f>
        <v>110</v>
      </c>
    </row>
    <row r="181" s="96" customFormat="true" ht="18" hidden="false" customHeight="true" outlineLevel="0" collapsed="false">
      <c r="A181" s="170" t="n">
        <f aca="false">IF(B181="","",+A180+1)</f>
        <v>7</v>
      </c>
      <c r="B181" s="131" t="s">
        <v>432</v>
      </c>
      <c r="C181" s="131" t="s">
        <v>433</v>
      </c>
      <c r="D181" s="132" t="s">
        <v>6</v>
      </c>
      <c r="E181" s="130"/>
      <c r="F181" s="130" t="s">
        <v>6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8</v>
      </c>
      <c r="B182" s="131" t="s">
        <v>512</v>
      </c>
      <c r="C182" s="131" t="s">
        <v>513</v>
      </c>
      <c r="D182" s="132" t="s">
        <v>7</v>
      </c>
      <c r="E182" s="130"/>
      <c r="F182" s="130" t="s">
        <v>7</v>
      </c>
      <c r="G182" s="130" t="s">
        <v>434</v>
      </c>
      <c r="H182" s="130" t="n">
        <v>1</v>
      </c>
      <c r="I182" s="133"/>
      <c r="J182" s="134" t="n">
        <f aca="false">$J$120*H182</f>
        <v>1</v>
      </c>
    </row>
    <row r="183" s="96" customFormat="true" ht="18" hidden="false" customHeight="true" outlineLevel="0" collapsed="false">
      <c r="A183" s="170" t="n">
        <f aca="false">IF(B183="","",+A182+1)</f>
        <v>9</v>
      </c>
      <c r="B183" s="131" t="s">
        <v>514</v>
      </c>
      <c r="C183" s="131" t="s">
        <v>515</v>
      </c>
      <c r="D183" s="132" t="s">
        <v>8</v>
      </c>
      <c r="E183" s="130"/>
      <c r="F183" s="130" t="s">
        <v>8</v>
      </c>
      <c r="G183" s="130" t="s">
        <v>434</v>
      </c>
      <c r="H183" s="130" t="n">
        <v>1</v>
      </c>
      <c r="I183" s="133"/>
      <c r="J183" s="134" t="n">
        <f aca="false">$J$120*H183</f>
        <v>1</v>
      </c>
    </row>
    <row r="184" s="96" customFormat="true" ht="18" hidden="false" customHeight="true" outlineLevel="0" collapsed="false">
      <c r="A184" s="170" t="n">
        <f aca="false">IF(B184="","",+A183+1)</f>
        <v>10</v>
      </c>
      <c r="B184" s="131" t="s">
        <v>554</v>
      </c>
      <c r="C184" s="131" t="s">
        <v>555</v>
      </c>
      <c r="D184" s="132" t="s">
        <v>11</v>
      </c>
      <c r="E184" s="130"/>
      <c r="F184" s="130" t="s">
        <v>11</v>
      </c>
      <c r="G184" s="130" t="s">
        <v>434</v>
      </c>
      <c r="H184" s="130" t="n">
        <v>1</v>
      </c>
      <c r="I184" s="142"/>
      <c r="J184" s="134" t="n">
        <f aca="false">$J$120*H184</f>
        <v>1</v>
      </c>
      <c r="Q184" s="172"/>
      <c r="R184" s="172"/>
      <c r="S184" s="172"/>
      <c r="T184" s="97"/>
      <c r="U184" s="97"/>
      <c r="V184" s="97"/>
    </row>
    <row r="185" s="96" customFormat="true" ht="18" hidden="false" customHeight="true" outlineLevel="0" collapsed="false">
      <c r="A185" s="170" t="n">
        <f aca="false">IF(B185="","",+A184+1)</f>
        <v>11</v>
      </c>
      <c r="B185" s="131" t="s">
        <v>437</v>
      </c>
      <c r="C185" s="131" t="s">
        <v>438</v>
      </c>
      <c r="D185" s="132" t="s">
        <v>4</v>
      </c>
      <c r="E185" s="130"/>
      <c r="F185" s="130" t="s">
        <v>4</v>
      </c>
      <c r="G185" s="130" t="s">
        <v>434</v>
      </c>
      <c r="H185" s="130" t="n">
        <v>1</v>
      </c>
      <c r="I185" s="142"/>
      <c r="J185" s="134" t="n">
        <f aca="false">$J$120*H185</f>
        <v>1</v>
      </c>
      <c r="N185" s="107" t="s">
        <v>289</v>
      </c>
      <c r="O185" s="165" t="s">
        <v>320</v>
      </c>
      <c r="P185" s="165" t="s">
        <v>168</v>
      </c>
      <c r="Q185" s="165" t="s">
        <v>397</v>
      </c>
      <c r="R185" s="165" t="s">
        <v>321</v>
      </c>
      <c r="S185" s="165" t="s">
        <v>398</v>
      </c>
      <c r="T185" s="165" t="s">
        <v>399</v>
      </c>
      <c r="U185" s="165" t="s">
        <v>400</v>
      </c>
      <c r="V185" s="165" t="s">
        <v>401</v>
      </c>
      <c r="W185" s="165" t="s">
        <v>402</v>
      </c>
    </row>
    <row r="186" s="96" customFormat="true" ht="18" hidden="false" customHeight="true" outlineLevel="0" collapsed="false">
      <c r="A186" s="170" t="n">
        <f aca="false">IF(B186="","",+A185+1)</f>
        <v>12</v>
      </c>
      <c r="B186" s="131" t="s">
        <v>556</v>
      </c>
      <c r="C186" s="131" t="s">
        <v>557</v>
      </c>
      <c r="D186" s="132" t="s">
        <v>5</v>
      </c>
      <c r="E186" s="130"/>
      <c r="F186" s="130" t="s">
        <v>5</v>
      </c>
      <c r="G186" s="130" t="s">
        <v>434</v>
      </c>
      <c r="H186" s="130" t="n">
        <v>1</v>
      </c>
      <c r="I186" s="142"/>
      <c r="J186" s="134" t="n">
        <f aca="false">$J$120*H186</f>
        <v>1</v>
      </c>
      <c r="N186" s="107" t="s">
        <v>445</v>
      </c>
      <c r="O186" s="62" t="s">
        <v>446</v>
      </c>
      <c r="P186" s="62" t="s">
        <v>447</v>
      </c>
      <c r="Q186" s="55" t="s">
        <v>230</v>
      </c>
      <c r="R186" s="158"/>
      <c r="S186" s="158" t="s">
        <v>230</v>
      </c>
      <c r="T186" s="158" t="s">
        <v>409</v>
      </c>
      <c r="U186" s="168" t="n">
        <f aca="false">((($I$134*$G$134)+($I$136*$G$136)+($I$139*$G$139))/1000)*$J$120</f>
        <v>7.703</v>
      </c>
      <c r="V186" s="168" t="n">
        <v>300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13</v>
      </c>
      <c r="B187" s="131" t="s">
        <v>439</v>
      </c>
      <c r="C187" s="131" t="s">
        <v>440</v>
      </c>
      <c r="D187" s="132" t="s">
        <v>12</v>
      </c>
      <c r="E187" s="130"/>
      <c r="F187" s="130" t="s">
        <v>12</v>
      </c>
      <c r="G187" s="130" t="s">
        <v>434</v>
      </c>
      <c r="H187" s="130" t="n">
        <v>2</v>
      </c>
      <c r="I187" s="142"/>
      <c r="J187" s="134" t="n">
        <f aca="false">$J$120*H187</f>
        <v>2</v>
      </c>
      <c r="N187" s="107" t="s">
        <v>448</v>
      </c>
      <c r="O187" s="62" t="s">
        <v>449</v>
      </c>
      <c r="P187" s="62" t="s">
        <v>450</v>
      </c>
      <c r="Q187" s="55" t="s">
        <v>451</v>
      </c>
      <c r="R187" s="158"/>
      <c r="S187" s="158" t="s">
        <v>451</v>
      </c>
      <c r="T187" s="158" t="s">
        <v>409</v>
      </c>
      <c r="U187" s="168" t="n">
        <f aca="false">((($I$134*$G$134)+($I$136*$G$136)+($I$139*$G$139))/1000)*$J$120</f>
        <v>7.703</v>
      </c>
      <c r="V187" s="168" t="n">
        <v>100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14</v>
      </c>
      <c r="B188" s="131" t="s">
        <v>540</v>
      </c>
      <c r="C188" s="131" t="s">
        <v>541</v>
      </c>
      <c r="D188" s="132" t="s">
        <v>542</v>
      </c>
      <c r="E188" s="130"/>
      <c r="F188" s="130" t="s">
        <v>542</v>
      </c>
      <c r="G188" s="130" t="s">
        <v>434</v>
      </c>
      <c r="H188" s="130" t="n">
        <v>1</v>
      </c>
      <c r="I188" s="133"/>
      <c r="J188" s="134" t="n">
        <f aca="false">$J$120*H188</f>
        <v>1</v>
      </c>
      <c r="N188" s="107" t="s">
        <v>445</v>
      </c>
      <c r="O188" s="62" t="s">
        <v>452</v>
      </c>
      <c r="P188" s="62" t="s">
        <v>453</v>
      </c>
      <c r="Q188" s="55" t="s">
        <v>232</v>
      </c>
      <c r="R188" s="158"/>
      <c r="S188" s="158" t="s">
        <v>232</v>
      </c>
      <c r="T188" s="158" t="s">
        <v>409</v>
      </c>
      <c r="U188" s="168" t="n">
        <f aca="false">((($I$141*$G$141*2)+($I$143*$G$143*2)+($I$144*$G$144*2))/1000)*$J$120</f>
        <v>41.63</v>
      </c>
      <c r="V188" s="168" t="n">
        <v>350</v>
      </c>
      <c r="W188" s="169" t="n">
        <f aca="false">ROUNDUP((U188)/V188,0)</f>
        <v>1</v>
      </c>
    </row>
    <row r="189" s="96" customFormat="true" ht="18" hidden="false" customHeight="true" outlineLevel="0" collapsed="false">
      <c r="A189" s="170" t="n">
        <f aca="false">IF(B189="","",+A188+1)</f>
        <v>15</v>
      </c>
      <c r="B189" s="131" t="s">
        <v>441</v>
      </c>
      <c r="C189" s="131" t="s">
        <v>442</v>
      </c>
      <c r="D189" s="132" t="s">
        <v>274</v>
      </c>
      <c r="E189" s="130"/>
      <c r="F189" s="130" t="s">
        <v>274</v>
      </c>
      <c r="G189" s="130" t="s">
        <v>405</v>
      </c>
      <c r="H189" s="130" t="n">
        <v>4</v>
      </c>
      <c r="I189" s="133"/>
      <c r="J189" s="134" t="n">
        <f aca="false">$J$120*H189</f>
        <v>4</v>
      </c>
      <c r="N189" s="107" t="s">
        <v>448</v>
      </c>
      <c r="O189" s="62" t="s">
        <v>454</v>
      </c>
      <c r="P189" s="62" t="s">
        <v>455</v>
      </c>
      <c r="Q189" s="55" t="s">
        <v>456</v>
      </c>
      <c r="R189" s="158"/>
      <c r="S189" s="158" t="s">
        <v>456</v>
      </c>
      <c r="T189" s="158" t="s">
        <v>409</v>
      </c>
      <c r="U189" s="168" t="n">
        <f aca="false">((($I$141*$G$141*2)+($I$143*$G$143*2)+($I$144*$G$144*2))/1000)*$J$120</f>
        <v>41.63</v>
      </c>
      <c r="V189" s="168" t="n">
        <v>100</v>
      </c>
      <c r="W189" s="169" t="n">
        <f aca="false">ROUNDUP((U189)/V189,0)</f>
        <v>1</v>
      </c>
    </row>
    <row r="190" s="96" customFormat="true" ht="18" hidden="false" customHeight="true" outlineLevel="0" collapsed="false">
      <c r="A190" s="170" t="n">
        <f aca="false">IF(B190="","",+A189+1)</f>
        <v>16</v>
      </c>
      <c r="B190" s="131" t="s">
        <v>443</v>
      </c>
      <c r="C190" s="131" t="s">
        <v>444</v>
      </c>
      <c r="D190" s="132" t="s">
        <v>272</v>
      </c>
      <c r="E190" s="130"/>
      <c r="F190" s="130" t="s">
        <v>272</v>
      </c>
      <c r="G190" s="130" t="s">
        <v>405</v>
      </c>
      <c r="H190" s="130" t="n">
        <v>1</v>
      </c>
      <c r="I190" s="133"/>
      <c r="J190" s="134" t="n">
        <f aca="false">$J$120*H190</f>
        <v>1</v>
      </c>
    </row>
    <row r="191" s="96" customFormat="true" ht="18" hidden="false" customHeight="true" outlineLevel="0" collapsed="false">
      <c r="A191" s="170" t="n">
        <f aca="false">IF(B191="","",+A190+1)</f>
        <v>17</v>
      </c>
      <c r="B191" s="131" t="s">
        <v>580</v>
      </c>
      <c r="C191" s="131" t="s">
        <v>581</v>
      </c>
      <c r="D191" s="132" t="s">
        <v>582</v>
      </c>
      <c r="E191" s="132" t="s">
        <v>657</v>
      </c>
      <c r="F191" s="130" t="s">
        <v>658</v>
      </c>
      <c r="G191" s="130" t="s">
        <v>409</v>
      </c>
      <c r="H191" s="173" t="n">
        <f aca="false">((($I$149*$G$149)+($I$150*$G$150))/1000)*$J$120</f>
        <v>4.526</v>
      </c>
      <c r="I191" s="174" t="n">
        <v>100</v>
      </c>
      <c r="J191" s="175" t="n">
        <f aca="false">ROUNDUP((H191)/100,0)</f>
        <v>1</v>
      </c>
    </row>
    <row r="192" s="96" customFormat="true" ht="18" hidden="false" customHeight="true" outlineLevel="0" collapsed="false">
      <c r="A192" s="170" t="n">
        <f aca="false">IF(B192="","",+A191+1)</f>
        <v>18</v>
      </c>
      <c r="B192" s="131" t="s">
        <v>583</v>
      </c>
      <c r="C192" s="131" t="s">
        <v>584</v>
      </c>
      <c r="D192" s="132" t="s">
        <v>585</v>
      </c>
      <c r="E192" s="130"/>
      <c r="F192" s="130" t="s">
        <v>585</v>
      </c>
      <c r="G192" s="130" t="s">
        <v>409</v>
      </c>
      <c r="H192" s="173" t="n">
        <f aca="false">(((I145*G145)+($I$146*$G$146))/1000)*$J$120</f>
        <v>4.526</v>
      </c>
      <c r="I192" s="174" t="n">
        <v>100</v>
      </c>
      <c r="J192" s="175" t="n">
        <f aca="false">ROUNDUP((H192)/100,0)</f>
        <v>1</v>
      </c>
    </row>
    <row r="193" s="96" customFormat="true" ht="18" hidden="false" customHeight="true" outlineLevel="0" collapsed="false">
      <c r="A193" s="170" t="n">
        <f aca="false">IF(B193="","",+A192+1)</f>
        <v>19</v>
      </c>
      <c r="B193" s="132" t="str">
        <f aca="false">IF($D$129="Standard",$O$186,IF($D$129="Soumdproof",$O$187,))</f>
        <v>ยางเฟรมกันน้ำ (ธรรมดา)</v>
      </c>
      <c r="C193" s="132" t="str">
        <f aca="false">IF($D$129="Standard",$P$186,IF($D$129="Soumdproof",$P$187,))</f>
        <v>FRAME SEAL (Standard)</v>
      </c>
      <c r="D193" s="132" t="str">
        <f aca="false">IF($D$129="Standard",$Q$186,IF($D$129="Soumdproof",$Q$187,))</f>
        <v>02-026</v>
      </c>
      <c r="E193" s="130" t="n">
        <f aca="false">IF($D$129="Standard",R191,IF($D$129="Soumdproof",R192,))</f>
        <v>0</v>
      </c>
      <c r="F193" s="130" t="str">
        <f aca="false">IF($D$129="Standard",$S$186,IF($D$129="Soumdproof",$S$187,))</f>
        <v>02-026</v>
      </c>
      <c r="G193" s="130" t="str">
        <f aca="false">IF($D$129="Standard",$T$186,IF($D$129="Soumdproof",$T$187,))</f>
        <v>M</v>
      </c>
      <c r="H193" s="173" t="n">
        <f aca="false">IF($D$129="Standard",$U$186,IF($D$129="Soumdproof",$U$187,))</f>
        <v>7.703</v>
      </c>
      <c r="I193" s="174" t="n">
        <f aca="false">IF($D$129="Standard",$V$186,IF($D$129="Soumdproof",$V$187,))</f>
        <v>300</v>
      </c>
      <c r="J193" s="175" t="n">
        <f aca="false">ROUNDUP((H193)/100,0)</f>
        <v>1</v>
      </c>
    </row>
    <row r="194" s="96" customFormat="true" ht="18" hidden="false" customHeight="true" outlineLevel="0" collapsed="false">
      <c r="A194" s="170" t="n">
        <f aca="false">IF(B194="","",+A193+1)</f>
        <v>20</v>
      </c>
      <c r="B194" s="132" t="str">
        <f aca="false">IF($D$129="Standard",$O$188,IF($D$129="Soumdproof",$O$189,))</f>
        <v>ยางแซชกันน้ำ (ธรรมดา)</v>
      </c>
      <c r="C194" s="132" t="str">
        <f aca="false">IF($D$129="Standard",$P$188,IF($D$129="Soumdproof",$P$189,))</f>
        <v>SASH SEAL FOAM (Standard)</v>
      </c>
      <c r="D194" s="132" t="str">
        <f aca="false">IF($D$129="Standard",$Q$188,IF($D$129="Soumdproof",$Q$189,))</f>
        <v>02-031</v>
      </c>
      <c r="E194" s="130" t="n">
        <f aca="false">IF($D$129="Standard",R193,IF($D$129="Soumdproof",R194,))</f>
        <v>0</v>
      </c>
      <c r="F194" s="130" t="str">
        <f aca="false">IF($D$129="Standard",$S$188,IF($D$129="Soumdproof",$S$189,))</f>
        <v>02-031</v>
      </c>
      <c r="G194" s="130" t="str">
        <f aca="false">IF($D$129="Standard",$T$188,IF($D$129="Soumdproof",$T$189,))</f>
        <v>M</v>
      </c>
      <c r="H194" s="173" t="n">
        <f aca="false">IF($D$129="Standard",$U$188,IF($D$129="Soumdproof",$U$189,))</f>
        <v>41.63</v>
      </c>
      <c r="I194" s="174" t="n">
        <f aca="false">IF($D$129="Standard",$V$188,IF($D$129="Soumdproof",$V$189,))</f>
        <v>350</v>
      </c>
      <c r="J194" s="175" t="n">
        <f aca="false">ROUNDUP((H194)/100,0)</f>
        <v>1</v>
      </c>
    </row>
    <row r="195" customFormat="false" ht="18" hidden="false" customHeight="true" outlineLevel="0" collapsed="false">
      <c r="A195" s="170" t="n">
        <f aca="false">IF(B195="","",+A194+1)</f>
        <v>21</v>
      </c>
      <c r="B195" s="176" t="str">
        <f aca="false">IF($D$127=5,$O$177,IF($D$127=6,$O$178,IF($D$127=8,$O$179,IF($D$127=10,$O$177,IF($D$127=12,$O$177,IF($D$127=14,$O$179,IF($D$127=18,$O$177,IF($D$127=20,$O$178,IF($D$127=22,"")))))))))</f>
        <v>6,20 mm ยางอัดกระจก</v>
      </c>
      <c r="C195" s="176" t="str">
        <f aca="false">IF($D$127=5,$P$177,IF($D$127=6,$P$178,IF($D$127=8,$P$179,IF($D$127=10,$P$177,IF($D$127=12,$P$177,IF($D$127=14,$P$179,IF($D$127=18,$P$177,IF($D$127=20,$P$178,IF($D$127=22,"")))))))))</f>
        <v>6,20 mm ROLL IN WEDGE</v>
      </c>
      <c r="D195" s="176" t="str">
        <f aca="false">IF($D$127=5,$Q$177,IF($D$127=6,$Q$178,IF($D$127=8,$Q$179,IF($D$127=10,$Q$177,IF($D$127=12,$Q$177,IF($D$127=14,$Q$179,IF($D$127=18,$Q$177,IF($D$127=20,$Q$178,IF($D$127=22,"")))))))))</f>
        <v>02-034</v>
      </c>
      <c r="E195" s="176" t="n">
        <f aca="false">IF($D$127=5,R182,IF($D$127=6,R183,IF($D$127=8,R184,IF($D$127=10,R182,IF($D$127=12,R182,IF($D$127=14,R184,IF($D$127=18,R182,IF($D$127=20,R183,IF($D$127=22,"",)))))))))</f>
        <v>0</v>
      </c>
      <c r="F195" s="167" t="str">
        <f aca="false">IF($D$127=5,$S$177,IF($D$127=6,$S$178,IF($D$127=8,$S$179,IF($D$127=10,$S$177,IF($D$127=12,$S$177,IF($D$127=14,$S$179,IF($D$127=18,$S$177,IF($D$127=20,$S$178,IF($D$127=22,"")))))))))</f>
        <v>02-034</v>
      </c>
      <c r="G195" s="167" t="str">
        <f aca="false">IF($D$127=5,$T$177,IF($D$127=6,$T$178,IF($D$127=8,$T$179,IF($D$127=10,$T$177,IF($D$127=12,$T$177,IF($D$127=14,$T$179,IF($D$127=18,$T$177,IF($D$127=20,$T$178,IF($D$127=22,"")))))))))</f>
        <v>M</v>
      </c>
      <c r="H195" s="173" t="n">
        <f aca="false">IF($D$127=5,$U$177,IF($D$127=6,$U$178,IF($D$127=8,$U$179,IF($D$127=10,$U$177*2,IF($D$127=12,$U$177,IF($D$127=14,$U$179*2,IF($D$127=18,$U$177,IF($D$127=20,$U$178,IF($D$127=22,"")))))))))</f>
        <v>28.052</v>
      </c>
      <c r="I195" s="174" t="n">
        <f aca="false">IF($D$127=5,$V$177,IF($D$127=6,$V$178,IF($D$127=8,$V$179,IF($D$127=10,$V$177,IF($D$127=12,$V$177,IF($D$127=14,$V$179,IF($D$127=18,$V$177,IF($D$127=20,$V$178,IF($D$127=22,"")))))))))</f>
        <v>100</v>
      </c>
      <c r="J195" s="175" t="n">
        <f aca="false">ROUNDUP((H195)/100,0)</f>
        <v>1</v>
      </c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</row>
    <row r="196" s="96" customFormat="true" ht="18" hidden="false" customHeight="true" outlineLevel="0" collapsed="false">
      <c r="A196" s="170" t="n">
        <f aca="false">IF(B196="","",+A195+1)</f>
        <v>22</v>
      </c>
      <c r="B196" s="176" t="str">
        <f aca="false">IF($D$127=5,$O$175,IF($D$127=6,$O$175,IF($D$127=8,$O$177,IF($D$127=10,"",IF($D$127=12,$O$176,IF($D$127=14,"",IF($D$127=18,$O$175,IF($D$127=20,$O$176,IF($D$127=22,"",)))))))))</f>
        <v>5,6,18 mm ยางรองกระจก</v>
      </c>
      <c r="C196" s="176" t="str">
        <f aca="false">IF($D$127=5,$P$175,IF($D$127=6,$P$175,IF($D$127=8,$P$177,IF($D$127=10,"",IF($D$127=12,$P$176,IF($D$127=14,"",IF($D$127=18,$P$175,IF($D$127=20,$P$176,IF($D$127=22,"",)))))))))</f>
        <v>5,6,18 mm CAPTIVE WEDGE</v>
      </c>
      <c r="D196" s="176" t="str">
        <f aca="false">IF($D$127=5,$Q$175,IF($D$127=6,$Q$175,IF($D$127=8,$Q$177,IF($D$127=10,"",IF($D$127=12,$Q$176,IF($D$127=14,"",IF($D$127=18,$Q$175,IF($D$127=20,$Q$176,IF($D$127=22,"",)))))))))</f>
        <v>02-022</v>
      </c>
      <c r="E196" s="176" t="n">
        <f aca="false">IF($D$127=5,R180,IF($D$127=6,R180,IF($D$127=8,R182,IF($D$127=10,"",IF($D$127=12,R181,IF($D$127=14,"",IF($D$127=18,R180,IF($D$127=20,R181,IF($D$127=22,"",)))))))))</f>
        <v>0</v>
      </c>
      <c r="F196" s="167" t="str">
        <f aca="false">IF($D$127=5,$S$175,IF($D$127=6,$S$175,IF($D$127=8,$S$177,IF($D$127=10,"",IF($D$127=12,$S$176,IF($D$127=14,"",IF($D$127=18,$S$175,IF($D$127=20,$S$176,IF($D$127=22,"",)))))))))</f>
        <v>02-022</v>
      </c>
      <c r="G196" s="167" t="str">
        <f aca="false">IF($D$127=5,$T$175,IF($D$127=6,$T$175,IF($D$127=8,$T$177,IF($D$127=10,"",IF($D$127=12,$T$176,IF($D$127=14,"",IF($D$127=18,$T$175,IF($D$127=20,$T$176,IF($D$127=22,"",)))))))))</f>
        <v>M</v>
      </c>
      <c r="H196" s="173" t="n">
        <f aca="false">IF($D$127=5,$U$175,IF($D$127=6,$U$175,IF($D$127=8,$U$177,IF($D$127=10,"",IF($D$127=12,$U$176,IF($D$127=14,"",IF($D$127=18,$U$175,IF($D$127=20,$U$176,IF($D$127=22,"")))))))))</f>
        <v>28.052</v>
      </c>
      <c r="I196" s="174" t="n">
        <f aca="false">IF($D$127=5,$V$175,IF($D$127=6,$V$175,IF($D$127=8,$V$177,IF($D$127=10,"",IF($D$127=12,$V$176,IF($D$127=14,"",IF($D$127=18,$V$175,IF($D$127=20,$V$176,IF($D$127=22,"",)))))))))</f>
        <v>100</v>
      </c>
      <c r="J196" s="175" t="n">
        <f aca="false">ROUNDUP((H196)/100,0)</f>
        <v>1</v>
      </c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$J$120*H197</f>
        <v>0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$J$120*H198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$J$120*G199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$J$120*G200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$J$120*G201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$J$120*G202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/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$J$120*G204</f>
        <v>0</v>
      </c>
    </row>
    <row r="205" s="96" customFormat="true" ht="18" hidden="false" customHeight="true" outlineLevel="0" collapsed="false">
      <c r="A205" s="179" t="str">
        <f aca="false">IF(B205="","",+""+1)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$J$120*G205</f>
        <v>0</v>
      </c>
    </row>
    <row r="206" s="96" customFormat="true" ht="18" hidden="false" customHeight="true" outlineLevel="0" collapsed="false">
      <c r="A206" s="200"/>
      <c r="B206" s="98"/>
      <c r="D206" s="98"/>
      <c r="E206" s="97"/>
      <c r="F206" s="98"/>
      <c r="G206" s="98"/>
      <c r="H206" s="98"/>
      <c r="I206" s="196"/>
      <c r="J206" s="196"/>
    </row>
    <row r="207" customFormat="false" ht="18" hidden="false" customHeight="true" outlineLevel="0" collapsed="false">
      <c r="A207" s="97"/>
      <c r="J207" s="92" t="str">
        <f aca="false">LEFT($J$111,13)&amp;"-02"</f>
        <v>FG-240-5P3L2R-02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516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2735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517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2709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519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2735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97"/>
      <c r="H252" s="97"/>
      <c r="I252" s="196"/>
      <c r="J252" s="196"/>
    </row>
    <row r="253" s="96" customFormat="true" ht="15.75" hidden="false" customHeight="true" outlineLevel="0" collapsed="false">
      <c r="A253" s="191"/>
      <c r="B253" s="191"/>
      <c r="D253" s="192"/>
      <c r="E253" s="191"/>
      <c r="F253" s="191"/>
      <c r="G253" s="97"/>
      <c r="H253" s="97"/>
      <c r="I253" s="196"/>
      <c r="J253" s="196"/>
    </row>
    <row r="254" s="96" customFormat="true" ht="15.75" hidden="false" customHeight="true" outlineLevel="0" collapsed="false">
      <c r="A254" s="190"/>
      <c r="B254" s="190"/>
      <c r="C254" s="184" t="s">
        <v>520</v>
      </c>
      <c r="D254" s="194"/>
      <c r="E254" s="190"/>
      <c r="F254" s="189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459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460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5" t="n">
        <f aca="false">$I$136</f>
        <v>2735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7" t="n">
        <f aca="false">$J$136</f>
        <v>1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C262" s="98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184" t="s">
        <v>586</v>
      </c>
      <c r="D264" s="98"/>
      <c r="E264" s="97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522</v>
      </c>
      <c r="D265" s="181"/>
      <c r="E265" s="181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468</v>
      </c>
      <c r="D266" s="181"/>
      <c r="E266" s="181"/>
      <c r="F266" s="97"/>
      <c r="G266" s="97"/>
      <c r="H266" s="97"/>
      <c r="J266" s="97"/>
    </row>
    <row r="267" s="96" customFormat="true" ht="15.75" hidden="false" customHeight="true" outlineLevel="0" collapsed="false">
      <c r="A267" s="200"/>
      <c r="C267" s="185" t="n">
        <f aca="false">$I$137</f>
        <v>2355</v>
      </c>
      <c r="D267" s="98"/>
      <c r="E267" s="97"/>
      <c r="F267" s="97"/>
      <c r="J267" s="97"/>
    </row>
    <row r="268" s="96" customFormat="true" ht="15.75" hidden="false" customHeight="true" outlineLevel="0" collapsed="false">
      <c r="A268" s="200"/>
      <c r="C268" s="187" t="n">
        <f aca="false">$J$137+$J$138</f>
        <v>2</v>
      </c>
      <c r="D268" s="98"/>
      <c r="E268" s="97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H272" s="97"/>
      <c r="J272" s="97"/>
    </row>
    <row r="273" s="96" customFormat="true" ht="15.75" hidden="false" customHeight="true" outlineLevel="0" collapsed="false">
      <c r="A273" s="200"/>
      <c r="D273" s="181"/>
      <c r="E273" s="181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D274" s="98"/>
      <c r="E274" s="97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4" t="s">
        <v>523</v>
      </c>
      <c r="D275" s="201"/>
      <c r="E275" s="196"/>
      <c r="F275" s="97"/>
      <c r="G275" s="97"/>
      <c r="I275" s="196"/>
      <c r="J275" s="196"/>
    </row>
    <row r="276" s="96" customFormat="true" ht="15.75" hidden="false" customHeight="true" outlineLevel="0" collapsed="false">
      <c r="A276" s="200"/>
      <c r="C276" s="181" t="s">
        <v>470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1" t="s">
        <v>471</v>
      </c>
      <c r="D277" s="181"/>
      <c r="E277" s="181"/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5" t="n">
        <f aca="false">$I$139</f>
        <v>2259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C279" s="187" t="n">
        <f aca="false">$J$139+$J$140</f>
        <v>2</v>
      </c>
      <c r="F279" s="97"/>
      <c r="G279" s="97"/>
      <c r="I279" s="97"/>
      <c r="J279" s="196"/>
    </row>
    <row r="280" s="96" customFormat="true" ht="15.75" hidden="false" customHeight="true" outlineLevel="0" collapsed="false">
      <c r="A280" s="200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D282" s="98"/>
      <c r="E282" s="97"/>
      <c r="F282" s="97"/>
      <c r="G282" s="97"/>
      <c r="H282" s="97"/>
      <c r="J282" s="97"/>
    </row>
    <row r="283" s="96" customFormat="true" ht="15.75" hidden="false" customHeight="true" outlineLevel="0" collapsed="false">
      <c r="A283" s="200"/>
      <c r="F283" s="97"/>
      <c r="G283" s="97"/>
      <c r="H283" s="97"/>
      <c r="J283" s="97"/>
    </row>
    <row r="284" s="96" customFormat="true" ht="15.75" hidden="false" customHeight="true" outlineLevel="0" collapsed="false">
      <c r="A284" s="200"/>
      <c r="F284" s="97"/>
      <c r="G284" s="97"/>
      <c r="H284" s="97"/>
      <c r="I284" s="201"/>
      <c r="J284" s="196"/>
    </row>
    <row r="285" s="96" customFormat="true" ht="15.75" hidden="false" customHeight="true" outlineLevel="0" collapsed="false">
      <c r="A285" s="200"/>
      <c r="C285" s="184" t="s">
        <v>524</v>
      </c>
      <c r="F285" s="97"/>
      <c r="G285" s="97"/>
      <c r="H285" s="97"/>
      <c r="I285" s="97"/>
      <c r="J285" s="196"/>
    </row>
    <row r="286" s="96" customFormat="true" ht="15.75" hidden="false" customHeight="true" outlineLevel="0" collapsed="false">
      <c r="A286" s="200"/>
      <c r="C286" s="83" t="s">
        <v>646</v>
      </c>
      <c r="D286" s="98"/>
      <c r="E286" s="97"/>
      <c r="F286" s="97"/>
      <c r="G286" s="97"/>
      <c r="H286" s="97"/>
      <c r="I286" s="196"/>
      <c r="J286" s="196"/>
    </row>
    <row r="287" s="96" customFormat="true" ht="15.75" hidden="false" customHeight="true" outlineLevel="0" collapsed="false">
      <c r="A287" s="200"/>
      <c r="C287" s="181" t="s">
        <v>647</v>
      </c>
      <c r="D287" s="98"/>
      <c r="E287" s="97"/>
      <c r="F287" s="97"/>
      <c r="G287" s="97"/>
      <c r="H287" s="97"/>
      <c r="I287" s="196"/>
      <c r="J287" s="196"/>
    </row>
    <row r="288" s="96" customFormat="true" ht="15.75" hidden="false" customHeight="true" outlineLevel="0" collapsed="false">
      <c r="A288" s="200"/>
      <c r="C288" s="181" t="s">
        <v>475</v>
      </c>
      <c r="D288" s="181"/>
      <c r="E288" s="181"/>
      <c r="F288" s="97"/>
      <c r="G288" s="97"/>
      <c r="I288" s="196"/>
      <c r="J288" s="196"/>
    </row>
    <row r="289" s="202" customFormat="true" ht="15.75" hidden="false" customHeight="true" outlineLevel="0" collapsed="false">
      <c r="A289" s="200"/>
      <c r="B289" s="96"/>
      <c r="C289" s="181" t="s">
        <v>476</v>
      </c>
      <c r="D289" s="181"/>
      <c r="E289" s="181"/>
      <c r="F289" s="97"/>
      <c r="G289" s="97"/>
      <c r="H289" s="96"/>
      <c r="I289" s="97"/>
      <c r="J289" s="97"/>
    </row>
    <row r="290" s="96" customFormat="true" ht="15.75" hidden="false" customHeight="true" outlineLevel="0" collapsed="false">
      <c r="A290" s="200"/>
      <c r="C290" s="185" t="n">
        <f aca="false">$I$141</f>
        <v>542.2</v>
      </c>
      <c r="F290" s="97"/>
      <c r="G290" s="97"/>
      <c r="I290" s="191"/>
      <c r="J290" s="199"/>
    </row>
    <row r="291" s="96" customFormat="true" ht="15.75" hidden="false" customHeight="true" outlineLevel="0" collapsed="false">
      <c r="A291" s="200"/>
      <c r="C291" s="187" t="n">
        <f aca="false">$J$141+$J$142</f>
        <v>10</v>
      </c>
      <c r="D291" s="98"/>
      <c r="E291" s="97"/>
      <c r="F291" s="97"/>
      <c r="G291" s="97"/>
      <c r="H291" s="98"/>
      <c r="I291" s="189"/>
      <c r="J291" s="190"/>
    </row>
    <row r="292" s="96" customFormat="true" ht="15.75" hidden="false" customHeight="true" outlineLevel="0" collapsed="false">
      <c r="A292" s="200"/>
      <c r="C292" s="185" t="n">
        <f aca="false">$I$143</f>
        <v>2263</v>
      </c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C293" s="187" t="n">
        <f aca="false">$J$143+$J$144+$J$145+$J$146</f>
        <v>10</v>
      </c>
      <c r="D293" s="98"/>
      <c r="E293" s="97"/>
      <c r="F293" s="97"/>
      <c r="G293" s="97"/>
      <c r="H293" s="97"/>
      <c r="I293" s="196"/>
      <c r="J293" s="196"/>
    </row>
    <row r="294" s="96" customFormat="true" ht="15.75" hidden="false" customHeight="true" outlineLevel="0" collapsed="false">
      <c r="A294" s="200"/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202"/>
      <c r="D295" s="98"/>
      <c r="E295" s="97"/>
      <c r="F295" s="97"/>
      <c r="G295" s="97"/>
      <c r="H295" s="97"/>
      <c r="I295" s="97"/>
      <c r="J295" s="196"/>
    </row>
    <row r="296" s="96" customFormat="true" ht="15.75" hidden="false" customHeight="true" outlineLevel="0" collapsed="false">
      <c r="A296" s="200"/>
      <c r="C296" s="184" t="s">
        <v>525</v>
      </c>
      <c r="D296" s="98"/>
      <c r="E296" s="97"/>
      <c r="F296" s="97"/>
      <c r="G296" s="97"/>
      <c r="H296" s="97"/>
      <c r="I296" s="97"/>
      <c r="J296" s="196"/>
    </row>
    <row r="297" s="96" customFormat="true" ht="15.75" hidden="false" customHeight="true" outlineLevel="0" collapsed="false">
      <c r="A297" s="200"/>
      <c r="C297" s="83" t="s">
        <v>646</v>
      </c>
      <c r="D297" s="98"/>
      <c r="E297" s="97"/>
      <c r="F297" s="97"/>
      <c r="G297" s="191"/>
      <c r="H297" s="191"/>
      <c r="I297" s="97"/>
      <c r="J297" s="196"/>
    </row>
    <row r="298" s="96" customFormat="true" ht="15.75" hidden="false" customHeight="true" outlineLevel="0" collapsed="false">
      <c r="A298" s="200"/>
      <c r="C298" s="181" t="s">
        <v>647</v>
      </c>
      <c r="D298" s="181"/>
      <c r="E298" s="181"/>
      <c r="F298" s="97"/>
      <c r="G298" s="190"/>
      <c r="H298" s="189"/>
      <c r="I298" s="97"/>
      <c r="J298" s="196"/>
    </row>
    <row r="299" s="96" customFormat="true" ht="15.75" hidden="false" customHeight="true" outlineLevel="0" collapsed="false">
      <c r="A299" s="107"/>
      <c r="C299" s="181" t="s">
        <v>478</v>
      </c>
      <c r="D299" s="181"/>
      <c r="E299" s="181"/>
      <c r="F299" s="97"/>
      <c r="G299" s="97"/>
      <c r="H299" s="97"/>
      <c r="I299" s="97"/>
      <c r="J299" s="196"/>
    </row>
    <row r="300" s="96" customFormat="true" ht="15.75" hidden="false" customHeight="true" outlineLevel="0" collapsed="false">
      <c r="A300" s="191"/>
      <c r="B300" s="191"/>
      <c r="C300" s="181" t="s">
        <v>479</v>
      </c>
      <c r="D300" s="203"/>
      <c r="E300" s="204"/>
      <c r="F300" s="191"/>
      <c r="G300" s="97"/>
      <c r="H300" s="97"/>
      <c r="I300" s="97"/>
      <c r="J300" s="196"/>
    </row>
    <row r="301" s="96" customFormat="true" ht="15.75" hidden="false" customHeight="true" outlineLevel="0" collapsed="false">
      <c r="A301" s="190"/>
      <c r="B301" s="190"/>
      <c r="C301" s="185" t="n">
        <f aca="false">$I$147</f>
        <v>431.4</v>
      </c>
      <c r="D301" s="205"/>
      <c r="E301" s="206"/>
      <c r="F301" s="189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7" t="n">
        <f aca="false">$J$147</f>
        <v>10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5" t="n">
        <f aca="false">$I$148</f>
        <v>2113</v>
      </c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C304" s="187" t="n">
        <f aca="false">$J$148</f>
        <v>10</v>
      </c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C306" s="184" t="s">
        <v>591</v>
      </c>
      <c r="D306" s="98"/>
      <c r="E306" s="97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1" t="s">
        <v>475</v>
      </c>
      <c r="D307" s="181"/>
      <c r="E307" s="181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249" t="s">
        <v>476</v>
      </c>
      <c r="D308" s="249"/>
      <c r="E308" s="249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5" t="n">
        <f aca="false">$I$149</f>
        <v>2263</v>
      </c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7" t="n">
        <f aca="false">$J$149+$J$150</f>
        <v>2</v>
      </c>
      <c r="D310" s="181"/>
      <c r="E310" s="181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LEFT($J$111,13)&amp;"-03"</f>
        <v>FG-240-5P3L2R-03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A316" s="97"/>
      <c r="B316" s="49"/>
      <c r="C316" s="49"/>
      <c r="D316" s="207"/>
      <c r="E316" s="200"/>
      <c r="F316" s="200"/>
      <c r="G316" s="200"/>
      <c r="H316" s="200"/>
      <c r="I316" s="208"/>
      <c r="J316" s="77" t="str">
        <f aca="false">$J$2</f>
        <v>HOMELIFE</v>
      </c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B324" s="81"/>
      <c r="D324" s="98"/>
      <c r="E324" s="83"/>
      <c r="F324" s="183"/>
      <c r="G324" s="183"/>
      <c r="H324" s="183"/>
      <c r="I324" s="83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240-5 Panel (3L2R)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195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91"/>
      <c r="D405" s="98"/>
      <c r="E405" s="97"/>
      <c r="F405" s="97"/>
      <c r="G405" s="97"/>
      <c r="H405" s="97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LEFT($J$111,13)&amp;"-04"</f>
        <v>FG-240-5P3L2R-04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77" t="str">
        <f aca="false">$J$2</f>
        <v>HOMELIFE</v>
      </c>
      <c r="K423" s="78"/>
      <c r="L423" s="78"/>
      <c r="M423" s="79"/>
      <c r="N423" s="79"/>
    </row>
    <row r="424" customFormat="false" ht="24.75" hidden="false" customHeight="true" outlineLevel="0" collapsed="false">
      <c r="A424" s="97"/>
      <c r="B424" s="96"/>
      <c r="C424" s="96"/>
      <c r="D424" s="98"/>
      <c r="E424" s="97"/>
      <c r="F424" s="97"/>
      <c r="G424" s="97"/>
      <c r="H424" s="97"/>
      <c r="I424" s="97"/>
      <c r="J424" s="80" t="str">
        <f aca="false">$J$3</f>
        <v>Fabricators Guide</v>
      </c>
      <c r="K424" s="78"/>
      <c r="L424" s="78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$J$4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240-5 Panel (3L2R)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191"/>
      <c r="C442" s="212"/>
      <c r="D442" s="98"/>
      <c r="E442" s="97"/>
      <c r="F442" s="97"/>
      <c r="H442" s="191"/>
      <c r="I442" s="191"/>
      <c r="J442" s="199"/>
    </row>
    <row r="443" s="96" customFormat="true" ht="15.75" hidden="false" customHeight="true" outlineLevel="0" collapsed="false">
      <c r="A443" s="190"/>
      <c r="C443" s="191"/>
      <c r="D443" s="192"/>
      <c r="E443" s="191"/>
      <c r="F443" s="191"/>
      <c r="H443" s="191"/>
      <c r="I443" s="191"/>
      <c r="J443" s="199"/>
    </row>
    <row r="444" customFormat="false" ht="15" hidden="false" customHeight="true" outlineLevel="0" collapsed="false">
      <c r="B444" s="211"/>
      <c r="C444" s="98"/>
      <c r="D444" s="98"/>
      <c r="E444" s="97"/>
      <c r="F444" s="98"/>
      <c r="G444" s="97"/>
      <c r="H444" s="97"/>
    </row>
    <row r="449" s="96" customFormat="true" ht="15.75" hidden="false" customHeight="true" outlineLevel="0" collapsed="false">
      <c r="A449" s="97"/>
      <c r="D449" s="73"/>
      <c r="I449" s="196"/>
      <c r="J449" s="196"/>
    </row>
    <row r="450" s="96" customFormat="true" ht="15.75" hidden="false" customHeight="true" outlineLevel="0" collapsed="false">
      <c r="A450" s="97"/>
      <c r="D450" s="98"/>
      <c r="E450" s="97"/>
      <c r="F450" s="98"/>
      <c r="G450" s="97"/>
      <c r="H450" s="97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C453" s="191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98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97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196"/>
      <c r="J456" s="196"/>
    </row>
    <row r="457" s="96" customFormat="true" ht="15.75" hidden="false" customHeight="true" outlineLevel="0" collapsed="false">
      <c r="A457" s="97"/>
      <c r="D457" s="98"/>
      <c r="E457" s="97"/>
      <c r="F457" s="97"/>
      <c r="G457" s="97"/>
      <c r="H457" s="97"/>
      <c r="I457" s="196"/>
      <c r="J457" s="196"/>
    </row>
    <row r="458" s="96" customFormat="true" ht="15" hidden="false" customHeight="true" outlineLevel="0" collapsed="false">
      <c r="A458" s="97"/>
      <c r="D458" s="98"/>
      <c r="E458" s="97"/>
      <c r="F458" s="97"/>
      <c r="G458" s="97"/>
      <c r="H458" s="195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97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202" customFormat="true" ht="15.75" hidden="false" customHeight="true" outlineLevel="0" collapsed="false">
      <c r="A476" s="97"/>
      <c r="B476" s="96"/>
      <c r="C476" s="96"/>
      <c r="D476" s="98"/>
      <c r="E476" s="97"/>
      <c r="F476" s="97"/>
      <c r="G476" s="97"/>
      <c r="H476" s="97"/>
      <c r="I476" s="97"/>
      <c r="J476" s="97"/>
    </row>
    <row r="477" s="96" customFormat="true" ht="15.75" hidden="false" customHeight="true" outlineLevel="0" collapsed="false">
      <c r="A477" s="191"/>
      <c r="D477" s="98"/>
      <c r="E477" s="97"/>
      <c r="F477" s="97"/>
      <c r="G477" s="97"/>
      <c r="H477" s="97"/>
      <c r="I477" s="191"/>
      <c r="J477" s="199"/>
    </row>
    <row r="478" s="96" customFormat="true" ht="15.75" hidden="false" customHeight="true" outlineLevel="0" collapsed="false">
      <c r="A478" s="190"/>
      <c r="B478" s="191"/>
      <c r="C478" s="191"/>
      <c r="D478" s="192"/>
      <c r="E478" s="191"/>
      <c r="F478" s="191"/>
      <c r="G478" s="191"/>
      <c r="H478" s="191"/>
      <c r="I478" s="189"/>
      <c r="J478" s="190"/>
    </row>
    <row r="479" s="96" customFormat="true" ht="15.75" hidden="false" customHeight="true" outlineLevel="0" collapsed="false">
      <c r="A479" s="200"/>
      <c r="B479" s="190"/>
      <c r="C479" s="191"/>
      <c r="D479" s="194"/>
      <c r="E479" s="190"/>
      <c r="F479" s="189"/>
      <c r="G479" s="190"/>
      <c r="H479" s="189"/>
      <c r="I479" s="196"/>
      <c r="J479" s="196"/>
    </row>
    <row r="480" s="96" customFormat="true" ht="15.75" hidden="false" customHeight="true" outlineLevel="0" collapsed="false">
      <c r="A480" s="200"/>
      <c r="C480" s="182"/>
      <c r="D480" s="98"/>
      <c r="E480" s="97"/>
      <c r="F480" s="97"/>
      <c r="G480" s="97"/>
      <c r="H480" s="182"/>
      <c r="J480" s="97"/>
    </row>
    <row r="481" s="96" customFormat="true" ht="15.75" hidden="false" customHeight="true" outlineLevel="0" collapsed="false">
      <c r="A481" s="200"/>
      <c r="C481" s="98"/>
      <c r="D481" s="98"/>
      <c r="E481" s="97"/>
      <c r="F481" s="97"/>
      <c r="G481" s="97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I482" s="196"/>
      <c r="J482" s="196"/>
    </row>
    <row r="483" s="96" customFormat="true" ht="15.75" hidden="false" customHeight="true" outlineLevel="0" collapsed="false">
      <c r="A483" s="200"/>
      <c r="D483" s="98"/>
      <c r="E483" s="97"/>
      <c r="F483" s="97"/>
      <c r="G483" s="97"/>
      <c r="H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C486" s="98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G495" s="97"/>
      <c r="H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182"/>
      <c r="J498" s="97"/>
    </row>
    <row r="499" s="96" customFormat="true" ht="15.75" hidden="false" customHeight="true" outlineLevel="0" collapsed="false">
      <c r="A499" s="200"/>
      <c r="C499" s="188"/>
      <c r="D499" s="98"/>
      <c r="E499" s="97"/>
      <c r="F499" s="97"/>
      <c r="G499" s="97"/>
      <c r="J499" s="97"/>
    </row>
    <row r="500" s="96" customFormat="true" ht="15.75" hidden="false" customHeight="true" outlineLevel="0" collapsed="false">
      <c r="A500" s="200"/>
      <c r="D500" s="98"/>
      <c r="E500" s="97"/>
      <c r="F500" s="97"/>
      <c r="G500" s="97"/>
      <c r="I500" s="196"/>
      <c r="J500" s="196"/>
    </row>
    <row r="501" s="96" customFormat="true" ht="15.75" hidden="false" customHeight="true" outlineLevel="0" collapsed="false">
      <c r="A501" s="200"/>
      <c r="C501" s="98"/>
      <c r="D501" s="98"/>
      <c r="E501" s="97"/>
      <c r="F501" s="97"/>
      <c r="G501" s="97"/>
      <c r="H501" s="182"/>
      <c r="J501" s="97"/>
    </row>
    <row r="502" s="96" customFormat="true" ht="15.75" hidden="false" customHeight="true" outlineLevel="0" collapsed="false">
      <c r="A502" s="200"/>
      <c r="D502" s="98"/>
      <c r="E502" s="97"/>
      <c r="F502" s="97"/>
      <c r="G502" s="97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I503" s="196"/>
      <c r="J503" s="196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H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97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97"/>
      <c r="J513" s="196"/>
    </row>
    <row r="514" s="96" customFormat="true" ht="15.75" hidden="false" customHeight="true" outlineLevel="0" collapsed="false">
      <c r="A514" s="200"/>
      <c r="D514" s="98"/>
      <c r="E514" s="97"/>
      <c r="F514" s="97"/>
      <c r="G514" s="97"/>
      <c r="H514" s="97"/>
      <c r="I514" s="212"/>
      <c r="J514" s="195"/>
    </row>
    <row r="515" s="96" customFormat="true" ht="15.75" hidden="false" customHeight="true" outlineLevel="0" collapsed="false">
      <c r="A515" s="200"/>
      <c r="D515" s="98"/>
      <c r="E515" s="97"/>
      <c r="F515" s="97"/>
      <c r="G515" s="97"/>
      <c r="H515" s="238"/>
      <c r="J515" s="97"/>
    </row>
    <row r="516" s="96" customFormat="true" ht="15.75" hidden="false" customHeight="true" outlineLevel="0" collapsed="false">
      <c r="A516" s="191"/>
      <c r="B516" s="191"/>
      <c r="C516" s="191"/>
      <c r="D516" s="192"/>
      <c r="E516" s="191"/>
      <c r="F516" s="191"/>
      <c r="G516" s="191"/>
      <c r="H516" s="191"/>
      <c r="I516" s="191"/>
      <c r="J516" s="199"/>
    </row>
    <row r="517" s="96" customFormat="true" ht="15.75" hidden="false" customHeight="true" outlineLevel="0" collapsed="false">
      <c r="B517" s="191"/>
      <c r="C517" s="191"/>
      <c r="D517" s="192"/>
      <c r="E517" s="191"/>
      <c r="F517" s="191"/>
      <c r="G517" s="191"/>
      <c r="H517" s="191"/>
    </row>
    <row r="518" s="96" customFormat="true" ht="15.75" hidden="false" customHeight="true" outlineLevel="0" collapsed="false"/>
    <row r="519" s="96" customFormat="true" ht="24.75" hidden="false" customHeight="true" outlineLevel="0" collapsed="false">
      <c r="A519" s="88" t="s">
        <v>482</v>
      </c>
      <c r="B519" s="88"/>
      <c r="C519" s="88"/>
      <c r="D519" s="88"/>
      <c r="E519" s="88"/>
      <c r="F519" s="88"/>
      <c r="G519" s="88"/>
      <c r="H519" s="88"/>
      <c r="I519" s="88"/>
      <c r="J519" s="88"/>
    </row>
    <row r="520" s="96" customFormat="true" ht="34.5" hidden="false" customHeight="true" outlineLevel="0" collapsed="false">
      <c r="A520" s="114" t="s">
        <v>319</v>
      </c>
      <c r="B520" s="115" t="s">
        <v>168</v>
      </c>
      <c r="C520" s="115" t="s">
        <v>168</v>
      </c>
      <c r="D520" s="116" t="s">
        <v>483</v>
      </c>
      <c r="E520" s="115" t="s">
        <v>321</v>
      </c>
      <c r="F520" s="239" t="s">
        <v>484</v>
      </c>
      <c r="G520" s="240"/>
      <c r="H520" s="116" t="s">
        <v>484</v>
      </c>
      <c r="I520" s="116" t="s">
        <v>485</v>
      </c>
      <c r="J520" s="117" t="s">
        <v>323</v>
      </c>
      <c r="N520" s="118" t="s">
        <v>168</v>
      </c>
      <c r="O520" s="118" t="s">
        <v>168</v>
      </c>
    </row>
    <row r="521" s="96" customFormat="true" ht="15.75" hidden="false" customHeight="true" outlineLevel="0" collapsed="false">
      <c r="A521" s="120" t="n">
        <f aca="false">IF(C521="","",1)</f>
        <v>1</v>
      </c>
      <c r="B521" s="121" t="str">
        <f aca="false">IF($D$127=5,N521,IF($D$127=6,N522,IF($D$127=8,N523,IF($D$127=10,N524,IF($D$127=12,N525,IF($D$127=14,N526,IF($D$127=18,N527,IF($D$127=20,N528,IF($D$127=22,N529,)))))))))</f>
        <v>กระจก 6 mm (สูง) (กว้าง)</v>
      </c>
      <c r="C521" s="121" t="str">
        <f aca="false">IF($D$127=5,O521,IF($D$127=6,O522,IF($D$127=8,O523,IF($D$127=10,O524,IF($D$127=12,O525,IF($D$127=14,O526,IF($D$127=18,O527,IF($D$127=20,O528,IF($D$127=22,O529,)))))))))</f>
        <v>GLASS thk.6 mm (H) (W)</v>
      </c>
      <c r="D521" s="123" t="n">
        <f aca="false">$J$123-215</f>
        <v>2140</v>
      </c>
      <c r="E521" s="120" t="s">
        <v>486</v>
      </c>
      <c r="F521" s="224" t="s">
        <v>487</v>
      </c>
      <c r="G521" s="224"/>
      <c r="H521" s="120" t="s">
        <v>648</v>
      </c>
      <c r="I521" s="225" t="n">
        <f aca="false">(($J$126-185-(113.25*4))/5)-13</f>
        <v>418.4</v>
      </c>
      <c r="J521" s="226" t="n">
        <f aca="false">$J$120*5</f>
        <v>5</v>
      </c>
      <c r="M521" s="96" t="n">
        <f aca="false">ROW()</f>
        <v>521</v>
      </c>
      <c r="N521" s="62" t="s">
        <v>489</v>
      </c>
      <c r="O521" s="62" t="s">
        <v>490</v>
      </c>
    </row>
    <row r="522" s="96" customFormat="true" ht="15.75" hidden="false" customHeight="true" outlineLevel="0" collapsed="false">
      <c r="A522" s="269"/>
      <c r="B522" s="228"/>
      <c r="C522" s="228"/>
      <c r="D522" s="176"/>
      <c r="E522" s="167"/>
      <c r="F522" s="229"/>
      <c r="G522" s="230"/>
      <c r="H522" s="167"/>
      <c r="I522" s="231"/>
      <c r="J522" s="232"/>
      <c r="M522" s="96" t="n">
        <f aca="false">ROW()</f>
        <v>522</v>
      </c>
      <c r="N522" s="62" t="s">
        <v>491</v>
      </c>
      <c r="O522" s="62" t="s">
        <v>492</v>
      </c>
    </row>
    <row r="523" s="96" customFormat="true" ht="15.75" hidden="false" customHeight="true" outlineLevel="0" collapsed="false">
      <c r="A523" s="269"/>
      <c r="B523" s="228"/>
      <c r="C523" s="228"/>
      <c r="D523" s="176"/>
      <c r="E523" s="167"/>
      <c r="F523" s="229"/>
      <c r="G523" s="230"/>
      <c r="H523" s="167"/>
      <c r="I523" s="231"/>
      <c r="J523" s="232"/>
      <c r="M523" s="96" t="n">
        <f aca="false">ROW()</f>
        <v>523</v>
      </c>
      <c r="N523" s="62" t="s">
        <v>493</v>
      </c>
      <c r="O523" s="62" t="s">
        <v>494</v>
      </c>
    </row>
    <row r="524" s="96" customFormat="true" ht="15.75" hidden="false" customHeight="true" outlineLevel="0" collapsed="false">
      <c r="A524" s="130" t="str">
        <f aca="false">IF(B524="","",+""+1)</f>
        <v/>
      </c>
      <c r="B524" s="131"/>
      <c r="C524" s="131"/>
      <c r="D524" s="132"/>
      <c r="E524" s="130"/>
      <c r="F524" s="233"/>
      <c r="G524" s="270"/>
      <c r="H524" s="130"/>
      <c r="I524" s="142"/>
      <c r="J524" s="133"/>
      <c r="M524" s="96" t="n">
        <f aca="false">ROW()</f>
        <v>524</v>
      </c>
      <c r="N524" s="62" t="s">
        <v>495</v>
      </c>
      <c r="O524" s="62" t="s">
        <v>496</v>
      </c>
    </row>
    <row r="525" s="96" customFormat="true" ht="15.75" hidden="false" customHeight="true" outlineLevel="0" collapsed="false">
      <c r="A525" s="136" t="str">
        <f aca="false">IF(B525="","",+A524+1)</f>
        <v/>
      </c>
      <c r="B525" s="135"/>
      <c r="C525" s="135"/>
      <c r="D525" s="139"/>
      <c r="E525" s="136"/>
      <c r="F525" s="236"/>
      <c r="G525" s="237"/>
      <c r="H525" s="136"/>
      <c r="I525" s="180"/>
      <c r="J525" s="140"/>
      <c r="M525" s="96" t="n">
        <f aca="false">ROW()</f>
        <v>525</v>
      </c>
      <c r="N525" s="62" t="s">
        <v>497</v>
      </c>
      <c r="O525" s="62" t="s">
        <v>498</v>
      </c>
    </row>
    <row r="526" s="96" customFormat="true" ht="15.75" hidden="false" customHeight="true" outlineLevel="0" collapsed="false">
      <c r="A526" s="97"/>
      <c r="D526" s="98"/>
      <c r="E526" s="97"/>
      <c r="F526" s="97"/>
      <c r="G526" s="97"/>
      <c r="H526" s="97"/>
      <c r="I526" s="97"/>
      <c r="J526" s="196"/>
      <c r="M526" s="96" t="n">
        <f aca="false">ROW()</f>
        <v>526</v>
      </c>
      <c r="N526" s="62" t="s">
        <v>499</v>
      </c>
      <c r="O526" s="62" t="s">
        <v>500</v>
      </c>
    </row>
    <row r="527" customFormat="false" ht="14.25" hidden="false" customHeight="false" outlineLevel="0" collapsed="false">
      <c r="J527" s="92" t="str">
        <f aca="false">LEFT($J$111,13)&amp;"-05"</f>
        <v>FG-240-5P3L2R-05</v>
      </c>
      <c r="M527" s="96" t="n">
        <f aca="false">ROW()</f>
        <v>527</v>
      </c>
      <c r="N527" s="62" t="s">
        <v>501</v>
      </c>
      <c r="O527" s="62" t="s">
        <v>502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503</v>
      </c>
      <c r="O528" s="62" t="s">
        <v>504</v>
      </c>
    </row>
    <row r="529" customFormat="false" ht="14.25" hidden="false" customHeight="false" outlineLevel="0" collapsed="false">
      <c r="M529" s="96" t="n">
        <f aca="false">ROW()</f>
        <v>529</v>
      </c>
      <c r="N529" s="62" t="s">
        <v>505</v>
      </c>
      <c r="O529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8"/>
    <mergeCell ref="H163:H168"/>
    <mergeCell ref="I166:J167"/>
    <mergeCell ref="I168:J168"/>
    <mergeCell ref="D169:D170"/>
    <mergeCell ref="H169:H170"/>
    <mergeCell ref="D171:D172"/>
    <mergeCell ref="H171:H172"/>
    <mergeCell ref="A173:J173"/>
    <mergeCell ref="A213:J213"/>
    <mergeCell ref="C308:E308"/>
    <mergeCell ref="A320:J320"/>
    <mergeCell ref="F330:G330"/>
    <mergeCell ref="F331:G331"/>
    <mergeCell ref="F334:G334"/>
    <mergeCell ref="A427:J427"/>
    <mergeCell ref="A519:J519"/>
    <mergeCell ref="F521:G521"/>
  </mergeCells>
  <dataValidations count="4">
    <dataValidation allowBlank="true" errorStyle="stop" operator="between" showDropDown="false" showErrorMessage="true" showInputMessage="true" sqref="D127:G127" type="list">
      <formula1>$N$120:$N$128</formula1>
      <formula2>0</formula2>
    </dataValidation>
    <dataValidation allowBlank="true" errorStyle="stop" operator="between" showDropDown="false" showErrorMessage="true" showInputMessage="true" sqref="C206" type="list">
      <formula1>$O$175:$O$193</formula1>
      <formula2>0</formula2>
    </dataValidation>
    <dataValidation allowBlank="true" errorStyle="stop" operator="between" showDropDown="false" showErrorMessage="true" showInputMessage="true" sqref="D129:G129" type="list">
      <formula1>$O$120</formula1>
      <formula2>0</formula2>
    </dataValidation>
    <dataValidation allowBlank="true" errorStyle="stop" operator="between" showDropDown="false" showErrorMessage="true" showInputMessage="true" sqref="D123:G123" type="list">
      <formula1>$P$119:$P$128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W529"/>
  <sheetViews>
    <sheetView showFormulas="false" showGridLines="false" showRowColHeaders="true" showZeros="true" rightToLeft="false" tabSelected="false" showOutlineSymbols="true" defaultGridColor="true" view="pageBreakPreview" topLeftCell="A118" colorId="64" zoomScale="75" zoomScaleNormal="75" zoomScalePageLayoutView="75" workbookViewId="0">
      <selection pane="topLeft" activeCell="D127" activeCellId="0" sqref="D127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34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7.88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3.44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659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>
      <c r="G45" s="91"/>
    </row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660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5" hidden="false" customHeight="true" outlineLevel="0" collapsed="false">
      <c r="A118" s="97"/>
      <c r="C118" s="81"/>
      <c r="D118" s="98"/>
      <c r="E118" s="83"/>
      <c r="J118" s="99"/>
      <c r="K118" s="83"/>
    </row>
    <row r="119" s="96" customFormat="true" ht="15" hidden="false" customHeight="true" outlineLevel="0" collapsed="false">
      <c r="A119" s="97"/>
      <c r="C119" s="100" t="s">
        <v>286</v>
      </c>
      <c r="D119" s="101"/>
      <c r="E119" s="101"/>
      <c r="F119" s="101"/>
      <c r="G119" s="101"/>
      <c r="I119" s="83"/>
      <c r="J119" s="97"/>
      <c r="N119" s="258" t="s">
        <v>288</v>
      </c>
      <c r="O119" s="97" t="s">
        <v>289</v>
      </c>
      <c r="P119" s="102" t="s">
        <v>290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5</v>
      </c>
      <c r="O120" s="97" t="s">
        <v>509</v>
      </c>
      <c r="P120" s="106" t="s">
        <v>294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6</v>
      </c>
      <c r="O121" s="97" t="s">
        <v>296</v>
      </c>
      <c r="P121" s="106" t="s">
        <v>297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8</v>
      </c>
      <c r="P122" s="106" t="s">
        <v>299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2500</v>
      </c>
      <c r="N123" s="259" t="n">
        <v>10</v>
      </c>
      <c r="P123" s="106" t="s">
        <v>303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12</v>
      </c>
      <c r="P124" s="106" t="s">
        <v>305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14</v>
      </c>
      <c r="P125" s="106" t="s">
        <v>308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3500</v>
      </c>
      <c r="K126" s="110"/>
      <c r="L126" s="110"/>
      <c r="N126" s="259" t="n">
        <v>18</v>
      </c>
      <c r="P126" s="106" t="s">
        <v>311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259" t="n">
        <v>20</v>
      </c>
      <c r="P127" s="106" t="s">
        <v>313</v>
      </c>
    </row>
    <row r="128" s="96" customFormat="true" ht="18.75" hidden="false" customHeight="true" outlineLevel="0" collapsed="false">
      <c r="C128" s="108" t="s">
        <v>314</v>
      </c>
      <c r="I128" s="97"/>
      <c r="J128" s="97"/>
      <c r="N128" s="259" t="n">
        <v>22</v>
      </c>
      <c r="P128" s="106" t="s">
        <v>315</v>
      </c>
    </row>
    <row r="129" s="96" customFormat="true" ht="15" hidden="false" customHeight="true" outlineLevel="0" collapsed="false">
      <c r="A129" s="89" t="str">
        <f aca="false">A18</f>
        <v>240-5 Panel (4L1R)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3440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10</v>
      </c>
      <c r="U133" s="127" t="s">
        <v>644</v>
      </c>
      <c r="V133" s="128" t="n">
        <f aca="false">($J$126-185-(113.25*4))/5</f>
        <v>572.4</v>
      </c>
      <c r="W133" s="129" t="n">
        <f aca="false">$J$121*T133</f>
        <v>0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3414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10</v>
      </c>
      <c r="U134" s="130" t="s">
        <v>644</v>
      </c>
      <c r="V134" s="128" t="n">
        <f aca="false">($J$126-185-(113.25*4))/5</f>
        <v>572.4</v>
      </c>
      <c r="W134" s="134" t="n">
        <f aca="false">$J$121*T134</f>
        <v>0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3440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10</v>
      </c>
      <c r="U135" s="136" t="s">
        <v>644</v>
      </c>
      <c r="V135" s="128" t="n">
        <f aca="false">($J$126-185-(113.25*4))/5</f>
        <v>572.4</v>
      </c>
      <c r="W135" s="137" t="n">
        <f aca="false">$J$121*T135</f>
        <v>0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3440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10</v>
      </c>
      <c r="U136" s="127" t="s">
        <v>360</v>
      </c>
      <c r="V136" s="138" t="n">
        <f aca="false">$J$123-242</f>
        <v>2258</v>
      </c>
      <c r="W136" s="129" t="n">
        <f aca="false">$J$121*T136</f>
        <v>0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2500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10</v>
      </c>
      <c r="U137" s="130" t="s">
        <v>360</v>
      </c>
      <c r="V137" s="133" t="n">
        <f aca="false">$J$123-242</f>
        <v>2258</v>
      </c>
      <c r="W137" s="134" t="n">
        <f aca="false">$J$121*T137</f>
        <v>0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2500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10</v>
      </c>
      <c r="U138" s="136" t="s">
        <v>360</v>
      </c>
      <c r="V138" s="140" t="n">
        <f aca="false">$J$123-242</f>
        <v>2258</v>
      </c>
      <c r="W138" s="137" t="n">
        <f aca="false">$J$121*T138</f>
        <v>0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2404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2404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5</v>
      </c>
      <c r="H141" s="130" t="s">
        <v>645</v>
      </c>
      <c r="I141" s="141" t="n">
        <f aca="false">($J$126-60-(5+1)*4)/5</f>
        <v>683.2</v>
      </c>
      <c r="J141" s="134" t="n">
        <f aca="false">$J$120*G141</f>
        <v>5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5</v>
      </c>
      <c r="H142" s="130" t="s">
        <v>645</v>
      </c>
      <c r="I142" s="141" t="n">
        <f aca="false">($J$126-60-(5+1)*4)/5</f>
        <v>683.2</v>
      </c>
      <c r="J142" s="134" t="n">
        <f aca="false">$J$120*G142</f>
        <v>5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7</v>
      </c>
      <c r="H143" s="130" t="s">
        <v>389</v>
      </c>
      <c r="I143" s="133" t="n">
        <f aca="false">$J$123-92</f>
        <v>2408</v>
      </c>
      <c r="J143" s="134" t="n">
        <f aca="false">$J$120*G143</f>
        <v>7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661</v>
      </c>
      <c r="D144" s="132" t="s">
        <v>74</v>
      </c>
      <c r="E144" s="130" t="n">
        <v>1.106</v>
      </c>
      <c r="F144" s="132" t="s">
        <v>392</v>
      </c>
      <c r="G144" s="130" t="n">
        <v>2</v>
      </c>
      <c r="H144" s="130" t="s">
        <v>389</v>
      </c>
      <c r="I144" s="133" t="n">
        <f aca="false">$J$123-92</f>
        <v>2408</v>
      </c>
      <c r="J144" s="134" t="n">
        <f aca="false">$J$120*G144</f>
        <v>2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531</v>
      </c>
      <c r="C145" s="131" t="s">
        <v>532</v>
      </c>
      <c r="D145" s="132" t="s">
        <v>74</v>
      </c>
      <c r="E145" s="130" t="n">
        <v>1.106</v>
      </c>
      <c r="F145" s="132" t="s">
        <v>564</v>
      </c>
      <c r="G145" s="130" t="n">
        <v>1</v>
      </c>
      <c r="H145" s="130" t="s">
        <v>389</v>
      </c>
      <c r="I145" s="133" t="n">
        <f aca="false">$J$123-92</f>
        <v>2408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6" s="131" t="str">
        <f aca="false">IF($D$127=5,Q133,IF($D$127=6,Q133,IF($D$127=8,Q134,IF($D$127=10,Q134,IF($D$127=12,Q134,IF($D$127=14,Q135,IF($D$127=18,Q135,IF($D$127=20,Q135,IF($D$127=22,Q135,)))))))))</f>
        <v>B24008</v>
      </c>
      <c r="E146" s="131" t="n">
        <f aca="false">IF($D$127=5,R133,IF($D$127=6,R133,IF($D$127=8,R134,IF($D$127=10,R134,IF($D$127=12,R134,IF($D$127=14,R135,IF($D$127=18,R135,IF($D$127=20,R135,IF($D$127=22,R135,)))))))))</f>
        <v>0.231</v>
      </c>
      <c r="F146" s="131" t="str">
        <f aca="false">IF($D$127=5,S133,IF($D$127=6,S133,IF($D$127=8,S134,IF($D$127=10,S134,IF($D$127=12,S134,IF($D$127=14,S135,IF($D$127=18,S135,IF($D$127=20,S135,IF($D$127=22,S135,)))))))))</f>
        <v>B24008-001</v>
      </c>
      <c r="G146" s="130" t="n">
        <f aca="false">IF($D$127=5,T133,IF($D$127=6,T133,IF($D$127=8,T134,IF($D$127=10,T134,IF($D$127=12,T134,IF($D$127=14,T135,IF($D$127=18,T135,IF($D$127=20,T135,IF($D$127=22,T135,)))))))))</f>
        <v>10</v>
      </c>
      <c r="H146" s="130" t="str">
        <f aca="false">IF($D$127=5,U133,IF($D$127=6,U133,IF($D$127=8,U134,IF($D$127=10,U134,IF($D$127=12,U134,IF($D$127=14,U135,IF($D$127=18,U135,IF($D$127=20,U135,IF($D$127=22,U135,)))))))))</f>
        <v>(W-185-(113.25 × 4))/5</v>
      </c>
      <c r="I146" s="141" t="n">
        <f aca="false">IF($D$127=5,V133,IF($D$127=6,V133,IF($D$127=8,V134,IF($D$127=10,V134,IF($D$127=12,V134,IF($D$127=14,V135,IF($D$127=18,V135,IF($D$127=20,V135,IF($D$127=22,V135,)))))))))</f>
        <v>572.4</v>
      </c>
      <c r="J146" s="134" t="n">
        <f aca="false">$J$120*G146</f>
        <v>10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7" s="131" t="str">
        <f aca="false">IF($D$127=5,Q136,IF($D$127=6,Q136,IF($D$127=8,Q137,IF($D$127=10,Q137,IF($D$127=12,Q137,IF($D$127=14,Q138,IF($D$127=18,Q138,IF($D$127=20,Q138,IF($D$127=22,Q138,)))))))))</f>
        <v>B24008</v>
      </c>
      <c r="E147" s="131" t="n">
        <f aca="false">IF($D$127=5,R136,IF($D$127=6,R136,IF($D$127=8,R137,IF($D$127=10,R137,IF($D$127=12,R137,IF($D$127=14,R138,IF($D$127=18,R138,IF($D$127=20,R138,IF($D$127=22,R138,)))))))))</f>
        <v>0.231</v>
      </c>
      <c r="F147" s="131" t="str">
        <f aca="false">IF($D$127=5,S136,IF($D$127=6,S136,IF($D$127=8,S137,IF($D$127=10,S137,IF($D$127=12,S137,IF($D$127=14,S138,IF($D$127=18,S138,IF($D$127=20,S138,IF($D$127=22,S138,)))))))))</f>
        <v>B24008-002</v>
      </c>
      <c r="G147" s="130" t="n">
        <f aca="false">IF($D$127=5,T136,IF($D$127=6,T136,IF($D$127=8,T137,IF($D$127=10,T137,IF($D$127=12,T137,IF($D$127=14,T138,IF($D$127=18,T138,IF($D$127=20,T138,IF($D$127=22,T138,)))))))))</f>
        <v>10</v>
      </c>
      <c r="H147" s="130" t="str">
        <f aca="false">IF($D$127=5,U136,IF($D$127=6,U136,IF($D$127=8,U137,IF($D$127=10,U137,IF($D$127=12,U137,IF($D$127=14,U138,IF($D$127=18,U138,IF($D$127=20,U138,IF($D$127=22,U138,)))))))))</f>
        <v>H-242</v>
      </c>
      <c r="I147" s="133" t="n">
        <f aca="false">IF($D$127=5,V136,IF($D$127=6,V136,IF($D$127=8,V137,IF($D$127=10,V137,IF($D$127=12,V137,IF($D$127=14,V138,IF($D$127=18,V138,IF($D$127=20,V138,IF($D$127=22,V138,)))))))))</f>
        <v>2258</v>
      </c>
      <c r="J147" s="134" t="n">
        <f aca="false">$J$120*G147</f>
        <v>10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">
        <v>534</v>
      </c>
      <c r="C148" s="131" t="s">
        <v>535</v>
      </c>
      <c r="D148" s="132" t="s">
        <v>536</v>
      </c>
      <c r="E148" s="130"/>
      <c r="F148" s="132" t="s">
        <v>537</v>
      </c>
      <c r="G148" s="130" t="n">
        <v>1</v>
      </c>
      <c r="H148" s="130" t="s">
        <v>389</v>
      </c>
      <c r="I148" s="133" t="n">
        <f aca="false">$J$123-92</f>
        <v>2408</v>
      </c>
      <c r="J148" s="134" t="n">
        <f aca="false">$J$120*G148</f>
        <v>1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535</v>
      </c>
      <c r="D149" s="132" t="s">
        <v>536</v>
      </c>
      <c r="E149" s="130"/>
      <c r="F149" s="132" t="s">
        <v>539</v>
      </c>
      <c r="G149" s="130" t="n">
        <v>1</v>
      </c>
      <c r="H149" s="130" t="s">
        <v>389</v>
      </c>
      <c r="I149" s="133" t="n">
        <f aca="false">$J$123-92</f>
        <v>2408</v>
      </c>
      <c r="J149" s="134" t="n">
        <f aca="false">$J$120*G149</f>
        <v>1</v>
      </c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33"/>
      <c r="J150" s="134"/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33"/>
      <c r="J151" s="134"/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3440</v>
      </c>
      <c r="G155" s="155" t="n">
        <f aca="false">VLOOKUP(C155,$C$133:$J$153,8,0)</f>
        <v>1</v>
      </c>
      <c r="H155" s="264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VLOOKUP(C156,$C$133:$I$153,7,0)</f>
        <v>3414</v>
      </c>
      <c r="G156" s="155" t="n">
        <f aca="false">VLOOKUP(C156,$C$133:$J$153,8,0)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VLOOKUP(C157,$C$133:$I$153,7,0)</f>
        <v>3440</v>
      </c>
      <c r="G157" s="155" t="n">
        <f aca="false">VLOOKUP(C157,$C$133:$J$153,8,0)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VLOOKUP(C158,$C$133:$I$153,7,0)</f>
        <v>3440</v>
      </c>
      <c r="G158" s="155" t="n">
        <f aca="false">VLOOKUP(C158,$C$133:$J$153,8,0)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VLOOKUP(C159,$C$133:$I$153,7,0)</f>
        <v>2500</v>
      </c>
      <c r="G159" s="155" t="n">
        <f aca="false">VLOOKUP(C159,$C$133:$J$153,8,0)</f>
        <v>1</v>
      </c>
      <c r="H159" s="160" t="n">
        <f aca="false">ROUNDUP(((F159*G159)+(F160*G160))/6400,0)</f>
        <v>1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VLOOKUP(C160,$C$133:$I$153,7,0)</f>
        <v>2500</v>
      </c>
      <c r="G160" s="155" t="n">
        <f aca="false">VLOOKUP(C160,$C$133:$J$153,8,0)</f>
        <v>1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VLOOKUP(C161,$C$133:$I$153,7,0)</f>
        <v>2404</v>
      </c>
      <c r="G161" s="155" t="n">
        <f aca="false">VLOOKUP(C161,$C$133:$J$153,8,0)</f>
        <v>1</v>
      </c>
      <c r="H161" s="160" t="n">
        <f aca="false">ROUNDUP(((F161*G161)+(F162*G162))/6400,0)</f>
        <v>1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155" t="n">
        <f aca="false">VLOOKUP(C162,$C$133:$H$153,3,0)</f>
        <v>0.235</v>
      </c>
      <c r="F162" s="263" t="n">
        <f aca="false">VLOOKUP(C162,$C$133:$I$153,7,0)</f>
        <v>2404</v>
      </c>
      <c r="G162" s="155" t="n">
        <f aca="false">VLOOKUP(C162,$C$133:$J$153,8,0)</f>
        <v>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155" t="n">
        <f aca="false">VLOOKUP(C163,$C$133:$H$153,3,0)</f>
        <v>1.106</v>
      </c>
      <c r="F163" s="267" t="n">
        <f aca="false">VLOOKUP(C163,$C$133:$I$153,7,0)</f>
        <v>683.2</v>
      </c>
      <c r="G163" s="155" t="n">
        <f aca="false">VLOOKUP(C163,$C$133:$J$153,8,0)</f>
        <v>5</v>
      </c>
      <c r="H163" s="160" t="n">
        <f aca="false">ROUNDUP(((F163*G163)+(F164*G164)+(F165*G165)+(F166*G166)+(F167*G167))/6400,0)</f>
        <v>5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155" t="n">
        <f aca="false">VLOOKUP(C164,$C$133:$H$153,3,0)</f>
        <v>1.106</v>
      </c>
      <c r="F164" s="267" t="n">
        <f aca="false">VLOOKUP(C164,$C$133:$I$153,7,0)</f>
        <v>683.2</v>
      </c>
      <c r="G164" s="155" t="n">
        <f aca="false">VLOOKUP(C164,$C$133:$J$153,8,0)</f>
        <v>5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155" t="n">
        <f aca="false">VLOOKUP(C165,$C$133:$H$153,3,0)</f>
        <v>1.106</v>
      </c>
      <c r="F165" s="263" t="n">
        <f aca="false">VLOOKUP(C165,$C$133:$I$153,7,0)</f>
        <v>2408</v>
      </c>
      <c r="G165" s="155" t="n">
        <f aca="false">VLOOKUP(C165,$C$133:$J$153,8,0)</f>
        <v>7</v>
      </c>
      <c r="H165" s="160"/>
      <c r="I165" s="161"/>
      <c r="J165" s="161"/>
    </row>
    <row r="166" s="96" customFormat="true" ht="13.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</v>
      </c>
      <c r="D166" s="159"/>
      <c r="E166" s="155" t="n">
        <f aca="false">VLOOKUP(C166,$C$133:$H$153,3,0)</f>
        <v>1.106</v>
      </c>
      <c r="F166" s="263" t="n">
        <f aca="false">VLOOKUP(C166,$C$133:$I$153,7,0)</f>
        <v>2408</v>
      </c>
      <c r="G166" s="155" t="n">
        <f aca="false">VLOOKUP(C166,$C$133:$J$153,8,0)</f>
        <v>2</v>
      </c>
      <c r="H166" s="160"/>
      <c r="I166" s="161"/>
      <c r="J166" s="161"/>
    </row>
    <row r="167" s="96" customFormat="true" ht="15" hidden="false" customHeight="true" outlineLevel="1" collapsed="false">
      <c r="A167" s="158" t="n">
        <f aca="false">IF(B167="","",+A166+1)</f>
        <v>13</v>
      </c>
      <c r="B167" s="153" t="str">
        <f aca="false">B145</f>
        <v>เสากุญแจมือจับ</v>
      </c>
      <c r="C167" s="153" t="str">
        <f aca="false">C145</f>
        <v>SASH (Ver) LOCK HANDLE</v>
      </c>
      <c r="D167" s="159"/>
      <c r="E167" s="155" t="n">
        <f aca="false">VLOOKUP(C167,$C$133:$H$153,3,0)</f>
        <v>1.106</v>
      </c>
      <c r="F167" s="263" t="n">
        <f aca="false">VLOOKUP(C167,$C$133:$I$153,7,0)</f>
        <v>2408</v>
      </c>
      <c r="G167" s="155" t="n">
        <f aca="false">VLOOKUP(C167,$C$133:$J$153,8,0)</f>
        <v>1</v>
      </c>
      <c r="H167" s="160"/>
      <c r="I167" s="161"/>
      <c r="J167" s="161"/>
    </row>
    <row r="168" s="96" customFormat="true" ht="13.5" hidden="false" customHeight="true" outlineLevel="1" collapsed="false">
      <c r="A168" s="158" t="n">
        <f aca="false">IF(B168="","",+A167+1)</f>
        <v>14</v>
      </c>
      <c r="B168" s="153" t="str">
        <f aca="false">B146</f>
        <v>5-6mm คิ้วตบกระจกแนวนอน</v>
      </c>
      <c r="C168" s="153" t="str">
        <f aca="false">C146</f>
        <v>5-6mm GLAZING BEAD HORIZONTAL</v>
      </c>
      <c r="D168" s="159" t="str">
        <f aca="false">VLOOKUP(C168,$C$133:$H$153,2,0)</f>
        <v>B24008</v>
      </c>
      <c r="E168" s="155" t="n">
        <f aca="false">VLOOKUP(C168,$C$133:$H$153,3,0)</f>
        <v>0.231</v>
      </c>
      <c r="F168" s="267" t="n">
        <f aca="false">VLOOKUP(C168,$C$133:$I$153,7,0)</f>
        <v>572.4</v>
      </c>
      <c r="G168" s="155" t="n">
        <f aca="false">VLOOKUP(C168,$C$133:$J$153,8,0)</f>
        <v>10</v>
      </c>
      <c r="H168" s="160" t="n">
        <f aca="false">ROUNDUP(((F168*G168)+(F169*G169))/6400,0)</f>
        <v>5</v>
      </c>
      <c r="I168" s="265"/>
      <c r="J168" s="265"/>
    </row>
    <row r="169" s="96" customFormat="true" ht="15" hidden="false" customHeight="true" outlineLevel="1" collapsed="false">
      <c r="A169" s="158" t="n">
        <f aca="false">IF(B169="","",+A168+1)</f>
        <v>15</v>
      </c>
      <c r="B169" s="153" t="str">
        <f aca="false">B147</f>
        <v>5-6mm คิ้วตบกระจกแนวตั้ง</v>
      </c>
      <c r="C169" s="153" t="str">
        <f aca="false">C147</f>
        <v>5-6mm GLAZING BEAD VERTICAL</v>
      </c>
      <c r="D169" s="159"/>
      <c r="E169" s="155" t="n">
        <f aca="false">VLOOKUP(C169,$C$133:$H$153,3,0)</f>
        <v>0.231</v>
      </c>
      <c r="F169" s="263" t="n">
        <f aca="false">VLOOKUP(C169,$C$133:$I$153,7,0)</f>
        <v>2258</v>
      </c>
      <c r="G169" s="155" t="n">
        <f aca="false">VLOOKUP(C169,$C$133:$J$153,8,0)</f>
        <v>10</v>
      </c>
      <c r="H169" s="160"/>
      <c r="I169" s="196"/>
      <c r="J169" s="196"/>
    </row>
    <row r="170" s="96" customFormat="true" ht="13.5" hidden="false" customHeight="true" outlineLevel="1" collapsed="false">
      <c r="A170" s="158" t="n">
        <f aca="false">IF(B170="","",+A169+1)</f>
        <v>16</v>
      </c>
      <c r="B170" s="153" t="str">
        <f aca="false">B148</f>
        <v>บังใบ</v>
      </c>
      <c r="C170" s="153" t="str">
        <f aca="false">C148</f>
        <v>SASH STOP</v>
      </c>
      <c r="D170" s="163" t="str">
        <f aca="false">VLOOKUP(C170,$C$133:$H$153,2,0)</f>
        <v>B24009</v>
      </c>
      <c r="E170" s="155" t="n">
        <f aca="false">VLOOKUP(C170,$C$133:$H$153,3,0)</f>
        <v>0</v>
      </c>
      <c r="F170" s="263" t="n">
        <f aca="false">VLOOKUP(C170,$C$133:$I$153,7,0)</f>
        <v>2408</v>
      </c>
      <c r="G170" s="155" t="n">
        <f aca="false">VLOOKUP(C170,$C$133:$J$153,8,0)</f>
        <v>1</v>
      </c>
      <c r="H170" s="160" t="n">
        <f aca="false">ROUNDUP(((F170*G170)+(F171*G171))/6400,0)</f>
        <v>1</v>
      </c>
      <c r="I170" s="196"/>
      <c r="J170" s="196"/>
    </row>
    <row r="171" s="96" customFormat="true" ht="14.25" hidden="false" customHeight="false" outlineLevel="1" collapsed="false">
      <c r="A171" s="158" t="n">
        <f aca="false">IF(B171="","",+A170+1)</f>
        <v>17</v>
      </c>
      <c r="B171" s="153" t="str">
        <f aca="false">B149</f>
        <v>บังใบ</v>
      </c>
      <c r="C171" s="153" t="str">
        <f aca="false">C149</f>
        <v>SASH STOP</v>
      </c>
      <c r="D171" s="163"/>
      <c r="E171" s="155" t="n">
        <f aca="false">VLOOKUP(C171,$C$133:$H$153,3,0)</f>
        <v>0</v>
      </c>
      <c r="F171" s="263" t="n">
        <f aca="false">VLOOKUP(C171,$C$133:$I$153,7,0)</f>
        <v>2408</v>
      </c>
      <c r="G171" s="155" t="n">
        <f aca="false">VLOOKUP(C171,$C$133:$J$153,8,0)</f>
        <v>1</v>
      </c>
      <c r="H171" s="160"/>
      <c r="I171" s="196"/>
      <c r="J171" s="196"/>
    </row>
    <row r="172" s="96" customFormat="true" ht="24.75" hidden="false" customHeight="true" outlineLevel="0" collapsed="false">
      <c r="A172" s="113" t="s">
        <v>396</v>
      </c>
      <c r="B172" s="113"/>
      <c r="C172" s="113"/>
      <c r="D172" s="113"/>
      <c r="E172" s="113"/>
      <c r="F172" s="113"/>
      <c r="G172" s="113"/>
      <c r="H172" s="113"/>
      <c r="I172" s="113"/>
      <c r="J172" s="113"/>
    </row>
    <row r="173" s="96" customFormat="true" ht="34.5" hidden="false" customHeight="true" outlineLevel="0" collapsed="false">
      <c r="A173" s="114" t="s">
        <v>319</v>
      </c>
      <c r="B173" s="115" t="s">
        <v>320</v>
      </c>
      <c r="C173" s="115" t="s">
        <v>168</v>
      </c>
      <c r="D173" s="115" t="s">
        <v>397</v>
      </c>
      <c r="E173" s="115" t="s">
        <v>321</v>
      </c>
      <c r="F173" s="116" t="s">
        <v>398</v>
      </c>
      <c r="G173" s="115" t="s">
        <v>399</v>
      </c>
      <c r="H173" s="116" t="s">
        <v>400</v>
      </c>
      <c r="I173" s="116" t="s">
        <v>401</v>
      </c>
      <c r="J173" s="117" t="s">
        <v>402</v>
      </c>
      <c r="N173" s="107" t="s">
        <v>288</v>
      </c>
      <c r="O173" s="165" t="s">
        <v>320</v>
      </c>
      <c r="P173" s="165" t="s">
        <v>168</v>
      </c>
      <c r="Q173" s="165" t="s">
        <v>397</v>
      </c>
      <c r="R173" s="165" t="s">
        <v>321</v>
      </c>
      <c r="S173" s="165" t="s">
        <v>398</v>
      </c>
      <c r="T173" s="165" t="s">
        <v>399</v>
      </c>
      <c r="U173" s="165" t="s">
        <v>400</v>
      </c>
      <c r="V173" s="165" t="s">
        <v>401</v>
      </c>
      <c r="W173" s="165" t="s">
        <v>402</v>
      </c>
    </row>
    <row r="174" s="96" customFormat="true" ht="18" hidden="false" customHeight="true" outlineLevel="0" collapsed="false">
      <c r="A174" s="166" t="n">
        <f aca="false">IF(B174="","",1)</f>
        <v>1</v>
      </c>
      <c r="B174" s="131" t="s">
        <v>410</v>
      </c>
      <c r="C174" s="131" t="s">
        <v>411</v>
      </c>
      <c r="D174" s="132" t="s">
        <v>267</v>
      </c>
      <c r="E174" s="130"/>
      <c r="F174" s="130" t="s">
        <v>267</v>
      </c>
      <c r="G174" s="130" t="s">
        <v>405</v>
      </c>
      <c r="H174" s="130" t="n">
        <v>10</v>
      </c>
      <c r="I174" s="133"/>
      <c r="J174" s="134" t="n">
        <f aca="false">$J$120*H174</f>
        <v>10</v>
      </c>
      <c r="N174" s="107" t="s">
        <v>406</v>
      </c>
      <c r="O174" s="55" t="s">
        <v>407</v>
      </c>
      <c r="P174" s="62" t="s">
        <v>408</v>
      </c>
      <c r="Q174" s="55" t="s">
        <v>227</v>
      </c>
      <c r="R174" s="158"/>
      <c r="S174" s="158" t="s">
        <v>227</v>
      </c>
      <c r="T174" s="158" t="s">
        <v>409</v>
      </c>
      <c r="U174" s="168" t="n">
        <f aca="false">((($I$141*$G$141)+($I$142*$G$142)+($I$143*$G$143)+($I$144*$G$144)+($I$145*$G$145))/1000)*$J$120</f>
        <v>30.912</v>
      </c>
      <c r="V174" s="168" t="n">
        <v>100</v>
      </c>
      <c r="W174" s="169" t="n">
        <f aca="false">ROUNDUP((U174)/100,0)</f>
        <v>1</v>
      </c>
    </row>
    <row r="175" s="96" customFormat="true" ht="18" hidden="false" customHeight="true" outlineLevel="0" collapsed="false">
      <c r="A175" s="170" t="n">
        <f aca="false">IF(B175="","",+A174+1)</f>
        <v>2</v>
      </c>
      <c r="B175" s="131" t="s">
        <v>415</v>
      </c>
      <c r="C175" s="131" t="s">
        <v>416</v>
      </c>
      <c r="D175" s="132" t="s">
        <v>222</v>
      </c>
      <c r="E175" s="130"/>
      <c r="F175" s="130" t="s">
        <v>222</v>
      </c>
      <c r="G175" s="130" t="s">
        <v>405</v>
      </c>
      <c r="H175" s="130" t="n">
        <v>2</v>
      </c>
      <c r="I175" s="133"/>
      <c r="J175" s="134" t="n">
        <f aca="false">$J$120*H175</f>
        <v>2</v>
      </c>
      <c r="N175" s="107" t="s">
        <v>412</v>
      </c>
      <c r="O175" s="55" t="s">
        <v>413</v>
      </c>
      <c r="P175" s="62" t="s">
        <v>414</v>
      </c>
      <c r="Q175" s="55" t="s">
        <v>234</v>
      </c>
      <c r="R175" s="158"/>
      <c r="S175" s="158" t="s">
        <v>234</v>
      </c>
      <c r="T175" s="158" t="s">
        <v>409</v>
      </c>
      <c r="U175" s="168" t="n">
        <f aca="false">((($I$141*$G$141)+($I$142*$G$142)+($I$143*$G$143)+($I$144*$G$144)+($I$145*$G$145))/1000)*$J$120</f>
        <v>30.912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3</v>
      </c>
      <c r="B176" s="131" t="s">
        <v>420</v>
      </c>
      <c r="C176" s="131" t="s">
        <v>421</v>
      </c>
      <c r="D176" s="132" t="s">
        <v>225</v>
      </c>
      <c r="E176" s="130"/>
      <c r="F176" s="130" t="s">
        <v>225</v>
      </c>
      <c r="G176" s="130" t="s">
        <v>405</v>
      </c>
      <c r="H176" s="130" t="n">
        <v>2</v>
      </c>
      <c r="I176" s="133"/>
      <c r="J176" s="134" t="n">
        <f aca="false">$J$120*H176</f>
        <v>2</v>
      </c>
      <c r="N176" s="107" t="s">
        <v>417</v>
      </c>
      <c r="O176" s="62" t="s">
        <v>418</v>
      </c>
      <c r="P176" s="62" t="s">
        <v>419</v>
      </c>
      <c r="Q176" s="55" t="s">
        <v>236</v>
      </c>
      <c r="R176" s="158"/>
      <c r="S176" s="158" t="s">
        <v>236</v>
      </c>
      <c r="T176" s="158" t="s">
        <v>409</v>
      </c>
      <c r="U176" s="168" t="n">
        <f aca="false">((($I$141*$G$141)+($I$142*$G$142)+($I$143*$G$143)+($I$144*$G$144)+($I$145*$G$145))/1000)*$J$120</f>
        <v>30.912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4</v>
      </c>
      <c r="B177" s="131" t="s">
        <v>425</v>
      </c>
      <c r="C177" s="131" t="s">
        <v>426</v>
      </c>
      <c r="D177" s="132" t="n">
        <v>9</v>
      </c>
      <c r="E177" s="130"/>
      <c r="F177" s="130" t="n">
        <v>9</v>
      </c>
      <c r="G177" s="130" t="s">
        <v>405</v>
      </c>
      <c r="H177" s="130" t="n">
        <v>8</v>
      </c>
      <c r="I177" s="133"/>
      <c r="J177" s="134" t="n">
        <f aca="false">$J$120*H177</f>
        <v>8</v>
      </c>
      <c r="N177" s="107" t="s">
        <v>422</v>
      </c>
      <c r="O177" s="62" t="s">
        <v>423</v>
      </c>
      <c r="P177" s="62" t="s">
        <v>424</v>
      </c>
      <c r="Q177" s="55" t="s">
        <v>238</v>
      </c>
      <c r="R177" s="158"/>
      <c r="S177" s="158" t="s">
        <v>238</v>
      </c>
      <c r="T177" s="158" t="s">
        <v>409</v>
      </c>
      <c r="U177" s="168" t="n">
        <f aca="false">((($I$141*$G$141)+($I$142*$G$142)+($I$143*$G$143)+($I$144*$G$144)+($I$145*$G$145))/1000)*$J$120</f>
        <v>30.912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5</v>
      </c>
      <c r="B178" s="131" t="s">
        <v>430</v>
      </c>
      <c r="C178" s="131" t="s">
        <v>431</v>
      </c>
      <c r="D178" s="132" t="n">
        <v>9</v>
      </c>
      <c r="E178" s="130"/>
      <c r="F178" s="130" t="n">
        <v>9</v>
      </c>
      <c r="G178" s="130" t="s">
        <v>405</v>
      </c>
      <c r="H178" s="130" t="n">
        <v>110</v>
      </c>
      <c r="I178" s="133"/>
      <c r="J178" s="134" t="n">
        <f aca="false">$J$120*H178</f>
        <v>110</v>
      </c>
      <c r="N178" s="107" t="s">
        <v>427</v>
      </c>
      <c r="O178" s="62" t="s">
        <v>428</v>
      </c>
      <c r="P178" s="62" t="s">
        <v>429</v>
      </c>
      <c r="Q178" s="55" t="s">
        <v>240</v>
      </c>
      <c r="R178" s="158"/>
      <c r="S178" s="158" t="s">
        <v>240</v>
      </c>
      <c r="T178" s="158" t="s">
        <v>409</v>
      </c>
      <c r="U178" s="168" t="n">
        <f aca="false">((($I$141*$G$141)+($I$142*$G$142)+($I$143*$G$143)+($I$144*$G$144)+($I$145*$G$145))/1000)*$J$120</f>
        <v>30.912</v>
      </c>
      <c r="V178" s="168" t="n">
        <v>100</v>
      </c>
      <c r="W178" s="169" t="n">
        <f aca="false">ROUNDUP((U178)/100,0)</f>
        <v>1</v>
      </c>
    </row>
    <row r="179" s="96" customFormat="true" ht="18" hidden="false" customHeight="true" outlineLevel="0" collapsed="false">
      <c r="A179" s="170" t="n">
        <f aca="false">IF(B179="","",+A178+1)</f>
        <v>6</v>
      </c>
      <c r="B179" s="131" t="s">
        <v>432</v>
      </c>
      <c r="C179" s="131" t="s">
        <v>433</v>
      </c>
      <c r="D179" s="132" t="s">
        <v>6</v>
      </c>
      <c r="E179" s="130"/>
      <c r="F179" s="130" t="s">
        <v>6</v>
      </c>
      <c r="G179" s="130" t="s">
        <v>434</v>
      </c>
      <c r="H179" s="130" t="n">
        <v>1</v>
      </c>
      <c r="I179" s="133"/>
      <c r="J179" s="134" t="n">
        <f aca="false">$J$120*H179</f>
        <v>1</v>
      </c>
    </row>
    <row r="180" s="96" customFormat="true" ht="18" hidden="false" customHeight="true" outlineLevel="0" collapsed="false">
      <c r="A180" s="170" t="n">
        <f aca="false">IF(B180="","",+A179+1)</f>
        <v>7</v>
      </c>
      <c r="B180" s="131" t="s">
        <v>512</v>
      </c>
      <c r="C180" s="131" t="s">
        <v>513</v>
      </c>
      <c r="D180" s="132" t="s">
        <v>7</v>
      </c>
      <c r="E180" s="130"/>
      <c r="F180" s="130" t="s">
        <v>7</v>
      </c>
      <c r="G180" s="130" t="s">
        <v>434</v>
      </c>
      <c r="H180" s="130" t="n">
        <v>1</v>
      </c>
      <c r="I180" s="133"/>
      <c r="J180" s="134" t="n">
        <f aca="false">$J$120*H180</f>
        <v>1</v>
      </c>
    </row>
    <row r="181" s="96" customFormat="true" ht="18" hidden="false" customHeight="true" outlineLevel="0" collapsed="false">
      <c r="A181" s="170" t="n">
        <f aca="false">IF(B181="","",+A180+1)</f>
        <v>8</v>
      </c>
      <c r="B181" s="131" t="s">
        <v>435</v>
      </c>
      <c r="C181" s="131" t="s">
        <v>436</v>
      </c>
      <c r="D181" s="132" t="s">
        <v>9</v>
      </c>
      <c r="E181" s="130"/>
      <c r="F181" s="130" t="s">
        <v>9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9</v>
      </c>
      <c r="B182" s="131" t="s">
        <v>554</v>
      </c>
      <c r="C182" s="131" t="s">
        <v>555</v>
      </c>
      <c r="D182" s="132" t="s">
        <v>11</v>
      </c>
      <c r="E182" s="130"/>
      <c r="F182" s="130" t="s">
        <v>11</v>
      </c>
      <c r="G182" s="130" t="s">
        <v>434</v>
      </c>
      <c r="H182" s="130" t="n">
        <v>1</v>
      </c>
      <c r="I182" s="142"/>
      <c r="J182" s="134" t="n">
        <f aca="false">$J$120*H182</f>
        <v>1</v>
      </c>
    </row>
    <row r="183" s="96" customFormat="true" ht="18" hidden="false" customHeight="true" outlineLevel="0" collapsed="false">
      <c r="A183" s="170" t="n">
        <f aca="false">IF(B183="","",+A182+1)</f>
        <v>10</v>
      </c>
      <c r="B183" s="131" t="s">
        <v>556</v>
      </c>
      <c r="C183" s="131" t="s">
        <v>557</v>
      </c>
      <c r="D183" s="132" t="s">
        <v>5</v>
      </c>
      <c r="E183" s="130"/>
      <c r="F183" s="130" t="s">
        <v>5</v>
      </c>
      <c r="G183" s="130" t="s">
        <v>434</v>
      </c>
      <c r="H183" s="130" t="n">
        <v>2</v>
      </c>
      <c r="I183" s="142"/>
      <c r="J183" s="134" t="n">
        <f aca="false">$J$120*H183</f>
        <v>2</v>
      </c>
      <c r="Q183" s="172"/>
      <c r="R183" s="172"/>
      <c r="S183" s="172"/>
      <c r="T183" s="97"/>
      <c r="U183" s="97"/>
      <c r="V183" s="97"/>
    </row>
    <row r="184" s="96" customFormat="true" ht="18" hidden="false" customHeight="true" outlineLevel="0" collapsed="false">
      <c r="A184" s="170" t="n">
        <f aca="false">IF(B184="","",+A183+1)</f>
        <v>11</v>
      </c>
      <c r="B184" s="131" t="s">
        <v>439</v>
      </c>
      <c r="C184" s="131" t="s">
        <v>440</v>
      </c>
      <c r="D184" s="132" t="s">
        <v>12</v>
      </c>
      <c r="E184" s="130"/>
      <c r="F184" s="130" t="s">
        <v>12</v>
      </c>
      <c r="G184" s="130" t="s">
        <v>434</v>
      </c>
      <c r="H184" s="130" t="n">
        <v>2</v>
      </c>
      <c r="I184" s="142"/>
      <c r="J184" s="134" t="n">
        <f aca="false">$J$120*H184</f>
        <v>2</v>
      </c>
      <c r="N184" s="107" t="s">
        <v>289</v>
      </c>
      <c r="O184" s="165" t="s">
        <v>320</v>
      </c>
      <c r="P184" s="165" t="s">
        <v>168</v>
      </c>
      <c r="Q184" s="165" t="s">
        <v>397</v>
      </c>
      <c r="R184" s="165" t="s">
        <v>321</v>
      </c>
      <c r="S184" s="165" t="s">
        <v>398</v>
      </c>
      <c r="T184" s="165" t="s">
        <v>399</v>
      </c>
      <c r="U184" s="165" t="s">
        <v>400</v>
      </c>
      <c r="V184" s="165" t="s">
        <v>401</v>
      </c>
      <c r="W184" s="165" t="s">
        <v>402</v>
      </c>
    </row>
    <row r="185" s="96" customFormat="true" ht="18" hidden="false" customHeight="true" outlineLevel="0" collapsed="false">
      <c r="A185" s="170" t="n">
        <f aca="false">IF(B185="","",+A184+1)</f>
        <v>12</v>
      </c>
      <c r="B185" s="131" t="s">
        <v>540</v>
      </c>
      <c r="C185" s="131" t="s">
        <v>541</v>
      </c>
      <c r="D185" s="132" t="s">
        <v>542</v>
      </c>
      <c r="E185" s="130"/>
      <c r="F185" s="130" t="s">
        <v>542</v>
      </c>
      <c r="G185" s="130" t="s">
        <v>434</v>
      </c>
      <c r="H185" s="130" t="n">
        <v>1</v>
      </c>
      <c r="I185" s="142"/>
      <c r="J185" s="134" t="n">
        <f aca="false">$J$120*H185</f>
        <v>1</v>
      </c>
      <c r="N185" s="107" t="s">
        <v>445</v>
      </c>
      <c r="O185" s="62" t="s">
        <v>446</v>
      </c>
      <c r="P185" s="62" t="s">
        <v>447</v>
      </c>
      <c r="Q185" s="55" t="s">
        <v>230</v>
      </c>
      <c r="R185" s="158"/>
      <c r="S185" s="158" t="s">
        <v>230</v>
      </c>
      <c r="T185" s="158" t="s">
        <v>409</v>
      </c>
      <c r="U185" s="168" t="n">
        <f aca="false">((($I$134*$G$134)+($I$136*$G$136)+($I$139*$G$139))/1000)*$J$120</f>
        <v>9.258</v>
      </c>
      <c r="V185" s="168" t="n">
        <v>300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13</v>
      </c>
      <c r="B186" s="131" t="s">
        <v>441</v>
      </c>
      <c r="C186" s="131" t="s">
        <v>442</v>
      </c>
      <c r="D186" s="132" t="s">
        <v>274</v>
      </c>
      <c r="E186" s="130"/>
      <c r="F186" s="130" t="s">
        <v>274</v>
      </c>
      <c r="G186" s="130" t="s">
        <v>405</v>
      </c>
      <c r="H186" s="130" t="n">
        <v>4</v>
      </c>
      <c r="I186" s="133"/>
      <c r="J186" s="134" t="n">
        <f aca="false">$J$120*H186</f>
        <v>4</v>
      </c>
      <c r="N186" s="107" t="s">
        <v>448</v>
      </c>
      <c r="O186" s="62" t="s">
        <v>449</v>
      </c>
      <c r="P186" s="62" t="s">
        <v>450</v>
      </c>
      <c r="Q186" s="55" t="s">
        <v>451</v>
      </c>
      <c r="R186" s="158"/>
      <c r="S186" s="158" t="s">
        <v>451</v>
      </c>
      <c r="T186" s="158" t="s">
        <v>409</v>
      </c>
      <c r="U186" s="168" t="n">
        <f aca="false">((($I$134*$G$134)+($I$136*$G$136)+($I$139*$G$139))/1000)*$J$120</f>
        <v>9.258</v>
      </c>
      <c r="V186" s="168" t="n">
        <v>100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14</v>
      </c>
      <c r="B187" s="131" t="s">
        <v>443</v>
      </c>
      <c r="C187" s="131" t="s">
        <v>444</v>
      </c>
      <c r="D187" s="132" t="s">
        <v>272</v>
      </c>
      <c r="E187" s="130"/>
      <c r="F187" s="130" t="s">
        <v>272</v>
      </c>
      <c r="G187" s="130" t="s">
        <v>405</v>
      </c>
      <c r="H187" s="130" t="n">
        <v>1</v>
      </c>
      <c r="I187" s="133"/>
      <c r="J187" s="134" t="n">
        <f aca="false">$J$120*H187</f>
        <v>1</v>
      </c>
      <c r="N187" s="107" t="s">
        <v>445</v>
      </c>
      <c r="O187" s="62" t="s">
        <v>452</v>
      </c>
      <c r="P187" s="62" t="s">
        <v>453</v>
      </c>
      <c r="Q187" s="55" t="s">
        <v>232</v>
      </c>
      <c r="R187" s="158"/>
      <c r="S187" s="158" t="s">
        <v>232</v>
      </c>
      <c r="T187" s="158" t="s">
        <v>409</v>
      </c>
      <c r="U187" s="168" t="n">
        <f aca="false">((($I$141*$G$141*2)+($I$143*$G$143*2)+($I$144*$G$144))/1000)*$J$120</f>
        <v>45.36</v>
      </c>
      <c r="V187" s="168" t="n">
        <v>350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15</v>
      </c>
      <c r="B188" s="131" t="s">
        <v>403</v>
      </c>
      <c r="C188" s="131" t="s">
        <v>404</v>
      </c>
      <c r="D188" s="132" t="s">
        <v>276</v>
      </c>
      <c r="E188" s="130"/>
      <c r="F188" s="130" t="s">
        <v>276</v>
      </c>
      <c r="G188" s="130" t="s">
        <v>405</v>
      </c>
      <c r="H188" s="130" t="n">
        <v>2</v>
      </c>
      <c r="I188" s="133"/>
      <c r="J188" s="134" t="n">
        <f aca="false">$J$120*H188</f>
        <v>2</v>
      </c>
      <c r="N188" s="107" t="s">
        <v>448</v>
      </c>
      <c r="O188" s="62" t="s">
        <v>454</v>
      </c>
      <c r="P188" s="62" t="s">
        <v>455</v>
      </c>
      <c r="Q188" s="55" t="s">
        <v>456</v>
      </c>
      <c r="R188" s="158"/>
      <c r="S188" s="158" t="s">
        <v>456</v>
      </c>
      <c r="T188" s="158" t="s">
        <v>409</v>
      </c>
      <c r="U188" s="168" t="n">
        <f aca="false">((($I$141*$G$141*2)+($I$143*$G$143*2)+($I$144*$G$144))/1000)*$J$120</f>
        <v>45.36</v>
      </c>
      <c r="V188" s="168" t="n">
        <v>100</v>
      </c>
      <c r="W188" s="169" t="n">
        <f aca="false">ROUNDUP((U188)/V188,0)</f>
        <v>1</v>
      </c>
    </row>
    <row r="189" s="96" customFormat="true" ht="18" hidden="false" customHeight="true" outlineLevel="0" collapsed="false">
      <c r="A189" s="170" t="n">
        <f aca="false">IF(B189="","",+A188+1)</f>
        <v>16</v>
      </c>
      <c r="B189" s="131" t="s">
        <v>580</v>
      </c>
      <c r="C189" s="131" t="s">
        <v>581</v>
      </c>
      <c r="D189" s="132" t="s">
        <v>582</v>
      </c>
      <c r="E189" s="130"/>
      <c r="F189" s="130" t="s">
        <v>582</v>
      </c>
      <c r="G189" s="130" t="s">
        <v>409</v>
      </c>
      <c r="H189" s="173" t="n">
        <f aca="false">((($I$148*$G$148)+($I$149*$G$149))/1000)*$J$120</f>
        <v>4.816</v>
      </c>
      <c r="I189" s="174" t="n">
        <v>100</v>
      </c>
      <c r="J189" s="175" t="n">
        <f aca="false">ROUNDUP((H189)/100,0)</f>
        <v>1</v>
      </c>
    </row>
    <row r="190" s="96" customFormat="true" ht="18" hidden="false" customHeight="true" outlineLevel="0" collapsed="false">
      <c r="A190" s="170" t="n">
        <f aca="false">IF(B190="","",+A189+1)</f>
        <v>17</v>
      </c>
      <c r="B190" s="131" t="s">
        <v>583</v>
      </c>
      <c r="C190" s="131" t="s">
        <v>584</v>
      </c>
      <c r="D190" s="132" t="s">
        <v>585</v>
      </c>
      <c r="E190" s="130"/>
      <c r="F190" s="130" t="s">
        <v>585</v>
      </c>
      <c r="G190" s="130" t="s">
        <v>409</v>
      </c>
      <c r="H190" s="173" t="n">
        <f aca="false">((($I$145*$G$145*2))/1000)*$J$120</f>
        <v>4.816</v>
      </c>
      <c r="I190" s="174" t="n">
        <v>100</v>
      </c>
      <c r="J190" s="175" t="n">
        <f aca="false">ROUNDUP((H190)/100,0)</f>
        <v>1</v>
      </c>
    </row>
    <row r="191" s="96" customFormat="true" ht="18" hidden="false" customHeight="true" outlineLevel="0" collapsed="false">
      <c r="A191" s="170" t="n">
        <f aca="false">IF(B191="","",+A190+1)</f>
        <v>18</v>
      </c>
      <c r="B191" s="132" t="str">
        <f aca="false">IF($D$129="Standard",$O$185,IF($D$129="Soumdproof",$O$186,))</f>
        <v>ยางเฟรมกันน้ำ (ธรรมดา)</v>
      </c>
      <c r="C191" s="132" t="str">
        <f aca="false">IF($D$129="Standard",$P$185,IF($D$129="Soumdproof",$P$186,))</f>
        <v>FRAME SEAL (Standard)</v>
      </c>
      <c r="D191" s="132" t="str">
        <f aca="false">IF($D$129="Standard",$Q$185,IF($D$129="Soumdproof",$Q$186,))</f>
        <v>02-026</v>
      </c>
      <c r="E191" s="130" t="n">
        <f aca="false">IF($D$129="Standard",R189,IF($D$129="Soumdproof",R190,))</f>
        <v>0</v>
      </c>
      <c r="F191" s="130" t="str">
        <f aca="false">IF($D$129="Standard",$S$185,IF($D$129="Soumdproof",$S$186,))</f>
        <v>02-026</v>
      </c>
      <c r="G191" s="130" t="str">
        <f aca="false">IF($D$129="Standard",$T$185,IF($D$129="Soumdproof",$T$186,))</f>
        <v>M</v>
      </c>
      <c r="H191" s="173" t="n">
        <f aca="false">IF($D$129="Standard",$U$185,IF($D$129="Soumdproof",$U$186,))</f>
        <v>9.258</v>
      </c>
      <c r="I191" s="174" t="n">
        <f aca="false">IF($D$129="Standard",$V$185,IF($D$129="Soumdproof",$V$186,))</f>
        <v>300</v>
      </c>
      <c r="J191" s="175" t="n">
        <f aca="false">ROUNDUP((H191)/100,0)</f>
        <v>1</v>
      </c>
    </row>
    <row r="192" s="96" customFormat="true" ht="18" hidden="false" customHeight="true" outlineLevel="0" collapsed="false">
      <c r="A192" s="170" t="n">
        <f aca="false">IF(B192="","",+A191+1)</f>
        <v>19</v>
      </c>
      <c r="B192" s="132" t="str">
        <f aca="false">IF($D$129="Standard",$O$187,IF($D$129="Soumdproof",$O$188,))</f>
        <v>ยางแซชกันน้ำ (ธรรมดา)</v>
      </c>
      <c r="C192" s="132" t="str">
        <f aca="false">IF($D$129="Standard",$P$187,IF($D$129="Soumdproof",$P$188,))</f>
        <v>SASH SEAL FOAM (Standard)</v>
      </c>
      <c r="D192" s="132" t="str">
        <f aca="false">IF($D$129="Standard",$Q$187,IF($D$129="Soumdproof",$Q$188,))</f>
        <v>02-031</v>
      </c>
      <c r="E192" s="130" t="n">
        <f aca="false">IF($D$129="Standard",R191,IF($D$129="Soumdproof",R192,))</f>
        <v>0</v>
      </c>
      <c r="F192" s="130" t="str">
        <f aca="false">IF($D$129="Standard",$S$187,IF($D$129="Soumdproof",$S$188,))</f>
        <v>02-031</v>
      </c>
      <c r="G192" s="130" t="str">
        <f aca="false">IF($D$129="Standard",$T$187,IF($D$129="Soumdproof",$T$188,))</f>
        <v>M</v>
      </c>
      <c r="H192" s="173" t="n">
        <f aca="false">IF($D$129="Standard",$U$187,IF($D$129="Soumdproof",$U$188,))</f>
        <v>45.36</v>
      </c>
      <c r="I192" s="174" t="n">
        <f aca="false">IF($D$129="Standard",$V$187,IF($D$129="Soumdproof",$V$188,))</f>
        <v>350</v>
      </c>
      <c r="J192" s="175" t="n">
        <f aca="false">ROUNDUP((H192)/100,0)</f>
        <v>1</v>
      </c>
    </row>
    <row r="193" s="96" customFormat="true" ht="18" hidden="false" customHeight="true" outlineLevel="0" collapsed="false">
      <c r="A193" s="170" t="n">
        <f aca="false">IF(B193="","",+A192+1)</f>
        <v>20</v>
      </c>
      <c r="B193" s="176" t="str">
        <f aca="false">IF($D$127=5,$O$176,IF($D$127=6,$O$177,IF($D$127=8,$O$178,IF($D$127=10,$O$176,IF($D$127=12,$O$176,IF($D$127=14,$O$178,IF($D$127=18,$O$176,IF($D$127=20,$O$177,IF($D$127=22,"")))))))))</f>
        <v>6,20 mm ยางอัดกระจก</v>
      </c>
      <c r="C193" s="176" t="str">
        <f aca="false">IF($D$127=5,$P$176,IF($D$127=6,$P$177,IF($D$127=8,$P$178,IF($D$127=10,$P$176,IF($D$127=12,$P$176,IF($D$127=14,$P$178,IF($D$127=18,$P$176,IF($D$127=20,$P$177,IF($D$127=22,"")))))))))</f>
        <v>6,20 mm ROLL IN WEDGE</v>
      </c>
      <c r="D193" s="176" t="str">
        <f aca="false">IF($D$127=5,$Q$176,IF($D$127=6,$Q$177,IF($D$127=8,$Q$178,IF($D$127=10,$Q$176,IF($D$127=12,$Q$176,IF($D$127=14,$Q$178,IF($D$127=18,$Q$176,IF($D$127=20,$Q$177,IF($D$127=22,"")))))))))</f>
        <v>02-034</v>
      </c>
      <c r="E193" s="176" t="n">
        <f aca="false">IF($D$127=5,R180,IF($D$127=6,R181,IF($D$127=8,R182,IF($D$127=10,R180,IF($D$127=12,R180,IF($D$127=14,R182,IF($D$127=18,R180,IF($D$127=20,R181,IF($D$127=22,"",)))))))))</f>
        <v>0</v>
      </c>
      <c r="F193" s="167" t="str">
        <f aca="false">IF($D$127=5,$S$176,IF($D$127=6,$S$177,IF($D$127=8,$S$178,IF($D$127=10,$S$176,IF($D$127=12,$S$176,IF($D$127=14,$S$178,IF($D$127=18,$S$176,IF($D$127=20,$S$177,IF($D$127=22,"")))))))))</f>
        <v>02-034</v>
      </c>
      <c r="G193" s="167" t="str">
        <f aca="false">IF($D$127=5,$T$176,IF($D$127=6,$T$177,IF($D$127=8,$T$178,IF($D$127=10,$T$176,IF($D$127=12,$T$176,IF($D$127=14,$T$178,IF($D$127=18,$T$176,IF($D$127=20,$T$177,IF($D$127=22,"")))))))))</f>
        <v>M</v>
      </c>
      <c r="H193" s="173" t="n">
        <f aca="false">IF($D$127=5,$U$176,IF($D$127=6,$U$177,IF($D$127=8,$U$178,IF($D$127=10,$U$176*2,IF($D$127=12,$U$176,IF($D$127=14,$U$178*2,IF($D$127=18,$U$176,IF($D$127=20,$U$177,IF($D$127=22,"")))))))))</f>
        <v>30.912</v>
      </c>
      <c r="I193" s="174" t="n">
        <f aca="false">IF($D$127=5,$V$176,IF($D$127=6,$V$177,IF($D$127=8,$V$178,IF($D$127=10,$V$176,IF($D$127=12,$V$176,IF($D$127=14,$V$178,IF($D$127=18,$V$176,IF($D$127=20,$V$177,IF($D$127=22,"")))))))))</f>
        <v>100</v>
      </c>
      <c r="J193" s="175" t="n">
        <f aca="false">ROUNDUP((H193)/100,0)</f>
        <v>1</v>
      </c>
    </row>
    <row r="194" customFormat="false" ht="18" hidden="false" customHeight="true" outlineLevel="0" collapsed="false">
      <c r="A194" s="170" t="n">
        <f aca="false">IF(B194="","",+A193+1)</f>
        <v>21</v>
      </c>
      <c r="B194" s="176" t="str">
        <f aca="false">IF($D$127=5,$O$174,IF($D$127=6,$O$174,IF($D$127=8,$O$176,IF($D$127=10,"",IF($D$127=12,$O$175,IF($D$127=14,"",IF($D$127=18,$O$174,IF($D$127=20,$O$175,IF($D$127=22,"",)))))))))</f>
        <v>5,6,18 mm ยางรองกระจก</v>
      </c>
      <c r="C194" s="176" t="str">
        <f aca="false">IF($D$127=5,$P$174,IF($D$127=6,$P$174,IF($D$127=8,$P$176,IF($D$127=10,"",IF($D$127=12,$P$175,IF($D$127=14,"",IF($D$127=18,$P$174,IF($D$127=20,$P$175,IF($D$127=22,"",)))))))))</f>
        <v>5,6,18 mm CAPTIVE WEDGE</v>
      </c>
      <c r="D194" s="176" t="str">
        <f aca="false">IF($D$127=5,$Q$174,IF($D$127=6,$Q$174,IF($D$127=8,$Q$176,IF($D$127=10,"",IF($D$127=12,$Q$175,IF($D$127=14,"",IF($D$127=18,$Q$174,IF($D$127=20,$Q$175,IF($D$127=22,"",)))))))))</f>
        <v>02-022</v>
      </c>
      <c r="E194" s="176" t="n">
        <f aca="false">IF($D$127=5,R178,IF($D$127=6,R178,IF($D$127=8,R180,IF($D$127=10,"",IF($D$127=12,R179,IF($D$127=14,"",IF($D$127=18,R178,IF($D$127=20,R179,IF($D$127=22,"",)))))))))</f>
        <v>0</v>
      </c>
      <c r="F194" s="167" t="str">
        <f aca="false">IF($D$127=5,$S$174,IF($D$127=6,$S$174,IF($D$127=8,$S$176,IF($D$127=10,"",IF($D$127=12,$S$175,IF($D$127=14,"",IF($D$127=18,$S$174,IF($D$127=20,$S$175,IF($D$127=22,"",)))))))))</f>
        <v>02-022</v>
      </c>
      <c r="G194" s="167" t="str">
        <f aca="false">IF($D$127=5,$T$174,IF($D$127=6,$T$174,IF($D$127=8,$T$176,IF($D$127=10,"",IF($D$127=12,$T$175,IF($D$127=14,"",IF($D$127=18,$T$174,IF($D$127=20,$T$175,IF($D$127=22,"",)))))))))</f>
        <v>M</v>
      </c>
      <c r="H194" s="173" t="n">
        <f aca="false">IF($D$127=5,$U$174,IF($D$127=6,$U$174,IF($D$127=8,$U$176,IF($D$127=10,"",IF($D$127=12,$U$175,IF($D$127=14,"",IF($D$127=18,$U$174,IF($D$127=20,$U$175,IF($D$127=22,"")))))))))</f>
        <v>30.912</v>
      </c>
      <c r="I194" s="174" t="n">
        <f aca="false">IF($D$127=5,$V$174,IF($D$127=6,$V$174,IF($D$127=8,$V$176,IF($D$127=10,"",IF($D$127=12,$V$175,IF($D$127=14,"",IF($D$127=18,$V$174,IF($D$127=20,$V$175,IF($D$127=22,"",)))))))))</f>
        <v>100</v>
      </c>
      <c r="J194" s="175" t="n">
        <f aca="false">ROUNDUP((H194)/100,0)</f>
        <v>1</v>
      </c>
      <c r="N194" s="96"/>
      <c r="O194" s="96"/>
      <c r="P194" s="96"/>
      <c r="Q194" s="96"/>
      <c r="R194" s="96"/>
      <c r="S194" s="96"/>
      <c r="T194" s="96"/>
      <c r="U194" s="96"/>
      <c r="V194" s="96"/>
      <c r="W194" s="96"/>
    </row>
    <row r="195" s="96" customFormat="true" ht="18" hidden="false" customHeight="true" outlineLevel="0" collapsed="false">
      <c r="A195" s="170" t="str">
        <f aca="false">IF(B195="","",+A194+1)</f>
        <v/>
      </c>
      <c r="B195" s="131"/>
      <c r="C195" s="131"/>
      <c r="D195" s="132"/>
      <c r="E195" s="130"/>
      <c r="F195" s="130"/>
      <c r="G195" s="130"/>
      <c r="H195" s="130"/>
      <c r="I195" s="133"/>
      <c r="J195" s="134" t="n">
        <f aca="false">$J$120*H195</f>
        <v>0</v>
      </c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30"/>
      <c r="I196" s="133"/>
      <c r="J196" s="134" t="n">
        <f aca="false">$J$120*G196</f>
        <v>0</v>
      </c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$J$120*G197</f>
        <v>0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$J$120*G198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$J$120*G199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$J$120*G200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$J$120*G201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$J$120*G202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$J$120*G203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$J$120*G204</f>
        <v>0</v>
      </c>
    </row>
    <row r="205" s="96" customFormat="true" ht="18" hidden="false" customHeight="true" outlineLevel="0" collapsed="false">
      <c r="A205" s="179" t="str">
        <f aca="false">IF(B205="","",+A204+1)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$J$120*G205</f>
        <v>0</v>
      </c>
    </row>
    <row r="206" s="96" customFormat="true" ht="18" hidden="false" customHeight="true" outlineLevel="0" collapsed="false">
      <c r="A206" s="200"/>
      <c r="B206" s="98"/>
      <c r="D206" s="98"/>
      <c r="E206" s="97"/>
      <c r="F206" s="98"/>
      <c r="G206" s="98"/>
      <c r="H206" s="98"/>
      <c r="I206" s="196"/>
      <c r="J206" s="196"/>
    </row>
    <row r="207" customFormat="false" ht="18" hidden="false" customHeight="true" outlineLevel="0" collapsed="false">
      <c r="A207" s="97"/>
      <c r="J207" s="92" t="str">
        <f aca="false">LEFT($J$111,13)&amp;"-02"</f>
        <v>FG-240-5P4L1R-02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565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3440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517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3414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519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3440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97"/>
      <c r="H252" s="97"/>
      <c r="I252" s="196"/>
      <c r="J252" s="196"/>
    </row>
    <row r="253" s="96" customFormat="true" ht="15.75" hidden="false" customHeight="true" outlineLevel="0" collapsed="false">
      <c r="A253" s="191"/>
      <c r="B253" s="191"/>
      <c r="D253" s="192"/>
      <c r="E253" s="191"/>
      <c r="F253" s="191"/>
      <c r="G253" s="97"/>
      <c r="H253" s="97"/>
      <c r="I253" s="196"/>
      <c r="J253" s="196"/>
    </row>
    <row r="254" s="96" customFormat="true" ht="15.75" hidden="false" customHeight="true" outlineLevel="0" collapsed="false">
      <c r="A254" s="190"/>
      <c r="B254" s="190"/>
      <c r="C254" s="184" t="s">
        <v>520</v>
      </c>
      <c r="D254" s="194"/>
      <c r="E254" s="190"/>
      <c r="F254" s="189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459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460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5" t="n">
        <f aca="false">$I$136</f>
        <v>3440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7" t="n">
        <f aca="false">$J$136</f>
        <v>1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C262" s="98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184" t="s">
        <v>586</v>
      </c>
      <c r="D264" s="98"/>
      <c r="E264" s="97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587</v>
      </c>
      <c r="D265" s="181"/>
      <c r="E265" s="181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468</v>
      </c>
      <c r="D266" s="181"/>
      <c r="E266" s="181"/>
      <c r="F266" s="97"/>
      <c r="G266" s="97"/>
      <c r="H266" s="97"/>
      <c r="J266" s="97"/>
    </row>
    <row r="267" s="96" customFormat="true" ht="15.75" hidden="false" customHeight="true" outlineLevel="0" collapsed="false">
      <c r="A267" s="200"/>
      <c r="C267" s="185" t="n">
        <f aca="false">$I$137</f>
        <v>2500</v>
      </c>
      <c r="D267" s="98"/>
      <c r="E267" s="97"/>
      <c r="F267" s="97"/>
      <c r="J267" s="97"/>
    </row>
    <row r="268" s="96" customFormat="true" ht="15.75" hidden="false" customHeight="true" outlineLevel="0" collapsed="false">
      <c r="A268" s="200"/>
      <c r="C268" s="187" t="n">
        <f aca="false">$J$137+$J$138</f>
        <v>2</v>
      </c>
      <c r="D268" s="98"/>
      <c r="E268" s="97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4"/>
      <c r="E271" s="184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H272" s="97"/>
      <c r="J272" s="97"/>
    </row>
    <row r="273" s="96" customFormat="true" ht="15.75" hidden="false" customHeight="true" outlineLevel="0" collapsed="false">
      <c r="A273" s="200"/>
      <c r="D273" s="181"/>
      <c r="E273" s="181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D274" s="98"/>
      <c r="E274" s="97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4" t="s">
        <v>523</v>
      </c>
      <c r="D275" s="201"/>
      <c r="E275" s="196"/>
      <c r="F275" s="97"/>
      <c r="G275" s="97"/>
      <c r="I275" s="196"/>
      <c r="J275" s="196"/>
    </row>
    <row r="276" s="96" customFormat="true" ht="15.75" hidden="false" customHeight="true" outlineLevel="0" collapsed="false">
      <c r="A276" s="200"/>
      <c r="C276" s="181" t="s">
        <v>470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1" t="s">
        <v>471</v>
      </c>
      <c r="D277" s="181"/>
      <c r="E277" s="181"/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5" t="n">
        <f aca="false">$I$139</f>
        <v>2404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C279" s="187" t="n">
        <f aca="false">$J$139+$J$140</f>
        <v>2</v>
      </c>
      <c r="F279" s="97"/>
      <c r="G279" s="97"/>
      <c r="I279" s="97"/>
      <c r="J279" s="196"/>
    </row>
    <row r="280" s="96" customFormat="true" ht="15.75" hidden="false" customHeight="true" outlineLevel="0" collapsed="false">
      <c r="A280" s="200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D281" s="98"/>
      <c r="E281" s="97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J282" s="97"/>
    </row>
    <row r="283" s="96" customFormat="true" ht="15.75" hidden="false" customHeight="true" outlineLevel="0" collapsed="false">
      <c r="A283" s="200"/>
      <c r="F283" s="97"/>
      <c r="G283" s="97"/>
      <c r="H283" s="97"/>
      <c r="I283" s="201"/>
      <c r="J283" s="196"/>
    </row>
    <row r="284" s="96" customFormat="true" ht="15.75" hidden="false" customHeight="true" outlineLevel="0" collapsed="false">
      <c r="A284" s="200"/>
      <c r="C284" s="184" t="s">
        <v>524</v>
      </c>
      <c r="F284" s="97"/>
      <c r="G284" s="97"/>
      <c r="H284" s="97"/>
      <c r="I284" s="97"/>
      <c r="J284" s="196"/>
    </row>
    <row r="285" s="96" customFormat="true" ht="15.75" hidden="false" customHeight="true" outlineLevel="0" collapsed="false">
      <c r="A285" s="200"/>
      <c r="C285" s="83" t="s">
        <v>646</v>
      </c>
      <c r="D285" s="98"/>
      <c r="E285" s="97"/>
      <c r="F285" s="97"/>
      <c r="G285" s="97"/>
      <c r="H285" s="97"/>
      <c r="I285" s="196"/>
      <c r="J285" s="196"/>
    </row>
    <row r="286" s="96" customFormat="true" ht="15.75" hidden="false" customHeight="true" outlineLevel="0" collapsed="false">
      <c r="A286" s="200"/>
      <c r="C286" s="181" t="s">
        <v>647</v>
      </c>
      <c r="D286" s="98"/>
      <c r="E286" s="97"/>
      <c r="F286" s="97"/>
      <c r="G286" s="97"/>
      <c r="H286" s="97"/>
      <c r="I286" s="196"/>
      <c r="J286" s="196"/>
    </row>
    <row r="287" s="96" customFormat="true" ht="15.75" hidden="false" customHeight="true" outlineLevel="0" collapsed="false">
      <c r="A287" s="200"/>
      <c r="C287" s="181" t="s">
        <v>475</v>
      </c>
      <c r="D287" s="181"/>
      <c r="E287" s="181"/>
      <c r="F287" s="97"/>
      <c r="G287" s="97"/>
      <c r="I287" s="196"/>
      <c r="J287" s="196"/>
    </row>
    <row r="288" s="202" customFormat="true" ht="15.75" hidden="false" customHeight="true" outlineLevel="0" collapsed="false">
      <c r="A288" s="200"/>
      <c r="B288" s="96"/>
      <c r="C288" s="181" t="s">
        <v>476</v>
      </c>
      <c r="D288" s="181"/>
      <c r="E288" s="181"/>
      <c r="F288" s="97"/>
      <c r="G288" s="97"/>
      <c r="H288" s="96"/>
      <c r="I288" s="97"/>
      <c r="J288" s="97"/>
    </row>
    <row r="289" s="96" customFormat="true" ht="15.75" hidden="false" customHeight="true" outlineLevel="0" collapsed="false">
      <c r="A289" s="200"/>
      <c r="C289" s="185" t="n">
        <f aca="false">$I$141</f>
        <v>683.2</v>
      </c>
      <c r="F289" s="97"/>
      <c r="G289" s="97"/>
      <c r="I289" s="191"/>
      <c r="J289" s="199"/>
    </row>
    <row r="290" s="96" customFormat="true" ht="15.75" hidden="false" customHeight="true" outlineLevel="0" collapsed="false">
      <c r="A290" s="200"/>
      <c r="C290" s="187" t="n">
        <f aca="false">$J$141+$J$142</f>
        <v>10</v>
      </c>
      <c r="D290" s="98"/>
      <c r="E290" s="97"/>
      <c r="F290" s="97"/>
      <c r="G290" s="97"/>
      <c r="H290" s="98"/>
      <c r="I290" s="189"/>
      <c r="J290" s="190"/>
    </row>
    <row r="291" s="96" customFormat="true" ht="15.75" hidden="false" customHeight="true" outlineLevel="0" collapsed="false">
      <c r="A291" s="200"/>
      <c r="C291" s="185" t="n">
        <f aca="false">$I$143</f>
        <v>2408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C292" s="187" t="n">
        <f aca="false">$J$143+$J$144+$J$145</f>
        <v>10</v>
      </c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D293" s="98"/>
      <c r="E293" s="97"/>
      <c r="F293" s="97"/>
      <c r="G293" s="97"/>
      <c r="H293" s="97"/>
      <c r="I293" s="196"/>
      <c r="J293" s="196"/>
    </row>
    <row r="294" s="96" customFormat="true" ht="15.75" hidden="false" customHeight="true" outlineLevel="0" collapsed="false">
      <c r="A294" s="200"/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202"/>
      <c r="D295" s="98"/>
      <c r="E295" s="97"/>
      <c r="F295" s="97"/>
      <c r="G295" s="97"/>
      <c r="H295" s="97"/>
      <c r="I295" s="97"/>
      <c r="J295" s="196"/>
    </row>
    <row r="296" s="96" customFormat="true" ht="15.75" hidden="false" customHeight="true" outlineLevel="0" collapsed="false">
      <c r="A296" s="200"/>
      <c r="C296" s="184" t="s">
        <v>525</v>
      </c>
      <c r="D296" s="98"/>
      <c r="E296" s="97"/>
      <c r="F296" s="97"/>
      <c r="G296" s="97"/>
      <c r="H296" s="97"/>
      <c r="I296" s="97"/>
      <c r="J296" s="196"/>
    </row>
    <row r="297" s="96" customFormat="true" ht="15.75" hidden="false" customHeight="true" outlineLevel="0" collapsed="false">
      <c r="A297" s="200"/>
      <c r="C297" s="83" t="s">
        <v>646</v>
      </c>
      <c r="D297" s="98"/>
      <c r="E297" s="97"/>
      <c r="F297" s="97"/>
      <c r="G297" s="191"/>
      <c r="H297" s="191"/>
      <c r="I297" s="97"/>
      <c r="J297" s="196"/>
    </row>
    <row r="298" s="96" customFormat="true" ht="15.75" hidden="false" customHeight="true" outlineLevel="0" collapsed="false">
      <c r="A298" s="200"/>
      <c r="C298" s="181" t="s">
        <v>647</v>
      </c>
      <c r="D298" s="181"/>
      <c r="E298" s="181"/>
      <c r="F298" s="97"/>
      <c r="G298" s="190"/>
      <c r="H298" s="189"/>
      <c r="I298" s="97"/>
      <c r="J298" s="196"/>
    </row>
    <row r="299" s="96" customFormat="true" ht="15.75" hidden="false" customHeight="true" outlineLevel="0" collapsed="false">
      <c r="A299" s="107"/>
      <c r="C299" s="181" t="s">
        <v>478</v>
      </c>
      <c r="D299" s="181"/>
      <c r="E299" s="181"/>
      <c r="F299" s="97"/>
      <c r="G299" s="97"/>
      <c r="H299" s="97"/>
      <c r="I299" s="97"/>
      <c r="J299" s="196"/>
    </row>
    <row r="300" s="96" customFormat="true" ht="15.75" hidden="false" customHeight="true" outlineLevel="0" collapsed="false">
      <c r="A300" s="191"/>
      <c r="B300" s="191"/>
      <c r="C300" s="181" t="s">
        <v>479</v>
      </c>
      <c r="D300" s="203"/>
      <c r="E300" s="204"/>
      <c r="F300" s="191"/>
      <c r="G300" s="97"/>
      <c r="H300" s="97"/>
      <c r="I300" s="97"/>
      <c r="J300" s="196"/>
    </row>
    <row r="301" s="96" customFormat="true" ht="15.75" hidden="false" customHeight="true" outlineLevel="0" collapsed="false">
      <c r="A301" s="190"/>
      <c r="B301" s="190"/>
      <c r="C301" s="185" t="n">
        <f aca="false">$I$146</f>
        <v>572.4</v>
      </c>
      <c r="D301" s="205"/>
      <c r="E301" s="206"/>
      <c r="F301" s="189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7" t="n">
        <f aca="false">$J$146</f>
        <v>10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5" t="n">
        <f aca="false">$I$147</f>
        <v>2258</v>
      </c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C304" s="187" t="n">
        <f aca="false">$J$147</f>
        <v>10</v>
      </c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C306" s="184" t="s">
        <v>591</v>
      </c>
      <c r="D306" s="98"/>
      <c r="E306" s="97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1" t="s">
        <v>475</v>
      </c>
      <c r="D307" s="181"/>
      <c r="E307" s="181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249" t="s">
        <v>476</v>
      </c>
      <c r="D308" s="249"/>
      <c r="E308" s="249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5" t="n">
        <f aca="false">$I$148</f>
        <v>2408</v>
      </c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7" t="n">
        <f aca="false">$J$148+$J$149</f>
        <v>2</v>
      </c>
      <c r="D310" s="181"/>
      <c r="E310" s="181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LEFT($J$111,13)&amp;"-03"</f>
        <v>FG-240-5P4L1R-03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A316" s="97"/>
      <c r="B316" s="49"/>
      <c r="C316" s="49"/>
      <c r="D316" s="207"/>
      <c r="E316" s="200"/>
      <c r="F316" s="200"/>
      <c r="G316" s="200"/>
      <c r="H316" s="200"/>
      <c r="I316" s="208"/>
      <c r="J316" s="77" t="str">
        <f aca="false">$J$2</f>
        <v>HOMELIFE</v>
      </c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B324" s="81"/>
      <c r="D324" s="98"/>
      <c r="E324" s="83"/>
      <c r="F324" s="183"/>
      <c r="G324" s="183"/>
      <c r="H324" s="183"/>
      <c r="I324" s="83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240-5 Panel (4L1R)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97"/>
      <c r="B335" s="188"/>
      <c r="C335" s="182"/>
      <c r="D335" s="98"/>
      <c r="E335" s="97"/>
      <c r="F335" s="110"/>
      <c r="G335" s="110"/>
      <c r="H335" s="110"/>
      <c r="I335" s="97"/>
      <c r="J335" s="97"/>
    </row>
    <row r="336" s="96" customFormat="true" ht="15.75" hidden="false" customHeight="true" outlineLevel="0" collapsed="false">
      <c r="A336" s="81"/>
      <c r="B336" s="97"/>
      <c r="C336" s="98"/>
      <c r="D336" s="98"/>
      <c r="E336" s="97"/>
      <c r="F336" s="78"/>
      <c r="H336" s="97"/>
      <c r="I336" s="97"/>
      <c r="J336" s="97"/>
    </row>
    <row r="337" s="96" customFormat="true" ht="15.75" hidden="false" customHeight="true" outlineLevel="0" collapsed="false">
      <c r="A337" s="191"/>
      <c r="C337" s="212"/>
      <c r="D337" s="98"/>
      <c r="E337" s="97"/>
      <c r="F337" s="97"/>
      <c r="G337" s="97"/>
      <c r="H337" s="97"/>
      <c r="I337" s="191"/>
      <c r="J337" s="199"/>
    </row>
    <row r="338" s="96" customFormat="true" ht="15.75" hidden="false" customHeight="true" outlineLevel="0" collapsed="false">
      <c r="A338" s="190"/>
      <c r="C338" s="191"/>
      <c r="D338" s="192"/>
      <c r="E338" s="191"/>
      <c r="F338" s="191"/>
      <c r="G338" s="191"/>
      <c r="H338" s="191"/>
      <c r="I338" s="189"/>
      <c r="J338" s="190"/>
    </row>
    <row r="339" s="96" customFormat="true" ht="15.75" hidden="false" customHeight="true" outlineLevel="0" collapsed="false">
      <c r="A339" s="97"/>
      <c r="C339" s="98"/>
      <c r="D339" s="194"/>
      <c r="E339" s="190"/>
      <c r="F339" s="189"/>
      <c r="G339" s="190"/>
      <c r="H339" s="189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196"/>
      <c r="J340" s="196"/>
    </row>
    <row r="341" s="96" customFormat="true" ht="15.75" hidden="false" customHeight="true" outlineLevel="0" collapsed="false">
      <c r="A341" s="97"/>
      <c r="C341" s="98"/>
      <c r="D341" s="98"/>
      <c r="E341" s="97"/>
      <c r="F341" s="98"/>
      <c r="G341" s="97"/>
      <c r="H341" s="97"/>
      <c r="I341" s="201"/>
      <c r="J341" s="201"/>
    </row>
    <row r="342" s="96" customFormat="true" ht="15.75" hidden="false" customHeight="true" outlineLevel="0" collapsed="false">
      <c r="A342" s="97"/>
      <c r="C342" s="191"/>
      <c r="D342" s="98"/>
      <c r="E342" s="97"/>
      <c r="F342" s="98"/>
      <c r="G342" s="97"/>
      <c r="H342" s="201"/>
      <c r="I342" s="98"/>
      <c r="J342" s="98"/>
    </row>
    <row r="343" s="96" customFormat="true" ht="15.75" hidden="false" customHeight="true" outlineLevel="0" collapsed="false">
      <c r="A343" s="97"/>
      <c r="C343" s="182"/>
      <c r="D343" s="98"/>
      <c r="E343" s="97"/>
      <c r="F343" s="98"/>
      <c r="G343" s="97"/>
      <c r="H343" s="98"/>
      <c r="I343" s="98"/>
      <c r="J343" s="98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8"/>
      <c r="I344" s="97"/>
      <c r="J344" s="196"/>
    </row>
    <row r="345" s="96" customFormat="true" ht="15.75" hidden="false" customHeight="true" outlineLevel="0" collapsed="false">
      <c r="A345" s="97"/>
      <c r="C345" s="98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191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196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97"/>
      <c r="J351" s="196"/>
    </row>
    <row r="352" s="96" customFormat="true" ht="15.75" hidden="false" customHeight="true" outlineLevel="0" collapsed="false">
      <c r="A352" s="97"/>
      <c r="C352" s="98"/>
      <c r="D352" s="98"/>
      <c r="E352" s="97"/>
      <c r="F352" s="98"/>
      <c r="G352" s="97"/>
      <c r="H352" s="97"/>
      <c r="I352" s="196"/>
      <c r="J352" s="196"/>
    </row>
    <row r="353" s="96" customFormat="true" ht="15.75" hidden="false" customHeight="true" outlineLevel="0" collapsed="false">
      <c r="A353" s="97"/>
      <c r="D353" s="98"/>
      <c r="E353" s="97"/>
      <c r="F353" s="97"/>
      <c r="G353" s="97"/>
      <c r="H353" s="97"/>
      <c r="I353" s="196"/>
      <c r="J353" s="196"/>
    </row>
    <row r="354" s="96" customFormat="true" ht="15" hidden="false" customHeight="true" outlineLevel="0" collapsed="false">
      <c r="A354" s="97"/>
      <c r="D354" s="98"/>
      <c r="E354" s="97"/>
      <c r="F354" s="97"/>
      <c r="G354" s="97"/>
      <c r="H354" s="195"/>
      <c r="I354" s="196"/>
      <c r="J354" s="196"/>
    </row>
    <row r="355" s="202" customFormat="true" ht="15.75" hidden="false" customHeight="true" outlineLevel="0" collapsed="false">
      <c r="A355" s="97"/>
      <c r="B355" s="96"/>
      <c r="C355" s="96"/>
      <c r="D355" s="98"/>
      <c r="E355" s="97"/>
      <c r="F355" s="97"/>
      <c r="G355" s="97"/>
      <c r="H355" s="97"/>
      <c r="I355" s="97"/>
      <c r="J355" s="97"/>
    </row>
    <row r="356" s="96" customFormat="true" ht="15.75" hidden="false" customHeight="true" outlineLevel="0" collapsed="false">
      <c r="A356" s="191"/>
      <c r="D356" s="98"/>
      <c r="E356" s="97"/>
      <c r="F356" s="97"/>
      <c r="G356" s="97"/>
      <c r="H356" s="97"/>
      <c r="I356" s="191"/>
      <c r="J356" s="199"/>
    </row>
    <row r="357" s="96" customFormat="true" ht="15.75" hidden="false" customHeight="true" outlineLevel="0" collapsed="false">
      <c r="A357" s="190"/>
      <c r="B357" s="191"/>
      <c r="C357" s="191"/>
      <c r="D357" s="192"/>
      <c r="E357" s="191"/>
      <c r="F357" s="191"/>
      <c r="G357" s="191"/>
      <c r="H357" s="191"/>
      <c r="I357" s="189"/>
      <c r="J357" s="190"/>
    </row>
    <row r="358" s="96" customFormat="true" ht="15.75" hidden="false" customHeight="true" outlineLevel="0" collapsed="false">
      <c r="A358" s="200"/>
      <c r="B358" s="190"/>
      <c r="C358" s="191"/>
      <c r="D358" s="194"/>
      <c r="E358" s="190"/>
      <c r="F358" s="189"/>
      <c r="G358" s="190"/>
      <c r="H358" s="189"/>
      <c r="I358" s="196"/>
      <c r="J358" s="196"/>
    </row>
    <row r="359" s="96" customFormat="true" ht="15.75" hidden="false" customHeight="true" outlineLevel="0" collapsed="false">
      <c r="A359" s="200"/>
      <c r="C359" s="182"/>
      <c r="D359" s="98"/>
      <c r="E359" s="97"/>
      <c r="F359" s="97"/>
      <c r="G359" s="97"/>
      <c r="H359" s="182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98"/>
      <c r="J360" s="98"/>
    </row>
    <row r="361" s="96" customFormat="true" ht="15.75" hidden="false" customHeight="true" outlineLevel="0" collapsed="false">
      <c r="A361" s="200"/>
      <c r="C361" s="98"/>
      <c r="D361" s="98"/>
      <c r="E361" s="97"/>
      <c r="F361" s="97"/>
      <c r="G361" s="97"/>
      <c r="H361" s="98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C365" s="98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G372" s="97"/>
      <c r="H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97"/>
      <c r="I376" s="196"/>
      <c r="J376" s="196"/>
    </row>
    <row r="377" s="96" customFormat="true" ht="15.75" hidden="false" customHeight="true" outlineLevel="0" collapsed="false">
      <c r="A377" s="200"/>
      <c r="D377" s="98"/>
      <c r="E377" s="97"/>
      <c r="F377" s="97"/>
      <c r="G377" s="97"/>
      <c r="H377" s="182"/>
      <c r="I377" s="98"/>
      <c r="J377" s="98"/>
    </row>
    <row r="378" s="96" customFormat="true" ht="15.75" hidden="false" customHeight="true" outlineLevel="0" collapsed="false">
      <c r="A378" s="200"/>
      <c r="C378" s="188"/>
      <c r="D378" s="98"/>
      <c r="E378" s="97"/>
      <c r="F378" s="97"/>
      <c r="G378" s="97"/>
      <c r="H378" s="98"/>
      <c r="I378" s="98"/>
      <c r="J378" s="98"/>
    </row>
    <row r="379" s="96" customFormat="true" ht="15.75" hidden="false" customHeight="true" outlineLevel="0" collapsed="false">
      <c r="A379" s="200"/>
      <c r="D379" s="98"/>
      <c r="E379" s="97"/>
      <c r="F379" s="97"/>
      <c r="G379" s="97"/>
      <c r="H379" s="98"/>
      <c r="I379" s="196"/>
      <c r="J379" s="196"/>
    </row>
    <row r="380" s="96" customFormat="true" ht="15.75" hidden="false" customHeight="true" outlineLevel="0" collapsed="false">
      <c r="A380" s="200"/>
      <c r="C380" s="98"/>
      <c r="D380" s="98"/>
      <c r="E380" s="97"/>
      <c r="F380" s="97"/>
      <c r="G380" s="97"/>
      <c r="H380" s="182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98"/>
      <c r="J381" s="98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8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196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97"/>
      <c r="J388" s="196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97"/>
      <c r="I389" s="213"/>
      <c r="J389" s="213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213"/>
      <c r="I390" s="97"/>
      <c r="J390" s="97"/>
    </row>
    <row r="391" s="96" customFormat="true" ht="15.75" hidden="false" customHeight="true" outlineLevel="0" collapsed="false">
      <c r="A391" s="200"/>
      <c r="D391" s="98"/>
      <c r="E391" s="97"/>
      <c r="F391" s="97"/>
      <c r="G391" s="97"/>
      <c r="H391" s="97"/>
      <c r="I391" s="98"/>
      <c r="J391" s="98"/>
    </row>
    <row r="392" s="96" customFormat="true" ht="15.75" hidden="false" customHeight="true" outlineLevel="0" collapsed="false">
      <c r="A392" s="200"/>
      <c r="C392" s="188"/>
      <c r="D392" s="98"/>
      <c r="E392" s="97"/>
      <c r="F392" s="97"/>
      <c r="G392" s="97"/>
      <c r="H392" s="98"/>
      <c r="I392" s="196"/>
      <c r="J392" s="196"/>
    </row>
    <row r="393" s="96" customFormat="true" ht="15.75" hidden="false" customHeight="true" outlineLevel="0" collapsed="false">
      <c r="A393" s="200"/>
      <c r="D393" s="98"/>
      <c r="E393" s="97"/>
      <c r="F393" s="97"/>
      <c r="G393" s="97"/>
      <c r="H393" s="97"/>
      <c r="I393" s="97"/>
      <c r="J393" s="196"/>
    </row>
    <row r="394" s="96" customFormat="true" ht="15.75" hidden="false" customHeight="true" outlineLevel="0" collapsed="false">
      <c r="A394" s="200"/>
      <c r="C394" s="98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200"/>
      <c r="D396" s="98"/>
      <c r="E396" s="97"/>
      <c r="F396" s="97"/>
      <c r="G396" s="97"/>
      <c r="H396" s="97"/>
      <c r="I396" s="196"/>
      <c r="J396" s="196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96" customFormat="true" ht="15.75" hidden="false" customHeight="true" outlineLevel="0" collapsed="false">
      <c r="A404" s="107"/>
      <c r="D404" s="98"/>
      <c r="E404" s="97"/>
      <c r="F404" s="97"/>
      <c r="G404" s="97"/>
      <c r="H404" s="97"/>
      <c r="I404" s="97"/>
      <c r="J404" s="97"/>
    </row>
    <row r="405" s="202" customFormat="true" ht="15.75" hidden="false" customHeight="true" outlineLevel="0" collapsed="false">
      <c r="A405" s="107"/>
      <c r="B405" s="96"/>
      <c r="C405" s="96"/>
      <c r="D405" s="98"/>
      <c r="E405" s="97"/>
      <c r="F405" s="97"/>
      <c r="G405" s="97"/>
      <c r="H405" s="97"/>
      <c r="I405" s="97"/>
      <c r="J405" s="97"/>
    </row>
    <row r="406" s="202" customFormat="true" ht="15.75" hidden="false" customHeight="true" outlineLevel="0" collapsed="false">
      <c r="A406" s="107"/>
      <c r="B406" s="96"/>
      <c r="C406" s="96"/>
      <c r="D406" s="98"/>
      <c r="E406" s="97"/>
      <c r="F406" s="97"/>
      <c r="G406" s="97"/>
      <c r="H406" s="97"/>
      <c r="I406" s="97"/>
      <c r="J406" s="97"/>
    </row>
    <row r="407" s="202" customFormat="true" ht="15.75" hidden="false" customHeight="true" outlineLevel="0" collapsed="false">
      <c r="A407" s="107"/>
      <c r="B407" s="96"/>
      <c r="C407" s="96"/>
      <c r="D407" s="98"/>
      <c r="E407" s="97"/>
      <c r="F407" s="97"/>
      <c r="G407" s="97"/>
      <c r="H407" s="97"/>
      <c r="I407" s="97"/>
      <c r="J407" s="97"/>
    </row>
    <row r="408" s="202" customFormat="true" ht="15.75" hidden="false" customHeight="true" outlineLevel="0" collapsed="false">
      <c r="A408" s="107"/>
      <c r="B408" s="96"/>
      <c r="C408" s="96"/>
      <c r="D408" s="98"/>
      <c r="E408" s="97"/>
      <c r="F408" s="97"/>
      <c r="G408" s="97"/>
      <c r="H408" s="97"/>
      <c r="I408" s="97"/>
      <c r="J408" s="97"/>
    </row>
    <row r="409" s="202" customFormat="true" ht="15.75" hidden="false" customHeight="true" outlineLevel="0" collapsed="false">
      <c r="A409" s="107"/>
      <c r="B409" s="96"/>
      <c r="C409" s="96"/>
      <c r="D409" s="98"/>
      <c r="E409" s="97"/>
      <c r="F409" s="97"/>
      <c r="G409" s="97"/>
      <c r="H409" s="97"/>
      <c r="I409" s="97"/>
      <c r="J409" s="97"/>
    </row>
    <row r="410" s="96" customFormat="true" ht="15.75" hidden="false" customHeight="true" outlineLevel="0" collapsed="false">
      <c r="A410" s="191"/>
      <c r="D410" s="98"/>
      <c r="E410" s="97"/>
      <c r="F410" s="97"/>
      <c r="G410" s="97"/>
      <c r="H410" s="97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LEFT($J$111,13)&amp;"-04"</f>
        <v>FG-240-5P4L1R-04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77" t="str">
        <f aca="false">$J$2</f>
        <v>HOMELIFE</v>
      </c>
      <c r="K423" s="78"/>
      <c r="L423" s="78"/>
      <c r="M423" s="79"/>
      <c r="N423" s="79"/>
    </row>
    <row r="424" customFormat="false" ht="24.75" hidden="false" customHeight="true" outlineLevel="0" collapsed="false">
      <c r="A424" s="97"/>
      <c r="B424" s="96"/>
      <c r="C424" s="96"/>
      <c r="D424" s="98"/>
      <c r="E424" s="97"/>
      <c r="F424" s="97"/>
      <c r="G424" s="97"/>
      <c r="H424" s="97"/>
      <c r="I424" s="97"/>
      <c r="J424" s="80" t="str">
        <f aca="false">$J$3</f>
        <v>Fabricators Guide</v>
      </c>
      <c r="K424" s="78"/>
      <c r="L424" s="78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$J$4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240-5 Panel (4L1R)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81"/>
      <c r="C442" s="98"/>
      <c r="D442" s="98"/>
      <c r="E442" s="97"/>
      <c r="F442" s="78"/>
      <c r="H442" s="191"/>
      <c r="I442" s="191"/>
      <c r="J442" s="199"/>
    </row>
    <row r="443" s="96" customFormat="true" ht="15.75" hidden="false" customHeight="true" outlineLevel="0" collapsed="false">
      <c r="A443" s="81"/>
      <c r="C443" s="98"/>
      <c r="D443" s="98"/>
      <c r="E443" s="97"/>
      <c r="F443" s="78"/>
      <c r="H443" s="191"/>
      <c r="I443" s="191"/>
      <c r="J443" s="199"/>
    </row>
    <row r="444" s="96" customFormat="true" ht="15.75" hidden="false" customHeight="true" outlineLevel="0" collapsed="false">
      <c r="A444" s="191"/>
      <c r="C444" s="212"/>
      <c r="D444" s="98"/>
      <c r="E444" s="97"/>
      <c r="F444" s="97"/>
      <c r="H444" s="191"/>
      <c r="I444" s="191"/>
      <c r="J444" s="199"/>
    </row>
    <row r="445" s="96" customFormat="true" ht="15.75" hidden="false" customHeight="true" outlineLevel="0" collapsed="false">
      <c r="A445" s="190"/>
      <c r="C445" s="191"/>
      <c r="D445" s="192"/>
      <c r="E445" s="191"/>
      <c r="F445" s="191"/>
      <c r="H445" s="191"/>
      <c r="I445" s="191"/>
      <c r="J445" s="199"/>
    </row>
    <row r="446" customFormat="false" ht="15" hidden="false" customHeight="true" outlineLevel="0" collapsed="false">
      <c r="B446" s="211"/>
      <c r="C446" s="98"/>
      <c r="D446" s="98"/>
      <c r="E446" s="97"/>
      <c r="F446" s="98"/>
      <c r="G446" s="97"/>
      <c r="H446" s="97"/>
    </row>
    <row r="451" s="96" customFormat="true" ht="15.75" hidden="false" customHeight="true" outlineLevel="0" collapsed="false">
      <c r="A451" s="97"/>
      <c r="D451" s="73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191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196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97"/>
      <c r="J457" s="196"/>
    </row>
    <row r="458" s="96" customFormat="true" ht="15.75" hidden="false" customHeight="true" outlineLevel="0" collapsed="false">
      <c r="A458" s="97"/>
      <c r="C458" s="98"/>
      <c r="D458" s="98"/>
      <c r="E458" s="97"/>
      <c r="F458" s="98"/>
      <c r="G458" s="97"/>
      <c r="H458" s="97"/>
      <c r="I458" s="196"/>
      <c r="J458" s="196"/>
    </row>
    <row r="459" s="96" customFormat="true" ht="15.75" hidden="false" customHeight="true" outlineLevel="0" collapsed="false">
      <c r="A459" s="97"/>
      <c r="D459" s="98"/>
      <c r="E459" s="97"/>
      <c r="F459" s="97"/>
      <c r="G459" s="97"/>
      <c r="H459" s="97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195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96" customFormat="true" ht="15" hidden="false" customHeight="true" outlineLevel="0" collapsed="false">
      <c r="A477" s="97"/>
      <c r="D477" s="98"/>
      <c r="E477" s="97"/>
      <c r="F477" s="97"/>
      <c r="G477" s="97"/>
      <c r="H477" s="97"/>
      <c r="I477" s="196"/>
      <c r="J477" s="196"/>
    </row>
    <row r="478" s="202" customFormat="true" ht="15.75" hidden="false" customHeight="true" outlineLevel="0" collapsed="false">
      <c r="A478" s="97"/>
      <c r="B478" s="96"/>
      <c r="C478" s="96"/>
      <c r="D478" s="98"/>
      <c r="E478" s="97"/>
      <c r="F478" s="97"/>
      <c r="G478" s="97"/>
      <c r="H478" s="97"/>
      <c r="I478" s="97"/>
      <c r="J478" s="97"/>
    </row>
    <row r="479" s="96" customFormat="true" ht="15.75" hidden="false" customHeight="true" outlineLevel="0" collapsed="false">
      <c r="A479" s="191"/>
      <c r="D479" s="98"/>
      <c r="E479" s="97"/>
      <c r="F479" s="97"/>
      <c r="G479" s="97"/>
      <c r="H479" s="97"/>
      <c r="I479" s="191"/>
      <c r="J479" s="199"/>
    </row>
    <row r="480" s="96" customFormat="true" ht="15.75" hidden="false" customHeight="true" outlineLevel="0" collapsed="false">
      <c r="A480" s="190"/>
      <c r="B480" s="191"/>
      <c r="C480" s="191"/>
      <c r="D480" s="192"/>
      <c r="E480" s="191"/>
      <c r="F480" s="191"/>
      <c r="G480" s="191"/>
      <c r="H480" s="191"/>
      <c r="I480" s="189"/>
      <c r="J480" s="190"/>
    </row>
    <row r="481" s="96" customFormat="true" ht="15.75" hidden="false" customHeight="true" outlineLevel="0" collapsed="false">
      <c r="A481" s="200"/>
      <c r="B481" s="190"/>
      <c r="C481" s="191"/>
      <c r="D481" s="194"/>
      <c r="E481" s="190"/>
      <c r="F481" s="189"/>
      <c r="G481" s="190"/>
      <c r="H481" s="189"/>
      <c r="I481" s="196"/>
      <c r="J481" s="196"/>
    </row>
    <row r="482" s="96" customFormat="true" ht="15.75" hidden="false" customHeight="true" outlineLevel="0" collapsed="false">
      <c r="A482" s="200"/>
      <c r="C482" s="182"/>
      <c r="D482" s="98"/>
      <c r="E482" s="97"/>
      <c r="F482" s="97"/>
      <c r="G482" s="97"/>
      <c r="H482" s="182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J483" s="97"/>
    </row>
    <row r="484" s="96" customFormat="true" ht="15.75" hidden="false" customHeight="true" outlineLevel="0" collapsed="false">
      <c r="A484" s="200"/>
      <c r="C484" s="98"/>
      <c r="D484" s="98"/>
      <c r="E484" s="97"/>
      <c r="F484" s="97"/>
      <c r="G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C488" s="98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G495" s="97"/>
      <c r="H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97"/>
      <c r="I499" s="196"/>
      <c r="J499" s="196"/>
    </row>
    <row r="500" s="96" customFormat="true" ht="15.75" hidden="false" customHeight="true" outlineLevel="0" collapsed="false">
      <c r="A500" s="200"/>
      <c r="D500" s="98"/>
      <c r="E500" s="97"/>
      <c r="F500" s="97"/>
      <c r="G500" s="97"/>
      <c r="H500" s="182"/>
      <c r="J500" s="97"/>
    </row>
    <row r="501" s="96" customFormat="true" ht="15.75" hidden="false" customHeight="true" outlineLevel="0" collapsed="false">
      <c r="A501" s="200"/>
      <c r="C501" s="188"/>
      <c r="D501" s="98"/>
      <c r="E501" s="97"/>
      <c r="F501" s="97"/>
      <c r="G501" s="97"/>
      <c r="J501" s="97"/>
    </row>
    <row r="502" s="96" customFormat="true" ht="15.75" hidden="false" customHeight="true" outlineLevel="0" collapsed="false">
      <c r="A502" s="200"/>
      <c r="D502" s="98"/>
      <c r="E502" s="97"/>
      <c r="F502" s="97"/>
      <c r="G502" s="97"/>
      <c r="I502" s="196"/>
      <c r="J502" s="196"/>
    </row>
    <row r="503" s="96" customFormat="true" ht="15.75" hidden="false" customHeight="true" outlineLevel="0" collapsed="false">
      <c r="A503" s="200"/>
      <c r="C503" s="98"/>
      <c r="D503" s="98"/>
      <c r="E503" s="97"/>
      <c r="F503" s="97"/>
      <c r="G503" s="97"/>
      <c r="H503" s="182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J504" s="97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196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212"/>
      <c r="J512" s="195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212"/>
      <c r="J513" s="195"/>
    </row>
    <row r="514" s="96" customFormat="true" ht="15.75" hidden="false" customHeight="true" outlineLevel="0" collapsed="false">
      <c r="A514" s="200"/>
      <c r="D514" s="98"/>
      <c r="E514" s="97"/>
      <c r="F514" s="97"/>
      <c r="G514" s="97"/>
      <c r="H514" s="97"/>
      <c r="I514" s="212"/>
      <c r="J514" s="195"/>
    </row>
    <row r="515" s="96" customFormat="true" ht="15.75" hidden="false" customHeight="true" outlineLevel="0" collapsed="false">
      <c r="A515" s="200"/>
      <c r="D515" s="98"/>
      <c r="E515" s="97"/>
      <c r="F515" s="97"/>
      <c r="G515" s="97"/>
      <c r="H515" s="238"/>
      <c r="J515" s="97"/>
    </row>
    <row r="516" s="96" customFormat="true" ht="15.75" hidden="false" customHeight="true" outlineLevel="0" collapsed="false">
      <c r="A516" s="191"/>
      <c r="D516" s="98"/>
      <c r="E516" s="97"/>
      <c r="F516" s="97"/>
      <c r="G516" s="97"/>
      <c r="I516" s="191"/>
      <c r="J516" s="199"/>
    </row>
    <row r="517" s="96" customFormat="true" ht="15.75" hidden="false" customHeight="true" outlineLevel="0" collapsed="false">
      <c r="B517" s="191"/>
      <c r="C517" s="191"/>
      <c r="D517" s="192"/>
      <c r="E517" s="191"/>
      <c r="F517" s="191"/>
      <c r="G517" s="191"/>
      <c r="H517" s="191"/>
    </row>
    <row r="518" s="96" customFormat="true" ht="15.75" hidden="false" customHeight="true" outlineLevel="0" collapsed="false"/>
    <row r="519" s="96" customFormat="true" ht="24.75" hidden="false" customHeight="true" outlineLevel="0" collapsed="false">
      <c r="A519" s="88" t="s">
        <v>482</v>
      </c>
      <c r="B519" s="88"/>
      <c r="C519" s="88"/>
      <c r="D519" s="88"/>
      <c r="E519" s="88"/>
      <c r="F519" s="88"/>
      <c r="G519" s="88"/>
      <c r="H519" s="88"/>
      <c r="I519" s="88"/>
      <c r="J519" s="88"/>
    </row>
    <row r="520" s="96" customFormat="true" ht="34.5" hidden="false" customHeight="true" outlineLevel="0" collapsed="false">
      <c r="A520" s="114" t="s">
        <v>319</v>
      </c>
      <c r="B520" s="115" t="s">
        <v>168</v>
      </c>
      <c r="C520" s="115" t="s">
        <v>168</v>
      </c>
      <c r="D520" s="116" t="s">
        <v>483</v>
      </c>
      <c r="E520" s="115" t="s">
        <v>321</v>
      </c>
      <c r="F520" s="239" t="s">
        <v>484</v>
      </c>
      <c r="G520" s="240"/>
      <c r="H520" s="116" t="s">
        <v>484</v>
      </c>
      <c r="I520" s="116" t="s">
        <v>485</v>
      </c>
      <c r="J520" s="117" t="s">
        <v>323</v>
      </c>
      <c r="N520" s="118" t="s">
        <v>168</v>
      </c>
      <c r="O520" s="118" t="s">
        <v>168</v>
      </c>
    </row>
    <row r="521" s="96" customFormat="true" ht="15.75" hidden="false" customHeight="true" outlineLevel="0" collapsed="false">
      <c r="A521" s="120" t="n">
        <f aca="false">IF(C521="","",1)</f>
        <v>1</v>
      </c>
      <c r="B521" s="121" t="str">
        <f aca="false">IF($D$127=5,N521,IF($D$127=6,N522,IF($D$127=8,N523,IF($D$127=10,N524,IF($D$127=12,N525,IF($D$127=14,N526,IF($D$127=18,N527,IF($D$127=20,N528,IF($D$127=22,N529,)))))))))</f>
        <v>กระจก 6 mm (สูง) (กว้าง)</v>
      </c>
      <c r="C521" s="121" t="str">
        <f aca="false">IF($D$127=5,O521,IF($D$127=6,O522,IF($D$127=8,O523,IF($D$127=10,O524,IF($D$127=12,O525,IF($D$127=14,O526,IF($D$127=18,O527,IF($D$127=20,O528,IF($D$127=22,O529,)))))))))</f>
        <v>GLASS thk.6 mm (H) (W)</v>
      </c>
      <c r="D521" s="123" t="n">
        <f aca="false">$J$123-215</f>
        <v>2285</v>
      </c>
      <c r="E521" s="120" t="s">
        <v>486</v>
      </c>
      <c r="F521" s="224" t="s">
        <v>487</v>
      </c>
      <c r="G521" s="224"/>
      <c r="H521" s="120" t="s">
        <v>648</v>
      </c>
      <c r="I521" s="225" t="n">
        <f aca="false">(($J$126-185-(113.25*4))/5)-13</f>
        <v>559.4</v>
      </c>
      <c r="J521" s="226" t="n">
        <f aca="false">$J$120*5</f>
        <v>5</v>
      </c>
      <c r="M521" s="96" t="n">
        <f aca="false">ROW()</f>
        <v>521</v>
      </c>
      <c r="N521" s="62" t="s">
        <v>489</v>
      </c>
      <c r="O521" s="62" t="s">
        <v>490</v>
      </c>
    </row>
    <row r="522" s="96" customFormat="true" ht="15.75" hidden="false" customHeight="true" outlineLevel="0" collapsed="false">
      <c r="A522" s="269"/>
      <c r="B522" s="228"/>
      <c r="C522" s="228"/>
      <c r="D522" s="176"/>
      <c r="E522" s="167"/>
      <c r="F522" s="229"/>
      <c r="G522" s="230"/>
      <c r="H522" s="167"/>
      <c r="I522" s="231"/>
      <c r="J522" s="232"/>
      <c r="M522" s="96" t="n">
        <f aca="false">ROW()</f>
        <v>522</v>
      </c>
      <c r="N522" s="62" t="s">
        <v>491</v>
      </c>
      <c r="O522" s="62" t="s">
        <v>492</v>
      </c>
    </row>
    <row r="523" s="96" customFormat="true" ht="15.75" hidden="false" customHeight="true" outlineLevel="0" collapsed="false">
      <c r="A523" s="269"/>
      <c r="B523" s="228"/>
      <c r="C523" s="228"/>
      <c r="D523" s="176"/>
      <c r="E523" s="167"/>
      <c r="F523" s="229"/>
      <c r="G523" s="230"/>
      <c r="H523" s="167"/>
      <c r="I523" s="231"/>
      <c r="J523" s="232"/>
      <c r="M523" s="96" t="n">
        <f aca="false">ROW()</f>
        <v>523</v>
      </c>
      <c r="N523" s="62" t="s">
        <v>493</v>
      </c>
      <c r="O523" s="62" t="s">
        <v>494</v>
      </c>
    </row>
    <row r="524" s="96" customFormat="true" ht="15.75" hidden="false" customHeight="true" outlineLevel="0" collapsed="false">
      <c r="A524" s="130" t="str">
        <f aca="false">IF(B524="","",+""+1)</f>
        <v/>
      </c>
      <c r="B524" s="131"/>
      <c r="C524" s="131"/>
      <c r="D524" s="132"/>
      <c r="E524" s="130"/>
      <c r="F524" s="233"/>
      <c r="G524" s="270"/>
      <c r="H524" s="130"/>
      <c r="I524" s="142"/>
      <c r="J524" s="133"/>
      <c r="M524" s="96" t="n">
        <f aca="false">ROW()</f>
        <v>524</v>
      </c>
      <c r="N524" s="62" t="s">
        <v>495</v>
      </c>
      <c r="O524" s="62" t="s">
        <v>496</v>
      </c>
    </row>
    <row r="525" s="96" customFormat="true" ht="15.75" hidden="false" customHeight="true" outlineLevel="0" collapsed="false">
      <c r="A525" s="136" t="str">
        <f aca="false">IF(B525="","",+A524+1)</f>
        <v/>
      </c>
      <c r="B525" s="135"/>
      <c r="C525" s="135"/>
      <c r="D525" s="139"/>
      <c r="E525" s="136"/>
      <c r="F525" s="236"/>
      <c r="G525" s="237"/>
      <c r="H525" s="136"/>
      <c r="I525" s="180"/>
      <c r="J525" s="140"/>
      <c r="M525" s="96" t="n">
        <f aca="false">ROW()</f>
        <v>525</v>
      </c>
      <c r="N525" s="62" t="s">
        <v>497</v>
      </c>
      <c r="O525" s="62" t="s">
        <v>498</v>
      </c>
    </row>
    <row r="526" s="96" customFormat="true" ht="15.75" hidden="false" customHeight="true" outlineLevel="0" collapsed="false">
      <c r="A526" s="97"/>
      <c r="D526" s="98"/>
      <c r="E526" s="97"/>
      <c r="F526" s="97"/>
      <c r="G526" s="97"/>
      <c r="H526" s="97"/>
      <c r="I526" s="97"/>
      <c r="J526" s="196"/>
      <c r="M526" s="96" t="n">
        <f aca="false">ROW()</f>
        <v>526</v>
      </c>
      <c r="N526" s="62" t="s">
        <v>499</v>
      </c>
      <c r="O526" s="62" t="s">
        <v>500</v>
      </c>
    </row>
    <row r="527" customFormat="false" ht="14.25" hidden="false" customHeight="false" outlineLevel="0" collapsed="false">
      <c r="J527" s="92" t="str">
        <f aca="false">LEFT($J$111,13)&amp;"-05"</f>
        <v>FG-240-5P4L1R-05</v>
      </c>
      <c r="M527" s="96" t="n">
        <f aca="false">ROW()</f>
        <v>527</v>
      </c>
      <c r="N527" s="62" t="s">
        <v>501</v>
      </c>
      <c r="O527" s="62" t="s">
        <v>502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503</v>
      </c>
      <c r="O528" s="62" t="s">
        <v>504</v>
      </c>
    </row>
    <row r="529" customFormat="false" ht="14.25" hidden="false" customHeight="false" outlineLevel="0" collapsed="false">
      <c r="M529" s="96" t="n">
        <f aca="false">ROW()</f>
        <v>529</v>
      </c>
      <c r="N529" s="62" t="s">
        <v>505</v>
      </c>
      <c r="O529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7"/>
    <mergeCell ref="H163:H167"/>
    <mergeCell ref="I166:J167"/>
    <mergeCell ref="D168:D169"/>
    <mergeCell ref="H168:H169"/>
    <mergeCell ref="I168:J168"/>
    <mergeCell ref="D170:D171"/>
    <mergeCell ref="H170:H171"/>
    <mergeCell ref="A172:J172"/>
    <mergeCell ref="A213:J213"/>
    <mergeCell ref="C308:E308"/>
    <mergeCell ref="A320:J320"/>
    <mergeCell ref="F330:G330"/>
    <mergeCell ref="F331:G331"/>
    <mergeCell ref="F334:G334"/>
    <mergeCell ref="A427:J427"/>
    <mergeCell ref="A519:J519"/>
    <mergeCell ref="F521:G521"/>
  </mergeCells>
  <dataValidations count="4">
    <dataValidation allowBlank="true" errorStyle="stop" operator="between" showDropDown="false" showErrorMessage="true" showInputMessage="true" sqref="D127:G127" type="list">
      <formula1>$N$120:$N$128</formula1>
      <formula2>0</formula2>
    </dataValidation>
    <dataValidation allowBlank="true" errorStyle="stop" operator="between" showDropDown="false" showErrorMessage="true" showInputMessage="true" sqref="C206" type="list">
      <formula1>$O$174:$O$192</formula1>
      <formula2>0</formula2>
    </dataValidation>
    <dataValidation allowBlank="true" errorStyle="stop" operator="between" showDropDown="false" showErrorMessage="true" showInputMessage="true" sqref="D129:G129" type="list">
      <formula1>$O$120</formula1>
      <formula2>0</formula2>
    </dataValidation>
    <dataValidation allowBlank="true" errorStyle="stop" operator="between" showDropDown="false" showErrorMessage="true" showInputMessage="true" sqref="D123:G123" type="list">
      <formula1>$P$119:$P$128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Y528"/>
  <sheetViews>
    <sheetView showFormulas="false" showGridLines="false" showRowColHeaders="true" showZeros="true" rightToLeft="false" tabSelected="false" showOutlineSymbols="true" defaultGridColor="true" view="pageBreakPreview" topLeftCell="A109" colorId="64" zoomScale="75" zoomScaleNormal="75" zoomScalePageLayoutView="75" workbookViewId="0">
      <selection pane="topLeft" activeCell="H120" activeCellId="0" sqref="H120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34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7.88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3.44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662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>
      <c r="G45" s="91"/>
    </row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663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5" hidden="false" customHeight="true" outlineLevel="0" collapsed="false">
      <c r="A118" s="97"/>
      <c r="C118" s="81"/>
      <c r="D118" s="98"/>
      <c r="E118" s="83"/>
      <c r="J118" s="99"/>
      <c r="K118" s="83"/>
    </row>
    <row r="119" s="96" customFormat="true" ht="15" hidden="false" customHeight="true" outlineLevel="0" collapsed="false">
      <c r="A119" s="97"/>
      <c r="C119" s="100" t="s">
        <v>286</v>
      </c>
      <c r="D119" s="101" t="s">
        <v>664</v>
      </c>
      <c r="E119" s="101"/>
      <c r="F119" s="101"/>
      <c r="G119" s="101"/>
      <c r="I119" s="83"/>
      <c r="J119" s="97"/>
      <c r="N119" s="258" t="s">
        <v>288</v>
      </c>
      <c r="O119" s="97" t="s">
        <v>289</v>
      </c>
      <c r="P119" s="102" t="s">
        <v>290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5</v>
      </c>
      <c r="O120" s="97" t="s">
        <v>509</v>
      </c>
      <c r="P120" s="106" t="s">
        <v>294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6</v>
      </c>
      <c r="O121" s="97" t="s">
        <v>296</v>
      </c>
      <c r="P121" s="106" t="s">
        <v>297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8</v>
      </c>
      <c r="P122" s="106" t="s">
        <v>299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303</v>
      </c>
      <c r="E123" s="101"/>
      <c r="F123" s="101"/>
      <c r="G123" s="101"/>
      <c r="H123" s="104" t="s">
        <v>302</v>
      </c>
      <c r="I123" s="104"/>
      <c r="J123" s="105" t="n">
        <v>3700</v>
      </c>
      <c r="N123" s="259" t="n">
        <v>10</v>
      </c>
      <c r="P123" s="106" t="s">
        <v>303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12</v>
      </c>
      <c r="P124" s="106" t="s">
        <v>305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510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14</v>
      </c>
      <c r="P125" s="106" t="s">
        <v>308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4000</v>
      </c>
      <c r="K126" s="110"/>
      <c r="L126" s="110"/>
      <c r="N126" s="259" t="n">
        <v>18</v>
      </c>
      <c r="P126" s="106" t="s">
        <v>311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259" t="n">
        <v>20</v>
      </c>
      <c r="P127" s="106" t="s">
        <v>313</v>
      </c>
    </row>
    <row r="128" s="96" customFormat="true" ht="18.75" hidden="false" customHeight="true" outlineLevel="0" collapsed="false">
      <c r="C128" s="108" t="s">
        <v>314</v>
      </c>
      <c r="I128" s="97"/>
      <c r="J128" s="97"/>
      <c r="N128" s="259" t="n">
        <v>22</v>
      </c>
      <c r="P128" s="106" t="s">
        <v>315</v>
      </c>
    </row>
    <row r="129" s="96" customFormat="true" ht="15" hidden="false" customHeight="true" outlineLevel="0" collapsed="false">
      <c r="A129" s="89" t="str">
        <f aca="false">A18</f>
        <v>240-5 Panel (5L)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330</v>
      </c>
      <c r="G133" s="120" t="n">
        <v>1</v>
      </c>
      <c r="H133" s="120" t="s">
        <v>331</v>
      </c>
      <c r="I133" s="123" t="n">
        <f aca="false">$J$126-60</f>
        <v>3940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10</v>
      </c>
      <c r="U133" s="127" t="s">
        <v>665</v>
      </c>
      <c r="V133" s="128" t="n">
        <f aca="false">($J$126-182-(113.25*4))/5</f>
        <v>673</v>
      </c>
      <c r="W133" s="129" t="n">
        <f aca="false">$J$121*T133</f>
        <v>0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3914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10</v>
      </c>
      <c r="U134" s="127" t="s">
        <v>665</v>
      </c>
      <c r="V134" s="128" t="n">
        <f aca="false">($J$126-182-(113.25*4))/5</f>
        <v>673</v>
      </c>
      <c r="W134" s="134" t="n">
        <f aca="false">$J$121*T134</f>
        <v>0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3940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10</v>
      </c>
      <c r="U135" s="127" t="s">
        <v>665</v>
      </c>
      <c r="V135" s="128" t="n">
        <f aca="false">($J$126-182-(113.25*4))/5</f>
        <v>673</v>
      </c>
      <c r="W135" s="137" t="n">
        <f aca="false">$J$121*T135</f>
        <v>0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3940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10</v>
      </c>
      <c r="U136" s="127" t="s">
        <v>360</v>
      </c>
      <c r="V136" s="138" t="n">
        <f aca="false">$J$123-242</f>
        <v>3458</v>
      </c>
      <c r="W136" s="129" t="n">
        <f aca="false">$J$121*T136</f>
        <v>0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3700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10</v>
      </c>
      <c r="U137" s="130" t="s">
        <v>360</v>
      </c>
      <c r="V137" s="133" t="n">
        <f aca="false">$J$123-242</f>
        <v>3458</v>
      </c>
      <c r="W137" s="134" t="n">
        <f aca="false">$J$121*T137</f>
        <v>0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529</v>
      </c>
      <c r="G138" s="130" t="n">
        <v>1</v>
      </c>
      <c r="H138" s="130" t="s">
        <v>332</v>
      </c>
      <c r="I138" s="133" t="n">
        <f aca="false">$J$123</f>
        <v>3700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10</v>
      </c>
      <c r="U138" s="136" t="s">
        <v>360</v>
      </c>
      <c r="V138" s="140" t="n">
        <f aca="false">$J$123-242</f>
        <v>3458</v>
      </c>
      <c r="W138" s="137" t="n">
        <f aca="false">$J$121*T138</f>
        <v>0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3604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3604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5</v>
      </c>
      <c r="H141" s="130" t="s">
        <v>645</v>
      </c>
      <c r="I141" s="141" t="n">
        <f aca="false">($J$126-60-(5+1)*4)/5</f>
        <v>783.2</v>
      </c>
      <c r="J141" s="134" t="n">
        <f aca="false">$J$120*G141</f>
        <v>5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5</v>
      </c>
      <c r="H142" s="130" t="s">
        <v>645</v>
      </c>
      <c r="I142" s="141" t="n">
        <f aca="false">($J$126-60-(5+1)*4)/5</f>
        <v>783.2</v>
      </c>
      <c r="J142" s="134" t="n">
        <f aca="false">$J$120*G142</f>
        <v>5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7</v>
      </c>
      <c r="H143" s="130" t="s">
        <v>389</v>
      </c>
      <c r="I143" s="133" t="n">
        <f aca="false">$J$123-92</f>
        <v>3608</v>
      </c>
      <c r="J143" s="134" t="n">
        <f aca="false">$J$120*G143</f>
        <v>7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2</v>
      </c>
      <c r="H144" s="130" t="s">
        <v>389</v>
      </c>
      <c r="I144" s="133" t="n">
        <f aca="false">$J$123-92</f>
        <v>3608</v>
      </c>
      <c r="J144" s="134" t="n">
        <f aca="false">$J$120*G144</f>
        <v>2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531</v>
      </c>
      <c r="C145" s="131" t="s">
        <v>532</v>
      </c>
      <c r="D145" s="132" t="s">
        <v>74</v>
      </c>
      <c r="E145" s="130" t="n">
        <v>1.106</v>
      </c>
      <c r="F145" s="132" t="s">
        <v>533</v>
      </c>
      <c r="G145" s="130" t="n">
        <v>1</v>
      </c>
      <c r="H145" s="130" t="s">
        <v>389</v>
      </c>
      <c r="I145" s="133" t="n">
        <f aca="false">$J$123-92</f>
        <v>3608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6" s="131" t="str">
        <f aca="false">IF($D$127=5,Q133,IF($D$127=6,Q133,IF($D$127=8,Q134,IF($D$127=10,Q134,IF($D$127=12,Q134,IF($D$127=14,Q135,IF($D$127=18,Q135,IF($D$127=20,Q135,IF($D$127=22,Q135,)))))))))</f>
        <v>B24008</v>
      </c>
      <c r="E146" s="131" t="n">
        <f aca="false">IF($D$127=5,R133,IF($D$127=6,R133,IF($D$127=8,R134,IF($D$127=10,R134,IF($D$127=12,R134,IF($D$127=14,R135,IF($D$127=18,R135,IF($D$127=20,R135,IF($D$127=22,R135,)))))))))</f>
        <v>0.231</v>
      </c>
      <c r="F146" s="131" t="str">
        <f aca="false">IF($D$127=5,S133,IF($D$127=6,S133,IF($D$127=8,S134,IF($D$127=10,S134,IF($D$127=12,S134,IF($D$127=14,S135,IF($D$127=18,S135,IF($D$127=20,S135,IF($D$127=22,S135,)))))))))</f>
        <v>B24008-001</v>
      </c>
      <c r="G146" s="130" t="n">
        <f aca="false">IF($D$127=5,T133,IF($D$127=6,T133,IF($D$127=8,T134,IF($D$127=10,T134,IF($D$127=12,T134,IF($D$127=14,T135,IF($D$127=18,T135,IF($D$127=20,T135,IF($D$127=22,T135,)))))))))</f>
        <v>10</v>
      </c>
      <c r="H146" s="130" t="str">
        <f aca="false">IF($D$127=5,U133,IF($D$127=6,U133,IF($D$127=8,U134,IF($D$127=10,U134,IF($D$127=12,U134,IF($D$127=14,U135,IF($D$127=18,U135,IF($D$127=20,U135,IF($D$127=22,U135,)))))))))</f>
        <v>(W-182-(113.25 × 4))/5</v>
      </c>
      <c r="I146" s="141" t="n">
        <f aca="false">IF($D$127=5,V133,IF($D$127=6,V133,IF($D$127=8,V134,IF($D$127=10,V134,IF($D$127=12,V134,IF($D$127=14,V135,IF($D$127=18,V135,IF($D$127=20,V135,IF($D$127=22,V135,)))))))))</f>
        <v>673</v>
      </c>
      <c r="J146" s="134" t="n">
        <f aca="false">$J$120*G146</f>
        <v>10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7" s="131" t="str">
        <f aca="false">IF($D$127=5,Q136,IF($D$127=6,Q136,IF($D$127=8,Q137,IF($D$127=10,Q137,IF($D$127=12,Q137,IF($D$127=14,Q138,IF($D$127=18,Q138,IF($D$127=20,Q138,IF($D$127=22,Q138,)))))))))</f>
        <v>B24008</v>
      </c>
      <c r="E147" s="131" t="n">
        <f aca="false">IF($D$127=5,R136,IF($D$127=6,R136,IF($D$127=8,R137,IF($D$127=10,R137,IF($D$127=12,R137,IF($D$127=14,R138,IF($D$127=18,R138,IF($D$127=20,R138,IF($D$127=22,R138,)))))))))</f>
        <v>0.231</v>
      </c>
      <c r="F147" s="131" t="str">
        <f aca="false">IF($D$127=5,S136,IF($D$127=6,S136,IF($D$127=8,S137,IF($D$127=10,S137,IF($D$127=12,S137,IF($D$127=14,S138,IF($D$127=18,S138,IF($D$127=20,S138,IF($D$127=22,S138,)))))))))</f>
        <v>B24008-002</v>
      </c>
      <c r="G147" s="130" t="n">
        <f aca="false">IF($D$127=5,T136,IF($D$127=6,T136,IF($D$127=8,T137,IF($D$127=10,T137,IF($D$127=12,T137,IF($D$127=14,T138,IF($D$127=18,T138,IF($D$127=20,T138,IF($D$127=22,T138,)))))))))</f>
        <v>10</v>
      </c>
      <c r="H147" s="130" t="str">
        <f aca="false">IF($D$127=5,U136,IF($D$127=6,U136,IF($D$127=8,U137,IF($D$127=10,U137,IF($D$127=12,U137,IF($D$127=14,U138,IF($D$127=18,U138,IF($D$127=20,U138,IF($D$127=22,U138,)))))))))</f>
        <v>H-242</v>
      </c>
      <c r="I147" s="133" t="n">
        <f aca="false">IF($D$127=5,V136,IF($D$127=6,V136,IF($D$127=8,V137,IF($D$127=10,V137,IF($D$127=12,V137,IF($D$127=14,V138,IF($D$127=18,V138,IF($D$127=20,V138,IF($D$127=22,V138,)))))))))</f>
        <v>3458</v>
      </c>
      <c r="J147" s="134" t="n">
        <f aca="false">$J$120*G147</f>
        <v>10</v>
      </c>
    </row>
    <row r="148" s="96" customFormat="true" ht="18" hidden="false" customHeight="true" outlineLevel="0" collapsed="false">
      <c r="A148" s="130" t="str">
        <f aca="false">IF(B148="","",+A147+1)</f>
        <v/>
      </c>
      <c r="B148" s="131"/>
      <c r="C148" s="131"/>
      <c r="D148" s="132"/>
      <c r="E148" s="130"/>
      <c r="F148" s="132"/>
      <c r="G148" s="130"/>
      <c r="H148" s="130"/>
      <c r="I148" s="133"/>
      <c r="J148" s="134" t="n">
        <f aca="false">$J$120*G148</f>
        <v>0</v>
      </c>
    </row>
    <row r="149" s="96" customFormat="true" ht="18" hidden="false" customHeight="true" outlineLevel="0" collapsed="false">
      <c r="A149" s="130" t="str">
        <f aca="false">IF(B149="","",+A148+1)</f>
        <v/>
      </c>
      <c r="B149" s="131"/>
      <c r="C149" s="131"/>
      <c r="D149" s="132"/>
      <c r="E149" s="130"/>
      <c r="F149" s="132"/>
      <c r="G149" s="130"/>
      <c r="H149" s="130"/>
      <c r="I149" s="133"/>
      <c r="J149" s="134" t="n">
        <f aca="false">$J$120*G149</f>
        <v>0</v>
      </c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33"/>
      <c r="J150" s="134"/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33"/>
      <c r="J151" s="134" t="n">
        <f aca="false">$J$120*G151</f>
        <v>0</v>
      </c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3940</v>
      </c>
      <c r="G155" s="155" t="n">
        <f aca="false">VLOOKUP(C155,$C$133:$J$153,8,0)</f>
        <v>1</v>
      </c>
      <c r="H155" s="264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VLOOKUP(C156,$C$133:$I$153,7,0)</f>
        <v>3914</v>
      </c>
      <c r="G156" s="155" t="n">
        <f aca="false">VLOOKUP(C156,$C$133:$J$153,8,0)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VLOOKUP(C157,$C$133:$I$153,7,0)</f>
        <v>3940</v>
      </c>
      <c r="G157" s="155" t="n">
        <f aca="false">VLOOKUP(C157,$C$133:$J$153,8,0)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VLOOKUP(C158,$C$133:$I$153,7,0)</f>
        <v>3940</v>
      </c>
      <c r="G158" s="155" t="n">
        <f aca="false">VLOOKUP(C158,$C$133:$J$153,8,0)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VLOOKUP(C159,$C$133:$I$153,7,0)</f>
        <v>3700</v>
      </c>
      <c r="G159" s="155" t="n">
        <f aca="false">VLOOKUP(C159,$C$133:$J$153,8,0)</f>
        <v>1</v>
      </c>
      <c r="H159" s="160" t="n">
        <f aca="false">ROUNDUP(((F159*G159)+(F160*G160))/6400,0)</f>
        <v>2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VLOOKUP(C160,$C$133:$I$153,7,0)</f>
        <v>3700</v>
      </c>
      <c r="G160" s="155" t="n">
        <f aca="false">VLOOKUP(C160,$C$133:$J$153,8,0)</f>
        <v>1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VLOOKUP(C161,$C$133:$I$153,7,0)</f>
        <v>3604</v>
      </c>
      <c r="G161" s="155" t="n">
        <f aca="false">VLOOKUP(C161,$C$133:$J$153,8,0)</f>
        <v>1</v>
      </c>
      <c r="H161" s="160" t="n">
        <f aca="false">ROUNDUP(((F161*G161)+(F162*G162))/6400,0)</f>
        <v>2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155" t="n">
        <f aca="false">VLOOKUP(C162,$C$133:$H$153,3,0)</f>
        <v>0.235</v>
      </c>
      <c r="F162" s="263" t="n">
        <f aca="false">VLOOKUP(C162,$C$133:$I$153,7,0)</f>
        <v>3604</v>
      </c>
      <c r="G162" s="155" t="n">
        <f aca="false">VLOOKUP(C162,$C$133:$J$153,8,0)</f>
        <v>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155" t="n">
        <f aca="false">VLOOKUP(C163,$C$133:$H$153,3,0)</f>
        <v>1.106</v>
      </c>
      <c r="F163" s="267" t="n">
        <f aca="false">VLOOKUP(C163,$C$133:$I$153,7,0)</f>
        <v>783.2</v>
      </c>
      <c r="G163" s="155" t="n">
        <f aca="false">VLOOKUP(C163,$C$133:$J$153,8,0)</f>
        <v>5</v>
      </c>
      <c r="H163" s="160" t="n">
        <f aca="false">ROUNDUP(((F163*G163)+(F164*G164)+(F165*G165)+(F166*G166)+(F167*G167))/6400,0)</f>
        <v>7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155" t="n">
        <f aca="false">VLOOKUP(C164,$C$133:$H$153,3,0)</f>
        <v>1.106</v>
      </c>
      <c r="F164" s="267" t="n">
        <f aca="false">VLOOKUP(C164,$C$133:$I$153,7,0)</f>
        <v>783.2</v>
      </c>
      <c r="G164" s="155" t="n">
        <f aca="false">VLOOKUP(C164,$C$133:$J$153,8,0)</f>
        <v>5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155" t="n">
        <f aca="false">VLOOKUP(C165,$C$133:$H$153,3,0)</f>
        <v>1.106</v>
      </c>
      <c r="F165" s="263" t="n">
        <f aca="false">VLOOKUP(C165,$C$133:$I$153,7,0)</f>
        <v>3608</v>
      </c>
      <c r="G165" s="155" t="n">
        <f aca="false">VLOOKUP(C165,$C$133:$J$153,8,0)</f>
        <v>7</v>
      </c>
      <c r="H165" s="160"/>
      <c r="I165" s="161"/>
      <c r="J165" s="161"/>
    </row>
    <row r="166" s="96" customFormat="true" ht="13.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155" t="n">
        <f aca="false">VLOOKUP(C166,$C$133:$H$153,3,0)</f>
        <v>1.106</v>
      </c>
      <c r="F166" s="263" t="n">
        <f aca="false">VLOOKUP(C166,$C$133:$I$153,7,0)</f>
        <v>3608</v>
      </c>
      <c r="G166" s="155" t="n">
        <f aca="false">VLOOKUP(C166,$C$133:$J$153,8,0)</f>
        <v>2</v>
      </c>
      <c r="H166" s="160"/>
      <c r="I166" s="161"/>
      <c r="J166" s="161"/>
    </row>
    <row r="167" s="96" customFormat="true" ht="15" hidden="false" customHeight="true" outlineLevel="1" collapsed="false">
      <c r="A167" s="158" t="n">
        <f aca="false">IF(B167="","",+A166+1)</f>
        <v>13</v>
      </c>
      <c r="B167" s="153" t="str">
        <f aca="false">B145</f>
        <v>เสากุญแจมือจับ</v>
      </c>
      <c r="C167" s="153" t="str">
        <f aca="false">C145</f>
        <v>SASH (Ver) LOCK HANDLE</v>
      </c>
      <c r="D167" s="159"/>
      <c r="E167" s="155" t="n">
        <f aca="false">VLOOKUP(C167,$C$133:$H$153,3,0)</f>
        <v>1.106</v>
      </c>
      <c r="F167" s="263" t="n">
        <f aca="false">VLOOKUP(C167,$C$133:$I$153,7,0)</f>
        <v>3608</v>
      </c>
      <c r="G167" s="155" t="n">
        <f aca="false">VLOOKUP(C167,$C$133:$J$153,8,0)</f>
        <v>1</v>
      </c>
      <c r="H167" s="160"/>
      <c r="I167" s="161"/>
      <c r="J167" s="161"/>
    </row>
    <row r="168" s="96" customFormat="true" ht="13.5" hidden="false" customHeight="true" outlineLevel="1" collapsed="false">
      <c r="A168" s="158" t="n">
        <f aca="false">IF(B168="","",+A167+1)</f>
        <v>14</v>
      </c>
      <c r="B168" s="153" t="str">
        <f aca="false">B146</f>
        <v>5-6mm คิ้วตบกระจกแนวนอน</v>
      </c>
      <c r="C168" s="153" t="str">
        <f aca="false">C146</f>
        <v>5-6mm GLAZING BEAD HORIZONTAL</v>
      </c>
      <c r="D168" s="163" t="str">
        <f aca="false">VLOOKUP(C168,$C$133:$H$153,2,0)</f>
        <v>B24008</v>
      </c>
      <c r="E168" s="155" t="n">
        <f aca="false">VLOOKUP(C168,$C$133:$H$153,3,0)</f>
        <v>0.231</v>
      </c>
      <c r="F168" s="263" t="n">
        <f aca="false">VLOOKUP(C168,$C$133:$I$153,7,0)</f>
        <v>673</v>
      </c>
      <c r="G168" s="155" t="n">
        <f aca="false">VLOOKUP(C168,$C$133:$J$153,8,0)</f>
        <v>10</v>
      </c>
      <c r="H168" s="160" t="n">
        <f aca="false">ROUNDUP(((F168*G168)+(F169*G169))/6400,0)</f>
        <v>7</v>
      </c>
      <c r="I168" s="265"/>
      <c r="J168" s="265"/>
    </row>
    <row r="169" s="96" customFormat="true" ht="14.25" hidden="false" customHeight="false" outlineLevel="1" collapsed="false">
      <c r="A169" s="158" t="n">
        <f aca="false">IF(B169="","",+A168+1)</f>
        <v>15</v>
      </c>
      <c r="B169" s="153" t="str">
        <f aca="false">B147</f>
        <v>5-6mm คิ้วตบกระจกแนวตั้ง</v>
      </c>
      <c r="C169" s="153" t="str">
        <f aca="false">C147</f>
        <v>5-6mm GLAZING BEAD VERTICAL</v>
      </c>
      <c r="D169" s="163"/>
      <c r="E169" s="155" t="n">
        <f aca="false">VLOOKUP(C169,$C$133:$H$153,3,0)</f>
        <v>0.231</v>
      </c>
      <c r="F169" s="263" t="n">
        <f aca="false">VLOOKUP(C169,$C$133:$I$153,7,0)</f>
        <v>3458</v>
      </c>
      <c r="G169" s="155" t="n">
        <f aca="false">VLOOKUP(C169,$C$133:$J$153,8,0)</f>
        <v>10</v>
      </c>
      <c r="H169" s="160"/>
      <c r="I169" s="196"/>
      <c r="J169" s="196"/>
    </row>
    <row r="170" s="96" customFormat="true" ht="24.75" hidden="false" customHeight="true" outlineLevel="0" collapsed="false">
      <c r="A170" s="113" t="s">
        <v>396</v>
      </c>
      <c r="B170" s="113"/>
      <c r="C170" s="113"/>
      <c r="D170" s="113"/>
      <c r="E170" s="113"/>
      <c r="F170" s="113"/>
      <c r="G170" s="113"/>
      <c r="H170" s="113"/>
      <c r="I170" s="113"/>
      <c r="J170" s="113"/>
    </row>
    <row r="171" s="96" customFormat="true" ht="34.5" hidden="false" customHeight="true" outlineLevel="0" collapsed="false">
      <c r="A171" s="114" t="s">
        <v>319</v>
      </c>
      <c r="B171" s="115" t="s">
        <v>320</v>
      </c>
      <c r="C171" s="115" t="s">
        <v>168</v>
      </c>
      <c r="D171" s="115" t="s">
        <v>397</v>
      </c>
      <c r="E171" s="115" t="s">
        <v>321</v>
      </c>
      <c r="F171" s="116" t="s">
        <v>398</v>
      </c>
      <c r="G171" s="115" t="s">
        <v>399</v>
      </c>
      <c r="H171" s="116" t="s">
        <v>400</v>
      </c>
      <c r="I171" s="116" t="s">
        <v>401</v>
      </c>
      <c r="J171" s="117" t="s">
        <v>402</v>
      </c>
      <c r="N171" s="107" t="s">
        <v>288</v>
      </c>
      <c r="O171" s="165" t="s">
        <v>320</v>
      </c>
      <c r="P171" s="165" t="s">
        <v>168</v>
      </c>
      <c r="Q171" s="165" t="s">
        <v>397</v>
      </c>
      <c r="R171" s="165" t="s">
        <v>321</v>
      </c>
      <c r="S171" s="165" t="s">
        <v>398</v>
      </c>
      <c r="T171" s="165" t="s">
        <v>399</v>
      </c>
      <c r="U171" s="165" t="s">
        <v>400</v>
      </c>
      <c r="V171" s="165" t="s">
        <v>401</v>
      </c>
      <c r="W171" s="165" t="s">
        <v>402</v>
      </c>
    </row>
    <row r="172" s="96" customFormat="true" ht="18" hidden="false" customHeight="true" outlineLevel="0" collapsed="false">
      <c r="A172" s="166" t="n">
        <f aca="false">IF(B172="","",1)</f>
        <v>1</v>
      </c>
      <c r="B172" s="131" t="s">
        <v>410</v>
      </c>
      <c r="C172" s="131" t="s">
        <v>411</v>
      </c>
      <c r="D172" s="132" t="s">
        <v>267</v>
      </c>
      <c r="E172" s="130"/>
      <c r="F172" s="130" t="s">
        <v>267</v>
      </c>
      <c r="G172" s="130" t="s">
        <v>405</v>
      </c>
      <c r="H172" s="130" t="n">
        <v>10</v>
      </c>
      <c r="I172" s="305"/>
      <c r="J172" s="134" t="n">
        <f aca="false">$J$120*H172</f>
        <v>10</v>
      </c>
      <c r="N172" s="107" t="s">
        <v>406</v>
      </c>
      <c r="O172" s="55" t="s">
        <v>407</v>
      </c>
      <c r="P172" s="62" t="s">
        <v>408</v>
      </c>
      <c r="Q172" s="55" t="s">
        <v>227</v>
      </c>
      <c r="R172" s="158"/>
      <c r="S172" s="158" t="s">
        <v>227</v>
      </c>
      <c r="T172" s="158" t="s">
        <v>409</v>
      </c>
      <c r="U172" s="168" t="n">
        <f aca="false">((($I$141*$G$141)+($I$142*$G$142)+($I$143*$G$143)+($I$144*$G$144)+($I$145*$G$145))/1000)*$J$120</f>
        <v>43.912</v>
      </c>
      <c r="V172" s="168" t="n">
        <v>100</v>
      </c>
      <c r="W172" s="169" t="n">
        <f aca="false">ROUNDUP((U172)/100,0)</f>
        <v>1</v>
      </c>
    </row>
    <row r="173" s="96" customFormat="true" ht="18" hidden="false" customHeight="true" outlineLevel="0" collapsed="false">
      <c r="A173" s="170" t="n">
        <f aca="false">IF(B173="","",+A172+1)</f>
        <v>2</v>
      </c>
      <c r="B173" s="131" t="s">
        <v>415</v>
      </c>
      <c r="C173" s="131" t="s">
        <v>416</v>
      </c>
      <c r="D173" s="132" t="s">
        <v>222</v>
      </c>
      <c r="E173" s="130"/>
      <c r="F173" s="130" t="s">
        <v>222</v>
      </c>
      <c r="G173" s="130" t="s">
        <v>405</v>
      </c>
      <c r="H173" s="130" t="n">
        <v>2</v>
      </c>
      <c r="I173" s="305"/>
      <c r="J173" s="134" t="n">
        <f aca="false">$J$120*H173</f>
        <v>2</v>
      </c>
      <c r="N173" s="107" t="s">
        <v>412</v>
      </c>
      <c r="O173" s="55" t="s">
        <v>413</v>
      </c>
      <c r="P173" s="62" t="s">
        <v>414</v>
      </c>
      <c r="Q173" s="55" t="s">
        <v>234</v>
      </c>
      <c r="R173" s="158"/>
      <c r="S173" s="158" t="s">
        <v>234</v>
      </c>
      <c r="T173" s="158" t="s">
        <v>409</v>
      </c>
      <c r="U173" s="168" t="n">
        <f aca="false">((($I$141*$G$141)+($I$142*$G$142)+($I$143*$G$143)+($I$144*$G$144)+($I$145*$G$145))/1000)*$J$120</f>
        <v>43.912</v>
      </c>
      <c r="V173" s="168" t="n">
        <v>100</v>
      </c>
      <c r="W173" s="169" t="n">
        <f aca="false">ROUNDUP((U173)/100,0)</f>
        <v>1</v>
      </c>
    </row>
    <row r="174" s="96" customFormat="true" ht="18" hidden="false" customHeight="true" outlineLevel="0" collapsed="false">
      <c r="A174" s="170" t="n">
        <f aca="false">IF(B174="","",+A173+1)</f>
        <v>3</v>
      </c>
      <c r="B174" s="131" t="s">
        <v>420</v>
      </c>
      <c r="C174" s="131" t="s">
        <v>421</v>
      </c>
      <c r="D174" s="132" t="s">
        <v>225</v>
      </c>
      <c r="E174" s="130"/>
      <c r="F174" s="130" t="s">
        <v>225</v>
      </c>
      <c r="G174" s="130" t="s">
        <v>405</v>
      </c>
      <c r="H174" s="130" t="n">
        <v>2</v>
      </c>
      <c r="I174" s="133"/>
      <c r="J174" s="134" t="n">
        <f aca="false">$J$120*H174</f>
        <v>2</v>
      </c>
      <c r="N174" s="107" t="s">
        <v>417</v>
      </c>
      <c r="O174" s="62" t="s">
        <v>418</v>
      </c>
      <c r="P174" s="62" t="s">
        <v>419</v>
      </c>
      <c r="Q174" s="55" t="s">
        <v>236</v>
      </c>
      <c r="R174" s="158"/>
      <c r="S174" s="158" t="s">
        <v>236</v>
      </c>
      <c r="T174" s="158" t="s">
        <v>409</v>
      </c>
      <c r="U174" s="168" t="n">
        <f aca="false">((($I$141*$G$141)+($I$142*$G$142)+($I$143*$G$143)+($I$144*$G$144)+($I$145*$G$145))/1000)*$J$120</f>
        <v>43.912</v>
      </c>
      <c r="V174" s="168" t="n">
        <v>100</v>
      </c>
      <c r="W174" s="169" t="n">
        <f aca="false">ROUNDUP((U174)/100,0)</f>
        <v>1</v>
      </c>
    </row>
    <row r="175" s="96" customFormat="true" ht="18" hidden="false" customHeight="true" outlineLevel="0" collapsed="false">
      <c r="A175" s="170" t="n">
        <f aca="false">IF(B175="","",+A174+1)</f>
        <v>4</v>
      </c>
      <c r="B175" s="131" t="s">
        <v>425</v>
      </c>
      <c r="C175" s="131" t="s">
        <v>426</v>
      </c>
      <c r="D175" s="132" t="n">
        <v>9</v>
      </c>
      <c r="E175" s="130"/>
      <c r="F175" s="130" t="n">
        <v>9</v>
      </c>
      <c r="G175" s="130" t="s">
        <v>405</v>
      </c>
      <c r="H175" s="130" t="n">
        <v>8</v>
      </c>
      <c r="I175" s="133"/>
      <c r="J175" s="134" t="n">
        <f aca="false">$J$120*H175</f>
        <v>8</v>
      </c>
      <c r="N175" s="107" t="s">
        <v>422</v>
      </c>
      <c r="O175" s="62" t="s">
        <v>423</v>
      </c>
      <c r="P175" s="62" t="s">
        <v>424</v>
      </c>
      <c r="Q175" s="55" t="s">
        <v>238</v>
      </c>
      <c r="R175" s="158"/>
      <c r="S175" s="158" t="s">
        <v>238</v>
      </c>
      <c r="T175" s="158" t="s">
        <v>409</v>
      </c>
      <c r="U175" s="168" t="n">
        <f aca="false">((($I$141*$G$141)+($I$142*$G$142)+($I$143*$G$143)+($I$144*$G$144)+($I$145*$G$145))/1000)*$J$120</f>
        <v>43.912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5</v>
      </c>
      <c r="B176" s="131" t="s">
        <v>430</v>
      </c>
      <c r="C176" s="131" t="s">
        <v>431</v>
      </c>
      <c r="D176" s="132" t="n">
        <v>9</v>
      </c>
      <c r="E176" s="130"/>
      <c r="F176" s="130" t="n">
        <v>9</v>
      </c>
      <c r="G176" s="130" t="s">
        <v>405</v>
      </c>
      <c r="H176" s="130" t="n">
        <v>110</v>
      </c>
      <c r="I176" s="133"/>
      <c r="J176" s="134" t="n">
        <f aca="false">$J$120*H176</f>
        <v>110</v>
      </c>
      <c r="N176" s="107" t="s">
        <v>427</v>
      </c>
      <c r="O176" s="62" t="s">
        <v>428</v>
      </c>
      <c r="P176" s="62" t="s">
        <v>429</v>
      </c>
      <c r="Q176" s="55" t="s">
        <v>240</v>
      </c>
      <c r="R176" s="158"/>
      <c r="S176" s="158" t="s">
        <v>240</v>
      </c>
      <c r="T176" s="158" t="s">
        <v>409</v>
      </c>
      <c r="U176" s="168" t="n">
        <f aca="false">((($I$141*$G$141)+($I$142*$G$142)+($I$143*$G$143)+($I$144*$G$144)+($I$145*$G$145))/1000)*$J$120</f>
        <v>43.912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6</v>
      </c>
      <c r="B177" s="131" t="s">
        <v>432</v>
      </c>
      <c r="C177" s="131" t="s">
        <v>433</v>
      </c>
      <c r="D177" s="132" t="s">
        <v>6</v>
      </c>
      <c r="E177" s="130"/>
      <c r="F177" s="130" t="s">
        <v>6</v>
      </c>
      <c r="G177" s="130" t="s">
        <v>434</v>
      </c>
      <c r="H177" s="130" t="n">
        <v>1</v>
      </c>
      <c r="I177" s="133"/>
      <c r="J177" s="134" t="n">
        <f aca="false">$J$120*H177</f>
        <v>1</v>
      </c>
    </row>
    <row r="178" s="96" customFormat="true" ht="18" hidden="false" customHeight="true" outlineLevel="0" collapsed="false">
      <c r="A178" s="170" t="n">
        <f aca="false">IF(B178="","",+A177+1)</f>
        <v>7</v>
      </c>
      <c r="B178" s="131" t="s">
        <v>437</v>
      </c>
      <c r="C178" s="131" t="s">
        <v>438</v>
      </c>
      <c r="D178" s="132" t="s">
        <v>4</v>
      </c>
      <c r="E178" s="130"/>
      <c r="F178" s="130" t="s">
        <v>4</v>
      </c>
      <c r="G178" s="130" t="s">
        <v>434</v>
      </c>
      <c r="H178" s="130" t="n">
        <v>1</v>
      </c>
      <c r="I178" s="133"/>
      <c r="J178" s="134" t="n">
        <f aca="false">$J$120*H178</f>
        <v>1</v>
      </c>
    </row>
    <row r="179" s="96" customFormat="true" ht="18" hidden="false" customHeight="true" outlineLevel="0" collapsed="false">
      <c r="A179" s="170" t="n">
        <f aca="false">IF(B179="","",+A178+1)</f>
        <v>8</v>
      </c>
      <c r="B179" s="131" t="s">
        <v>554</v>
      </c>
      <c r="C179" s="131" t="s">
        <v>555</v>
      </c>
      <c r="D179" s="132" t="s">
        <v>11</v>
      </c>
      <c r="E179" s="130"/>
      <c r="F179" s="130" t="s">
        <v>11</v>
      </c>
      <c r="G179" s="130" t="s">
        <v>434</v>
      </c>
      <c r="H179" s="130" t="n">
        <v>2</v>
      </c>
      <c r="I179" s="133"/>
      <c r="J179" s="134" t="n">
        <f aca="false">$J$120*H179</f>
        <v>2</v>
      </c>
    </row>
    <row r="180" s="96" customFormat="true" ht="18" hidden="false" customHeight="true" outlineLevel="0" collapsed="false">
      <c r="A180" s="170" t="n">
        <f aca="false">IF(B180="","",+A179+1)</f>
        <v>9</v>
      </c>
      <c r="B180" s="131" t="s">
        <v>556</v>
      </c>
      <c r="C180" s="131" t="s">
        <v>557</v>
      </c>
      <c r="D180" s="132" t="s">
        <v>5</v>
      </c>
      <c r="E180" s="130"/>
      <c r="F180" s="130" t="s">
        <v>5</v>
      </c>
      <c r="G180" s="130" t="s">
        <v>434</v>
      </c>
      <c r="H180" s="130" t="n">
        <v>1</v>
      </c>
      <c r="I180" s="133"/>
      <c r="J180" s="134" t="n">
        <f aca="false">$J$120*H180</f>
        <v>1</v>
      </c>
    </row>
    <row r="181" s="96" customFormat="true" ht="18" hidden="false" customHeight="true" outlineLevel="0" collapsed="false">
      <c r="A181" s="170" t="n">
        <f aca="false">IF(B181="","",+A180+1)</f>
        <v>10</v>
      </c>
      <c r="B181" s="131" t="s">
        <v>439</v>
      </c>
      <c r="C181" s="131" t="s">
        <v>440</v>
      </c>
      <c r="D181" s="132" t="s">
        <v>12</v>
      </c>
      <c r="E181" s="130"/>
      <c r="F181" s="130" t="s">
        <v>12</v>
      </c>
      <c r="G181" s="130" t="s">
        <v>434</v>
      </c>
      <c r="H181" s="130" t="n">
        <v>2</v>
      </c>
      <c r="I181" s="133"/>
      <c r="J181" s="134" t="n">
        <f aca="false">$J$120*H181</f>
        <v>2</v>
      </c>
      <c r="Q181" s="172"/>
      <c r="R181" s="172"/>
      <c r="S181" s="172"/>
      <c r="T181" s="97"/>
      <c r="U181" s="97"/>
      <c r="V181" s="97"/>
    </row>
    <row r="182" s="96" customFormat="true" ht="18" hidden="false" customHeight="true" outlineLevel="0" collapsed="false">
      <c r="A182" s="170" t="n">
        <f aca="false">IF(B182="","",+A181+1)</f>
        <v>11</v>
      </c>
      <c r="B182" s="131" t="s">
        <v>540</v>
      </c>
      <c r="C182" s="131" t="s">
        <v>541</v>
      </c>
      <c r="D182" s="132" t="s">
        <v>542</v>
      </c>
      <c r="E182" s="130"/>
      <c r="F182" s="130" t="s">
        <v>542</v>
      </c>
      <c r="G182" s="130" t="s">
        <v>434</v>
      </c>
      <c r="H182" s="130" t="n">
        <v>1</v>
      </c>
      <c r="I182" s="142"/>
      <c r="J182" s="134" t="n">
        <f aca="false">$J$120*H182</f>
        <v>1</v>
      </c>
      <c r="N182" s="107" t="s">
        <v>289</v>
      </c>
      <c r="O182" s="165" t="s">
        <v>320</v>
      </c>
      <c r="P182" s="165" t="s">
        <v>168</v>
      </c>
      <c r="Q182" s="165" t="s">
        <v>397</v>
      </c>
      <c r="R182" s="165" t="s">
        <v>321</v>
      </c>
      <c r="S182" s="165" t="s">
        <v>398</v>
      </c>
      <c r="T182" s="165" t="s">
        <v>399</v>
      </c>
      <c r="U182" s="165" t="s">
        <v>400</v>
      </c>
      <c r="V182" s="165" t="s">
        <v>401</v>
      </c>
      <c r="W182" s="165" t="s">
        <v>402</v>
      </c>
    </row>
    <row r="183" s="96" customFormat="true" ht="18" hidden="false" customHeight="true" outlineLevel="0" collapsed="false">
      <c r="A183" s="170" t="n">
        <f aca="false">IF(B183="","",+A182+1)</f>
        <v>12</v>
      </c>
      <c r="B183" s="131" t="s">
        <v>441</v>
      </c>
      <c r="C183" s="131" t="s">
        <v>442</v>
      </c>
      <c r="D183" s="132" t="s">
        <v>274</v>
      </c>
      <c r="E183" s="130"/>
      <c r="F183" s="130" t="s">
        <v>274</v>
      </c>
      <c r="G183" s="130" t="s">
        <v>405</v>
      </c>
      <c r="H183" s="130" t="n">
        <v>4</v>
      </c>
      <c r="I183" s="142"/>
      <c r="J183" s="134" t="n">
        <f aca="false">$J$120*H183</f>
        <v>4</v>
      </c>
      <c r="N183" s="107" t="s">
        <v>445</v>
      </c>
      <c r="O183" s="62" t="s">
        <v>446</v>
      </c>
      <c r="P183" s="62" t="s">
        <v>447</v>
      </c>
      <c r="Q183" s="55" t="s">
        <v>230</v>
      </c>
      <c r="R183" s="158"/>
      <c r="S183" s="158" t="s">
        <v>230</v>
      </c>
      <c r="T183" s="158" t="s">
        <v>409</v>
      </c>
      <c r="U183" s="168" t="n">
        <f aca="false">((($I$134*$G$134)+($I$136*$G$136)+($I$139*$G$139))/1000)*$J$120</f>
        <v>11.458</v>
      </c>
      <c r="V183" s="168" t="n">
        <v>300</v>
      </c>
      <c r="W183" s="169" t="n">
        <f aca="false">ROUNDUP((U183)/V183,0)</f>
        <v>1</v>
      </c>
    </row>
    <row r="184" s="96" customFormat="true" ht="18" hidden="false" customHeight="true" outlineLevel="0" collapsed="false">
      <c r="A184" s="170" t="n">
        <f aca="false">IF(B184="","",+A183+1)</f>
        <v>13</v>
      </c>
      <c r="B184" s="131" t="s">
        <v>443</v>
      </c>
      <c r="C184" s="131" t="s">
        <v>444</v>
      </c>
      <c r="D184" s="132" t="s">
        <v>272</v>
      </c>
      <c r="E184" s="130"/>
      <c r="F184" s="130" t="s">
        <v>272</v>
      </c>
      <c r="G184" s="130" t="s">
        <v>405</v>
      </c>
      <c r="H184" s="130" t="n">
        <v>1</v>
      </c>
      <c r="I184" s="142"/>
      <c r="J184" s="134" t="n">
        <f aca="false">$J$120*H184</f>
        <v>1</v>
      </c>
      <c r="N184" s="107" t="s">
        <v>448</v>
      </c>
      <c r="O184" s="62" t="s">
        <v>449</v>
      </c>
      <c r="P184" s="62" t="s">
        <v>450</v>
      </c>
      <c r="Q184" s="55" t="s">
        <v>451</v>
      </c>
      <c r="R184" s="158"/>
      <c r="S184" s="158" t="s">
        <v>451</v>
      </c>
      <c r="T184" s="158" t="s">
        <v>409</v>
      </c>
      <c r="U184" s="168" t="n">
        <f aca="false">((($I$134*$G$134)+($I$136*$G$136)+($I$139*$G$139))/1000)*$J$120</f>
        <v>11.458</v>
      </c>
      <c r="V184" s="168" t="n">
        <v>100</v>
      </c>
      <c r="W184" s="169" t="n">
        <f aca="false">ROUNDUP((U184)/V184,0)</f>
        <v>1</v>
      </c>
    </row>
    <row r="185" s="96" customFormat="true" ht="18" hidden="false" customHeight="true" outlineLevel="0" collapsed="false">
      <c r="A185" s="170" t="n">
        <f aca="false">IF(B185="","",+A184+1)</f>
        <v>14</v>
      </c>
      <c r="B185" s="131" t="s">
        <v>403</v>
      </c>
      <c r="C185" s="131" t="s">
        <v>404</v>
      </c>
      <c r="D185" s="132" t="s">
        <v>276</v>
      </c>
      <c r="E185" s="130"/>
      <c r="F185" s="130" t="s">
        <v>276</v>
      </c>
      <c r="G185" s="130" t="s">
        <v>405</v>
      </c>
      <c r="H185" s="130" t="n">
        <v>2</v>
      </c>
      <c r="I185" s="142"/>
      <c r="J185" s="134" t="n">
        <f aca="false">$J$120*H185</f>
        <v>2</v>
      </c>
      <c r="N185" s="107" t="s">
        <v>445</v>
      </c>
      <c r="O185" s="62" t="s">
        <v>452</v>
      </c>
      <c r="P185" s="62" t="s">
        <v>453</v>
      </c>
      <c r="Q185" s="55" t="s">
        <v>232</v>
      </c>
      <c r="R185" s="158"/>
      <c r="S185" s="158" t="s">
        <v>232</v>
      </c>
      <c r="T185" s="158" t="s">
        <v>409</v>
      </c>
      <c r="U185" s="168" t="n">
        <f aca="false">((($I$141*$G$141*2)+($I$143*$G$143*2)+($I$144*$G$144))/1000)*$J$120</f>
        <v>65.56</v>
      </c>
      <c r="V185" s="168" t="n">
        <v>350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15</v>
      </c>
      <c r="B186" s="132" t="str">
        <f aca="false">IF($D$129="Standard",$O$183,IF($D$129="Soumdproof",$O$184,))</f>
        <v>ยางเฟรมกันน้ำ (ธรรมดา)</v>
      </c>
      <c r="C186" s="132" t="str">
        <f aca="false">IF($D$129="Standard",$P$183,IF($D$129="Soumdproof",$P$184,))</f>
        <v>FRAME SEAL (Standard)</v>
      </c>
      <c r="D186" s="132" t="str">
        <f aca="false">IF($D$129="Standard",$Q$183,IF($D$129="Soumdproof",$Q$184,))</f>
        <v>02-026</v>
      </c>
      <c r="E186" s="130" t="n">
        <f aca="false">IF($D$129="Standard",R184,IF($D$129="Soumdproof",R185,))</f>
        <v>0</v>
      </c>
      <c r="F186" s="130" t="str">
        <f aca="false">IF($D$129="Standard",$S$183,IF($D$129="Soumdproof",$S$184,))</f>
        <v>02-026</v>
      </c>
      <c r="G186" s="130" t="str">
        <f aca="false">IF($D$129="Standard",$T$183,IF($D$129="Soumdproof",$T$184,))</f>
        <v>M</v>
      </c>
      <c r="H186" s="173" t="n">
        <f aca="false">IF($D$129="Standard",$U$183,IF($D$129="Soumdproof",$U$184,))</f>
        <v>11.458</v>
      </c>
      <c r="I186" s="174" t="n">
        <f aca="false">IF($D$129="Standard",$V$183,IF($D$129="Soumdproof",$V$184,))</f>
        <v>300</v>
      </c>
      <c r="J186" s="175" t="n">
        <f aca="false">ROUNDUP((H186)/100,0)</f>
        <v>1</v>
      </c>
      <c r="N186" s="107" t="s">
        <v>448</v>
      </c>
      <c r="O186" s="62" t="s">
        <v>454</v>
      </c>
      <c r="P186" s="62" t="s">
        <v>455</v>
      </c>
      <c r="Q186" s="55" t="s">
        <v>456</v>
      </c>
      <c r="R186" s="158"/>
      <c r="S186" s="158" t="s">
        <v>456</v>
      </c>
      <c r="T186" s="158" t="s">
        <v>409</v>
      </c>
      <c r="U186" s="168" t="n">
        <f aca="false">((($I$141*$G$141*2)+($I$143*$G$143*2)+($I$144*$G$144))/1000)*$J$120</f>
        <v>65.56</v>
      </c>
      <c r="V186" s="168" t="n">
        <v>100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16</v>
      </c>
      <c r="B187" s="132" t="str">
        <f aca="false">IF($D$129="Standard",$O$185,IF($D$129="Soumdproof",$O$186,))</f>
        <v>ยางแซชกันน้ำ (ธรรมดา)</v>
      </c>
      <c r="C187" s="132" t="str">
        <f aca="false">IF($D$129="Standard",$P$185,IF($D$129="Soumdproof",$P$186,))</f>
        <v>SASH SEAL FOAM (Standard)</v>
      </c>
      <c r="D187" s="132" t="str">
        <f aca="false">IF($D$129="Standard",$Q$185,IF($D$129="Soumdproof",$Q$186,))</f>
        <v>02-031</v>
      </c>
      <c r="E187" s="130" t="n">
        <f aca="false">IF($D$129="Standard",R186,IF($D$129="Soumdproof",R187,))</f>
        <v>0</v>
      </c>
      <c r="F187" s="130" t="str">
        <f aca="false">IF($D$129="Standard",$S$185,IF($D$129="Soumdproof",$S$186,))</f>
        <v>02-031</v>
      </c>
      <c r="G187" s="130" t="str">
        <f aca="false">IF($D$129="Standard",$T$185,IF($D$129="Soumdproof",$T$186,))</f>
        <v>M</v>
      </c>
      <c r="H187" s="173" t="n">
        <f aca="false">IF($D$129="Standard",$U$185,IF($D$129="Soumdproof",$U$186,))</f>
        <v>65.56</v>
      </c>
      <c r="I187" s="174" t="n">
        <f aca="false">IF($D$129="Standard",$V$185,IF($D$129="Soumdproof",$V$186,))</f>
        <v>350</v>
      </c>
      <c r="J187" s="175" t="n">
        <f aca="false">ROUNDUP((H187)/100,0)</f>
        <v>1</v>
      </c>
    </row>
    <row r="188" s="96" customFormat="true" ht="18" hidden="false" customHeight="true" outlineLevel="0" collapsed="false">
      <c r="A188" s="170" t="n">
        <f aca="false">IF(B188="","",+A187+1)</f>
        <v>17</v>
      </c>
      <c r="B188" s="176" t="str">
        <f aca="false">IF($D$127=5,$O$174,IF($D$127=6,$O$175,IF($D$127=8,$O$176,IF($D$127=10,$O$174,IF($D$127=12,$O$174,IF($D$127=14,$O$176,IF($D$127=18,$O$174,IF($D$127=20,$O$175,IF($D$127=22,"")))))))))</f>
        <v>6,20 mm ยางอัดกระจก</v>
      </c>
      <c r="C188" s="176" t="str">
        <f aca="false">IF($D$127=5,$P$174,IF($D$127=6,$P$175,IF($D$127=8,$P$176,IF($D$127=10,$P$174,IF($D$127=12,$P$174,IF($D$127=14,$P$176,IF($D$127=18,$P$174,IF($D$127=20,$P$175,IF($D$127=22,"")))))))))</f>
        <v>6,20 mm ROLL IN WEDGE</v>
      </c>
      <c r="D188" s="176" t="str">
        <f aca="false">IF($D$127=5,$Q$174,IF($D$127=6,$Q$175,IF($D$127=8,$Q$176,IF($D$127=10,$Q$174,IF($D$127=12,$Q$174,IF($D$127=14,$Q$176,IF($D$127=18,$Q$174,IF($D$127=20,$Q$175,IF($D$127=22,"")))))))))</f>
        <v>02-034</v>
      </c>
      <c r="E188" s="176" t="n">
        <f aca="false">IF($D$127=5,R175,IF($D$127=6,R176,IF($D$127=8,R177,IF($D$127=10,R175,IF($D$127=12,R175,IF($D$127=14,R177,IF($D$127=18,R175,IF($D$127=20,R176,IF($D$127=22,"",)))))))))</f>
        <v>0</v>
      </c>
      <c r="F188" s="167" t="str">
        <f aca="false">IF($D$127=5,$S$174,IF($D$127=6,$S$175,IF($D$127=8,$S$176,IF($D$127=10,$S$174,IF($D$127=12,$S$174,IF($D$127=14,$S$176,IF($D$127=18,$S$174,IF($D$127=20,$S$175,IF($D$127=22,"")))))))))</f>
        <v>02-034</v>
      </c>
      <c r="G188" s="167" t="str">
        <f aca="false">IF($D$127=5,$T$174,IF($D$127=6,$T$175,IF($D$127=8,$T$176,IF($D$127=10,$T$174,IF($D$127=12,$T$174,IF($D$127=14,$T$176,IF($D$127=18,$T$174,IF($D$127=20,$T$175,IF($D$127=22,"")))))))))</f>
        <v>M</v>
      </c>
      <c r="H188" s="173" t="n">
        <f aca="false">IF($D$127=5,$U$174,IF($D$127=6,$U$175,IF($D$127=8,$U$176,IF($D$127=10,$U$174*2,IF($D$127=12,$U$174,IF($D$127=14,$U$176*2,IF($D$127=18,$U$174,IF($D$127=20,$U$175,IF($D$127=22,"")))))))))</f>
        <v>43.912</v>
      </c>
      <c r="I188" s="174" t="n">
        <f aca="false">IF($D$127=5,$V$174,IF($D$127=6,$V$175,IF($D$127=8,$V$176,IF($D$127=10,$V$174,IF($D$127=12,$V$174,IF($D$127=14,$V$176,IF($D$127=18,$V$174,IF($D$127=20,$V$175,IF($D$127=22,"")))))))))</f>
        <v>100</v>
      </c>
      <c r="J188" s="175" t="n">
        <f aca="false">ROUNDUP((H188)/100,0)</f>
        <v>1</v>
      </c>
    </row>
    <row r="189" s="96" customFormat="true" ht="18" hidden="false" customHeight="true" outlineLevel="0" collapsed="false">
      <c r="A189" s="170" t="n">
        <f aca="false">IF(B189="","",+A188+1)</f>
        <v>18</v>
      </c>
      <c r="B189" s="176" t="str">
        <f aca="false">IF($D$127=5,$O$172,IF($D$127=6,$O$172,IF($D$127=8,$O$174,IF($D$127=10,"",IF($D$127=12,$O$173,IF($D$127=14,"",IF($D$127=18,$O$172,IF($D$127=20,$O$173,IF($D$127=22,"",)))))))))</f>
        <v>5,6,18 mm ยางรองกระจก</v>
      </c>
      <c r="C189" s="176" t="str">
        <f aca="false">IF($D$127=5,$P$172,IF($D$127=6,$P$172,IF($D$127=8,$P$174,IF($D$127=10,"",IF($D$127=12,$P$173,IF($D$127=14,"",IF($D$127=18,$P$172,IF($D$127=20,$P$173,IF($D$127=22,"",)))))))))</f>
        <v>5,6,18 mm CAPTIVE WEDGE</v>
      </c>
      <c r="D189" s="176" t="str">
        <f aca="false">IF($D$127=5,$Q$172,IF($D$127=6,$Q$172,IF($D$127=8,$Q$174,IF($D$127=10,"",IF($D$127=12,$Q$173,IF($D$127=14,"",IF($D$127=18,$Q$172,IF($D$127=20,$Q$173,IF($D$127=22,"",)))))))))</f>
        <v>02-022</v>
      </c>
      <c r="E189" s="176" t="n">
        <f aca="false">IF($D$127=5,R173,IF($D$127=6,R173,IF($D$127=8,R175,IF($D$127=10,"",IF($D$127=12,R174,IF($D$127=14,"",IF($D$127=18,R173,IF($D$127=20,R174,IF($D$127=22,"",)))))))))</f>
        <v>0</v>
      </c>
      <c r="F189" s="167" t="str">
        <f aca="false">IF($D$127=5,$S$172,IF($D$127=6,$S$172,IF($D$127=8,$S$174,IF($D$127=10,"",IF($D$127=12,$S$173,IF($D$127=14,"",IF($D$127=18,$S$172,IF($D$127=20,$S$173,IF($D$127=22,"",)))))))))</f>
        <v>02-022</v>
      </c>
      <c r="G189" s="167" t="str">
        <f aca="false">IF($D$127=5,$T$172,IF($D$127=6,$T$172,IF($D$127=8,$T$174,IF($D$127=10,"",IF($D$127=12,$T$173,IF($D$127=14,"",IF($D$127=18,$T$172,IF($D$127=20,$T$173,IF($D$127=22,"",)))))))))</f>
        <v>M</v>
      </c>
      <c r="H189" s="173" t="n">
        <f aca="false">IF($D$127=5,$U$172,IF($D$127=6,$U$172,IF($D$127=8,$U$174,IF($D$127=10,"",IF($D$127=12,$U$173,IF($D$127=14,"",IF($D$127=18,$U$172,IF($D$127=20,$U$173,IF($D$127=22,"")))))))))</f>
        <v>43.912</v>
      </c>
      <c r="I189" s="174" t="n">
        <f aca="false">IF($D$127=5,$V$172,IF($D$127=6,$V$172,IF($D$127=8,$V$174,IF($D$127=10,"",IF($D$127=12,$V$173,IF($D$127=14,"",IF($D$127=18,$V$172,IF($D$127=20,$V$173,IF($D$127=22,"",)))))))))</f>
        <v>100</v>
      </c>
      <c r="J189" s="175" t="n">
        <f aca="false">ROUNDUP((H189)/100,0)</f>
        <v>1</v>
      </c>
    </row>
    <row r="190" s="96" customFormat="true" ht="18" hidden="false" customHeight="true" outlineLevel="0" collapsed="false">
      <c r="A190" s="170" t="str">
        <f aca="false">IF(B190="","",+A189+1)</f>
        <v/>
      </c>
      <c r="B190" s="131"/>
      <c r="C190" s="131"/>
      <c r="D190" s="132"/>
      <c r="E190" s="130"/>
      <c r="F190" s="130"/>
      <c r="G190" s="130"/>
      <c r="H190" s="130"/>
      <c r="I190" s="133"/>
      <c r="J190" s="134" t="n">
        <f aca="false">$J$120*H190</f>
        <v>0</v>
      </c>
    </row>
    <row r="191" s="96" customFormat="true" ht="18" hidden="false" customHeight="true" outlineLevel="0" collapsed="false">
      <c r="A191" s="170" t="str">
        <f aca="false">IF(B191="","",+A190+1)</f>
        <v/>
      </c>
      <c r="B191" s="131"/>
      <c r="C191" s="131"/>
      <c r="D191" s="132"/>
      <c r="E191" s="130"/>
      <c r="F191" s="130"/>
      <c r="G191" s="130"/>
      <c r="H191" s="130"/>
      <c r="I191" s="133"/>
      <c r="J191" s="134" t="n">
        <f aca="false">$J$120*H191</f>
        <v>0</v>
      </c>
    </row>
    <row r="192" customFormat="false" ht="18" hidden="false" customHeight="true" outlineLevel="0" collapsed="false">
      <c r="A192" s="170" t="str">
        <f aca="false">IF(B192="","",+A191+1)</f>
        <v/>
      </c>
      <c r="B192" s="131"/>
      <c r="C192" s="131"/>
      <c r="D192" s="132"/>
      <c r="E192" s="130"/>
      <c r="F192" s="130"/>
      <c r="G192" s="130"/>
      <c r="H192" s="130"/>
      <c r="I192" s="133"/>
      <c r="J192" s="134" t="n">
        <f aca="false">$J$120*H192</f>
        <v>0</v>
      </c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</row>
    <row r="193" s="96" customFormat="true" ht="18" hidden="false" customHeight="true" outlineLevel="0" collapsed="false">
      <c r="A193" s="170" t="str">
        <f aca="false">IF(B193="","",+A192+1)</f>
        <v/>
      </c>
      <c r="B193" s="131"/>
      <c r="C193" s="131"/>
      <c r="D193" s="132"/>
      <c r="E193" s="130"/>
      <c r="F193" s="130"/>
      <c r="G193" s="130"/>
      <c r="H193" s="130"/>
      <c r="I193" s="133"/>
      <c r="J193" s="134" t="n">
        <f aca="false">$J$120*H193</f>
        <v>0</v>
      </c>
    </row>
    <row r="194" s="96" customFormat="true" ht="18" hidden="false" customHeight="true" outlineLevel="0" collapsed="false">
      <c r="A194" s="170" t="str">
        <f aca="false">IF(B194="","",+A193+1)</f>
        <v/>
      </c>
      <c r="B194" s="131"/>
      <c r="C194" s="131"/>
      <c r="D194" s="132"/>
      <c r="E194" s="130"/>
      <c r="F194" s="130"/>
      <c r="G194" s="130"/>
      <c r="H194" s="130"/>
      <c r="I194" s="133"/>
      <c r="J194" s="134" t="n">
        <f aca="false">$J$120*H194</f>
        <v>0</v>
      </c>
    </row>
    <row r="195" s="96" customFormat="true" ht="18" hidden="false" customHeight="true" outlineLevel="0" collapsed="false">
      <c r="A195" s="170" t="str">
        <f aca="false">IF(B195="","",+A194+1)</f>
        <v/>
      </c>
      <c r="B195" s="131"/>
      <c r="C195" s="131"/>
      <c r="D195" s="132"/>
      <c r="E195" s="130"/>
      <c r="F195" s="130"/>
      <c r="G195" s="130"/>
      <c r="H195" s="130"/>
      <c r="I195" s="133"/>
      <c r="J195" s="134" t="n">
        <f aca="false">$J$120*H195</f>
        <v>0</v>
      </c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30"/>
      <c r="I196" s="133"/>
      <c r="J196" s="134" t="n">
        <f aca="false">$J$120*H196</f>
        <v>0</v>
      </c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$J$120*H197</f>
        <v>0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$J$120*H198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/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9" t="str">
        <f aca="false">IF(B204="","",+A203+1)</f>
        <v/>
      </c>
      <c r="B204" s="135"/>
      <c r="C204" s="135"/>
      <c r="D204" s="139"/>
      <c r="E204" s="136"/>
      <c r="F204" s="136"/>
      <c r="G204" s="136"/>
      <c r="H204" s="136"/>
      <c r="I204" s="140"/>
      <c r="J204" s="137" t="n">
        <f aca="false">$J$120*H204</f>
        <v>0</v>
      </c>
    </row>
    <row r="205" s="96" customFormat="true" ht="18" hidden="false" customHeight="true" outlineLevel="0" collapsed="false">
      <c r="A205" s="200"/>
      <c r="B205" s="98"/>
      <c r="D205" s="98"/>
      <c r="E205" s="97"/>
      <c r="F205" s="98"/>
      <c r="G205" s="98"/>
      <c r="H205" s="98"/>
      <c r="I205" s="196"/>
      <c r="J205" s="196"/>
    </row>
    <row r="206" customFormat="false" ht="18" hidden="false" customHeight="true" outlineLevel="0" collapsed="false">
      <c r="A206" s="97"/>
      <c r="J206" s="92" t="str">
        <f aca="false">LEFT($J$111,11)&amp;"-02"</f>
        <v>FG-240-5P5L-02</v>
      </c>
    </row>
    <row r="207" customFormat="false" ht="12.75" hidden="false" customHeight="true" outlineLevel="0" collapsed="false">
      <c r="B207" s="96"/>
      <c r="C207" s="96"/>
      <c r="D207" s="98"/>
      <c r="E207" s="97"/>
      <c r="F207" s="97"/>
      <c r="G207" s="97"/>
      <c r="H207" s="97"/>
      <c r="K207" s="78"/>
      <c r="L207" s="78"/>
      <c r="M207" s="79"/>
      <c r="N207" s="79"/>
    </row>
    <row r="208" customFormat="false" ht="30" hidden="false" customHeight="true" outlineLevel="0" collapsed="false">
      <c r="I208" s="76"/>
      <c r="J208" s="77" t="str">
        <f aca="false">$J$2</f>
        <v>HOMELIFE</v>
      </c>
      <c r="K208" s="83"/>
      <c r="L208" s="83"/>
      <c r="M208" s="79"/>
      <c r="N208" s="79"/>
    </row>
    <row r="209" customFormat="false" ht="24.75" hidden="false" customHeight="true" outlineLevel="0" collapsed="false">
      <c r="C209" s="75"/>
      <c r="D209" s="76"/>
      <c r="E209" s="76"/>
      <c r="F209" s="76"/>
      <c r="G209" s="76"/>
      <c r="H209" s="76"/>
      <c r="I209" s="82"/>
      <c r="J209" s="80" t="str">
        <f aca="false">$J$3</f>
        <v>Fabricators Guide</v>
      </c>
      <c r="K209" s="83"/>
      <c r="L209" s="83"/>
      <c r="M209" s="79"/>
      <c r="N209" s="79"/>
    </row>
    <row r="210" customFormat="false" ht="24.75" hidden="false" customHeight="true" outlineLevel="0" collapsed="false">
      <c r="C210" s="82"/>
      <c r="D210" s="82"/>
      <c r="E210" s="82"/>
      <c r="F210" s="82"/>
      <c r="G210" s="82"/>
      <c r="H210" s="82"/>
      <c r="I210" s="82"/>
      <c r="J210" s="80" t="str">
        <f aca="false">$J$4</f>
        <v>240 Series Bi Fold Door </v>
      </c>
      <c r="M210" s="87"/>
      <c r="N210" s="87"/>
    </row>
    <row r="211" s="96" customFormat="true" ht="15" hidden="false" customHeight="true" outlineLevel="0" collapsed="false">
      <c r="A211" s="84"/>
      <c r="B211" s="81"/>
      <c r="C211" s="82"/>
      <c r="D211" s="82"/>
      <c r="E211" s="82"/>
      <c r="F211" s="82"/>
      <c r="G211" s="82"/>
      <c r="H211" s="82"/>
      <c r="I211" s="84"/>
      <c r="J211" s="94"/>
      <c r="K211" s="87"/>
      <c r="L211" s="87"/>
      <c r="M211" s="87"/>
      <c r="N211" s="87"/>
    </row>
    <row r="212" s="96" customFormat="true" ht="24.75" hidden="false" customHeight="true" outlineLevel="0" collapsed="false">
      <c r="A212" s="88" t="s">
        <v>457</v>
      </c>
      <c r="B212" s="88"/>
      <c r="C212" s="88"/>
      <c r="D212" s="88"/>
      <c r="E212" s="88"/>
      <c r="F212" s="88"/>
      <c r="G212" s="88"/>
      <c r="H212" s="88"/>
      <c r="I212" s="88"/>
      <c r="J212" s="88"/>
    </row>
    <row r="214" s="96" customFormat="true" ht="15" hidden="false" customHeight="true" outlineLevel="0" collapsed="false">
      <c r="A214" s="182"/>
      <c r="D214" s="73"/>
      <c r="I214" s="183"/>
      <c r="J214" s="99"/>
    </row>
    <row r="215" s="96" customFormat="true" ht="15" hidden="false" customHeight="true" outlineLevel="0" collapsed="false">
      <c r="A215" s="97"/>
      <c r="B215" s="182"/>
      <c r="D215" s="98"/>
      <c r="E215" s="83"/>
      <c r="F215" s="183"/>
      <c r="G215" s="183"/>
      <c r="H215" s="183"/>
      <c r="J215" s="97"/>
    </row>
    <row r="216" s="96" customFormat="true" ht="15" hidden="false" customHeight="true" outlineLevel="0" collapsed="false">
      <c r="A216" s="97"/>
      <c r="C216" s="181"/>
      <c r="D216" s="98"/>
      <c r="E216" s="83"/>
      <c r="F216" s="98"/>
      <c r="J216" s="97"/>
    </row>
    <row r="217" s="96" customFormat="true" ht="15" hidden="false" customHeight="true" outlineLevel="0" collapsed="false">
      <c r="A217" s="97"/>
      <c r="C217" s="181"/>
      <c r="D217" s="98"/>
      <c r="E217" s="97"/>
      <c r="F217" s="98"/>
      <c r="H217" s="181"/>
      <c r="J217" s="97"/>
    </row>
    <row r="218" s="96" customFormat="true" ht="15" hidden="false" customHeight="true" outlineLevel="0" collapsed="false">
      <c r="A218" s="182"/>
      <c r="B218" s="182"/>
      <c r="D218" s="98"/>
      <c r="E218" s="83"/>
      <c r="F218" s="183"/>
      <c r="H218" s="181"/>
      <c r="I218" s="97"/>
      <c r="J218" s="97"/>
    </row>
    <row r="219" s="96" customFormat="true" ht="15" hidden="false" customHeight="true" outlineLevel="0" collapsed="false">
      <c r="A219" s="97"/>
      <c r="C219" s="184" t="s">
        <v>516</v>
      </c>
      <c r="D219" s="98"/>
      <c r="E219" s="83"/>
      <c r="F219" s="98"/>
      <c r="I219" s="97"/>
      <c r="J219" s="97"/>
    </row>
    <row r="220" s="96" customFormat="true" ht="15" hidden="false" customHeight="true" outlineLevel="0" collapsed="false">
      <c r="A220" s="97"/>
      <c r="C220" s="181" t="s">
        <v>459</v>
      </c>
      <c r="D220" s="98"/>
      <c r="E220" s="83"/>
      <c r="F220" s="98"/>
      <c r="H220" s="184"/>
      <c r="J220" s="97"/>
    </row>
    <row r="221" s="96" customFormat="true" ht="15" hidden="false" customHeight="true" outlineLevel="0" collapsed="false">
      <c r="A221" s="97"/>
      <c r="C221" s="181" t="s">
        <v>460</v>
      </c>
      <c r="D221" s="98"/>
      <c r="E221" s="97"/>
      <c r="F221" s="98"/>
      <c r="J221" s="97"/>
    </row>
    <row r="222" s="96" customFormat="true" ht="15" hidden="false" customHeight="true" outlineLevel="0" collapsed="false">
      <c r="A222" s="97"/>
      <c r="C222" s="185" t="n">
        <f aca="false">$I$133</f>
        <v>3940</v>
      </c>
      <c r="D222" s="98"/>
      <c r="E222" s="83"/>
      <c r="F222" s="98"/>
      <c r="G222" s="186"/>
      <c r="J222" s="97"/>
    </row>
    <row r="223" s="96" customFormat="true" ht="15" hidden="false" customHeight="true" outlineLevel="0" collapsed="false">
      <c r="A223" s="97"/>
      <c r="C223" s="187" t="n">
        <f aca="false">$J$133</f>
        <v>1</v>
      </c>
      <c r="D223" s="98"/>
      <c r="E223" s="83"/>
      <c r="F223" s="98"/>
      <c r="G223" s="110"/>
      <c r="I223" s="97"/>
      <c r="J223" s="97"/>
    </row>
    <row r="224" s="96" customFormat="true" ht="15" hidden="false" customHeight="true" outlineLevel="0" collapsed="false">
      <c r="A224" s="97"/>
      <c r="D224" s="98"/>
      <c r="E224" s="97"/>
      <c r="F224" s="98"/>
      <c r="G224" s="110"/>
      <c r="I224" s="97"/>
      <c r="J224" s="97"/>
    </row>
    <row r="225" s="96" customFormat="true" ht="15.75" hidden="false" customHeight="true" outlineLevel="0" collapsed="false">
      <c r="A225" s="99"/>
      <c r="B225" s="99"/>
      <c r="C225" s="83"/>
      <c r="D225" s="98"/>
      <c r="E225" s="97"/>
      <c r="F225" s="98"/>
      <c r="G225" s="186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H226" s="97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189"/>
      <c r="J227" s="190"/>
    </row>
    <row r="228" s="96" customFormat="true" ht="15.75" hidden="false" customHeight="true" outlineLevel="0" collapsed="false">
      <c r="A228" s="99"/>
      <c r="B228" s="99"/>
      <c r="C228" s="181"/>
      <c r="D228" s="98"/>
      <c r="E228" s="97"/>
      <c r="F228" s="98"/>
      <c r="H228" s="97"/>
      <c r="I228" s="181"/>
      <c r="J228" s="193"/>
    </row>
    <row r="229" s="96" customFormat="true" ht="15.75" hidden="false" customHeight="true" outlineLevel="0" collapsed="false">
      <c r="A229" s="188"/>
      <c r="B229" s="188"/>
      <c r="D229" s="98"/>
      <c r="E229" s="97"/>
      <c r="F229" s="98"/>
      <c r="I229" s="181"/>
      <c r="J229" s="193"/>
    </row>
    <row r="230" s="96" customFormat="true" ht="15.75" hidden="false" customHeight="true" outlineLevel="0" collapsed="false">
      <c r="A230" s="97"/>
      <c r="B230" s="97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81"/>
      <c r="D231" s="98"/>
      <c r="E231" s="97"/>
      <c r="F231" s="97"/>
      <c r="I231" s="181"/>
      <c r="J231" s="193"/>
    </row>
    <row r="232" s="96" customFormat="true" ht="15.75" hidden="false" customHeight="true" outlineLevel="0" collapsed="false">
      <c r="A232" s="191"/>
      <c r="B232" s="191"/>
      <c r="C232" s="184" t="s">
        <v>566</v>
      </c>
      <c r="D232" s="192"/>
      <c r="E232" s="191"/>
      <c r="F232" s="191"/>
      <c r="G232" s="97"/>
      <c r="H232" s="97"/>
      <c r="I232" s="181"/>
      <c r="J232" s="193"/>
    </row>
    <row r="233" s="96" customFormat="true" ht="15.75" hidden="false" customHeight="true" outlineLevel="0" collapsed="false">
      <c r="A233" s="190"/>
      <c r="B233" s="190"/>
      <c r="C233" s="181" t="s">
        <v>462</v>
      </c>
      <c r="D233" s="194"/>
      <c r="E233" s="190"/>
      <c r="F233" s="189"/>
      <c r="G233" s="97"/>
      <c r="H233" s="97"/>
      <c r="J233" s="97"/>
    </row>
    <row r="234" s="96" customFormat="true" ht="15.75" hidden="false" customHeight="true" outlineLevel="0" collapsed="false">
      <c r="A234" s="97"/>
      <c r="C234" s="181" t="s">
        <v>518</v>
      </c>
      <c r="D234" s="98"/>
      <c r="E234" s="97"/>
      <c r="F234" s="98"/>
      <c r="G234" s="97"/>
      <c r="H234" s="97"/>
      <c r="I234" s="97"/>
      <c r="J234" s="196"/>
    </row>
    <row r="235" s="96" customFormat="true" ht="15.75" hidden="false" customHeight="true" outlineLevel="0" collapsed="false">
      <c r="A235" s="97"/>
      <c r="C235" s="185" t="n">
        <f aca="false">$I$134</f>
        <v>3914</v>
      </c>
      <c r="D235" s="98"/>
      <c r="E235" s="97"/>
      <c r="F235" s="98"/>
      <c r="G235" s="97"/>
      <c r="H235" s="97"/>
      <c r="I235" s="196"/>
      <c r="J235" s="196"/>
    </row>
    <row r="236" s="96" customFormat="true" ht="15.75" hidden="false" customHeight="true" outlineLevel="0" collapsed="false">
      <c r="A236" s="97"/>
      <c r="C236" s="187" t="n">
        <f aca="false">$J$134</f>
        <v>1</v>
      </c>
      <c r="D236" s="98"/>
      <c r="E236" s="97"/>
      <c r="F236" s="98"/>
      <c r="G236" s="97"/>
      <c r="H236" s="195"/>
      <c r="I236" s="184"/>
      <c r="J236" s="198"/>
    </row>
    <row r="237" s="96" customFormat="true" ht="15.75" hidden="false" customHeight="true" outlineLevel="0" collapsed="false">
      <c r="A237" s="97"/>
      <c r="C237" s="191"/>
      <c r="D237" s="98"/>
      <c r="E237" s="97"/>
      <c r="F237" s="98"/>
      <c r="G237" s="97"/>
      <c r="H237" s="195"/>
      <c r="I237" s="181"/>
      <c r="J237" s="193"/>
    </row>
    <row r="238" s="96" customFormat="true" ht="15.75" hidden="false" customHeight="true" outlineLevel="0" collapsed="false">
      <c r="A238" s="97"/>
      <c r="D238" s="98"/>
      <c r="E238" s="97"/>
      <c r="F238" s="98"/>
      <c r="G238" s="97"/>
      <c r="H238" s="97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96"/>
      <c r="J239" s="196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1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97"/>
      <c r="I241" s="97"/>
      <c r="J241" s="196"/>
    </row>
    <row r="242" s="96" customFormat="true" ht="15.75" hidden="false" customHeight="true" outlineLevel="0" collapsed="false">
      <c r="A242" s="97"/>
      <c r="C242" s="184" t="s">
        <v>519</v>
      </c>
      <c r="D242" s="98"/>
      <c r="E242" s="97"/>
      <c r="F242" s="98"/>
      <c r="G242" s="97"/>
      <c r="H242" s="97"/>
      <c r="I242" s="196"/>
      <c r="J242" s="196"/>
    </row>
    <row r="243" s="96" customFormat="true" ht="15.75" hidden="false" customHeight="true" outlineLevel="0" collapsed="false">
      <c r="A243" s="97"/>
      <c r="C243" s="181" t="s">
        <v>459</v>
      </c>
      <c r="D243" s="98"/>
      <c r="E243" s="97"/>
      <c r="F243" s="98"/>
      <c r="G243" s="97"/>
      <c r="H243" s="97"/>
      <c r="I243" s="196"/>
      <c r="J243" s="196"/>
    </row>
    <row r="244" s="96" customFormat="true" ht="15" hidden="false" customHeight="true" outlineLevel="0" collapsed="false">
      <c r="A244" s="97"/>
      <c r="C244" s="181" t="s">
        <v>460</v>
      </c>
      <c r="D244" s="98"/>
      <c r="E244" s="97"/>
      <c r="F244" s="98"/>
      <c r="G244" s="97"/>
      <c r="H244" s="97"/>
      <c r="I244" s="196"/>
      <c r="J244" s="196"/>
    </row>
    <row r="245" s="96" customFormat="true" ht="15.75" hidden="false" customHeight="true" outlineLevel="0" collapsed="false">
      <c r="A245" s="97"/>
      <c r="C245" s="185" t="n">
        <f aca="false">$I$135</f>
        <v>3940</v>
      </c>
      <c r="D245" s="98"/>
      <c r="E245" s="97"/>
      <c r="F245" s="98"/>
      <c r="G245" s="97"/>
      <c r="H245" s="97"/>
      <c r="I245" s="191"/>
      <c r="J245" s="199"/>
    </row>
    <row r="246" s="96" customFormat="true" ht="15.75" hidden="false" customHeight="true" outlineLevel="0" collapsed="false">
      <c r="A246" s="97"/>
      <c r="C246" s="187" t="n">
        <f aca="false">$J$135</f>
        <v>1</v>
      </c>
      <c r="D246" s="98"/>
      <c r="E246" s="97"/>
      <c r="F246" s="98"/>
      <c r="G246" s="97"/>
      <c r="H246" s="97"/>
      <c r="I246" s="189"/>
      <c r="J246" s="190"/>
    </row>
    <row r="247" s="96" customFormat="true" ht="15.75" hidden="false" customHeight="true" outlineLevel="0" collapsed="false">
      <c r="A247" s="97"/>
      <c r="C247" s="98"/>
      <c r="D247" s="98"/>
      <c r="E247" s="97"/>
      <c r="F247" s="98"/>
      <c r="G247" s="97"/>
      <c r="H247" s="97"/>
      <c r="J247" s="97"/>
    </row>
    <row r="248" s="96" customFormat="true" ht="15.75" hidden="false" customHeight="true" outlineLevel="0" collapsed="false">
      <c r="A248" s="97"/>
      <c r="D248" s="98"/>
      <c r="E248" s="97"/>
      <c r="F248" s="97"/>
      <c r="G248" s="191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0"/>
      <c r="H250" s="97"/>
      <c r="I250" s="196"/>
      <c r="J250" s="196"/>
    </row>
    <row r="251" s="96" customFormat="true" ht="15.75" hidden="false" customHeight="true" outlineLevel="0" collapsed="false">
      <c r="A251" s="97"/>
      <c r="D251" s="98"/>
      <c r="E251" s="97"/>
      <c r="F251" s="97"/>
      <c r="G251" s="97"/>
      <c r="H251" s="97"/>
      <c r="I251" s="196"/>
      <c r="J251" s="196"/>
    </row>
    <row r="252" s="96" customFormat="true" ht="15.75" hidden="false" customHeight="true" outlineLevel="0" collapsed="false">
      <c r="A252" s="191"/>
      <c r="B252" s="191"/>
      <c r="D252" s="192"/>
      <c r="E252" s="191"/>
      <c r="F252" s="191"/>
      <c r="G252" s="97"/>
      <c r="H252" s="97"/>
      <c r="I252" s="196"/>
      <c r="J252" s="196"/>
    </row>
    <row r="253" s="96" customFormat="true" ht="15.75" hidden="false" customHeight="true" outlineLevel="0" collapsed="false">
      <c r="A253" s="190"/>
      <c r="B253" s="190"/>
      <c r="C253" s="184" t="s">
        <v>520</v>
      </c>
      <c r="D253" s="194"/>
      <c r="E253" s="190"/>
      <c r="F253" s="189"/>
      <c r="G253" s="97"/>
      <c r="I253" s="196"/>
      <c r="J253" s="196"/>
    </row>
    <row r="254" s="96" customFormat="true" ht="15.75" hidden="false" customHeight="true" outlineLevel="0" collapsed="false">
      <c r="A254" s="200"/>
      <c r="C254" s="181" t="s">
        <v>459</v>
      </c>
      <c r="D254" s="98"/>
      <c r="E254" s="97"/>
      <c r="F254" s="97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460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5" t="n">
        <f aca="false">$I$136</f>
        <v>3940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7" t="n">
        <f aca="false">$J$136</f>
        <v>1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C261" s="98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C263" s="184" t="s">
        <v>586</v>
      </c>
      <c r="D263" s="98"/>
      <c r="E263" s="97"/>
      <c r="F263" s="97"/>
      <c r="G263" s="97"/>
      <c r="H263" s="97"/>
      <c r="I263" s="196"/>
      <c r="J263" s="196"/>
    </row>
    <row r="264" s="96" customFormat="true" ht="15.75" hidden="false" customHeight="true" outlineLevel="0" collapsed="false">
      <c r="A264" s="200"/>
      <c r="C264" s="181" t="s">
        <v>522</v>
      </c>
      <c r="D264" s="181"/>
      <c r="E264" s="181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468</v>
      </c>
      <c r="D265" s="181"/>
      <c r="E265" s="181"/>
      <c r="F265" s="97"/>
      <c r="G265" s="97"/>
      <c r="H265" s="97"/>
      <c r="J265" s="97"/>
    </row>
    <row r="266" s="96" customFormat="true" ht="15.75" hidden="false" customHeight="true" outlineLevel="0" collapsed="false">
      <c r="A266" s="200"/>
      <c r="C266" s="185" t="n">
        <f aca="false">$I$137</f>
        <v>3700</v>
      </c>
      <c r="D266" s="98"/>
      <c r="E266" s="97"/>
      <c r="F266" s="97"/>
      <c r="J266" s="97"/>
    </row>
    <row r="267" s="96" customFormat="true" ht="15.75" hidden="false" customHeight="true" outlineLevel="0" collapsed="false">
      <c r="A267" s="200"/>
      <c r="C267" s="187" t="n">
        <f aca="false">$J$137+$J$138</f>
        <v>2</v>
      </c>
      <c r="D267" s="98"/>
      <c r="E267" s="97"/>
      <c r="F267" s="97"/>
      <c r="G267" s="97"/>
      <c r="H267" s="97"/>
      <c r="J267" s="97"/>
    </row>
    <row r="268" s="96" customFormat="true" ht="15.75" hidden="false" customHeight="true" outlineLevel="0" collapsed="false">
      <c r="A268" s="200"/>
      <c r="D268" s="184"/>
      <c r="E268" s="184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1"/>
      <c r="E270" s="181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I272" s="196"/>
      <c r="J272" s="196"/>
    </row>
    <row r="273" s="96" customFormat="true" ht="15.75" hidden="false" customHeight="true" outlineLevel="0" collapsed="false">
      <c r="A273" s="200"/>
      <c r="D273" s="98"/>
      <c r="E273" s="97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C274" s="184" t="s">
        <v>588</v>
      </c>
      <c r="D274" s="201"/>
      <c r="E274" s="196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1" t="s">
        <v>470</v>
      </c>
      <c r="D275" s="181"/>
      <c r="E275" s="181"/>
      <c r="F275" s="97"/>
      <c r="G275" s="97"/>
      <c r="I275" s="97"/>
      <c r="J275" s="196"/>
    </row>
    <row r="276" s="96" customFormat="true" ht="15.75" hidden="false" customHeight="true" outlineLevel="0" collapsed="false">
      <c r="A276" s="200"/>
      <c r="C276" s="181" t="s">
        <v>471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5" t="n">
        <f aca="false">$I$139</f>
        <v>3604</v>
      </c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7" t="n">
        <f aca="false">$J$139+$J$140</f>
        <v>2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F279" s="97"/>
      <c r="G279" s="97"/>
      <c r="H279" s="97"/>
      <c r="J279" s="97"/>
    </row>
    <row r="280" s="96" customFormat="true" ht="15.75" hidden="false" customHeight="true" outlineLevel="0" collapsed="false">
      <c r="A280" s="200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D281" s="98"/>
      <c r="E281" s="97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J282" s="97"/>
    </row>
    <row r="283" s="96" customFormat="true" ht="15.75" hidden="false" customHeight="true" outlineLevel="0" collapsed="false">
      <c r="A283" s="200"/>
      <c r="F283" s="97"/>
      <c r="G283" s="97"/>
      <c r="H283" s="97"/>
      <c r="I283" s="201"/>
      <c r="J283" s="196"/>
    </row>
    <row r="284" s="96" customFormat="true" ht="15.75" hidden="false" customHeight="true" outlineLevel="0" collapsed="false">
      <c r="A284" s="200"/>
      <c r="C284" s="184" t="s">
        <v>524</v>
      </c>
      <c r="F284" s="97"/>
      <c r="G284" s="97"/>
      <c r="H284" s="97"/>
      <c r="I284" s="97"/>
      <c r="J284" s="196"/>
    </row>
    <row r="285" s="96" customFormat="true" ht="15.75" hidden="false" customHeight="true" outlineLevel="0" collapsed="false">
      <c r="A285" s="200"/>
      <c r="C285" s="83" t="s">
        <v>666</v>
      </c>
      <c r="D285" s="98"/>
      <c r="E285" s="97"/>
      <c r="F285" s="97"/>
      <c r="G285" s="97"/>
      <c r="H285" s="97"/>
      <c r="I285" s="196"/>
      <c r="J285" s="196"/>
    </row>
    <row r="286" s="96" customFormat="true" ht="15.75" hidden="false" customHeight="true" outlineLevel="0" collapsed="false">
      <c r="A286" s="200"/>
      <c r="C286" s="181" t="s">
        <v>667</v>
      </c>
      <c r="D286" s="98"/>
      <c r="E286" s="97"/>
      <c r="F286" s="97"/>
      <c r="G286" s="97"/>
      <c r="H286" s="97"/>
      <c r="I286" s="196"/>
      <c r="J286" s="196"/>
    </row>
    <row r="287" s="96" customFormat="true" ht="15.75" hidden="false" customHeight="true" outlineLevel="0" collapsed="false">
      <c r="A287" s="200"/>
      <c r="C287" s="181" t="s">
        <v>475</v>
      </c>
      <c r="D287" s="181"/>
      <c r="E287" s="181"/>
      <c r="F287" s="97"/>
      <c r="G287" s="97"/>
      <c r="I287" s="196"/>
      <c r="J287" s="196"/>
    </row>
    <row r="288" s="202" customFormat="true" ht="15.75" hidden="false" customHeight="true" outlineLevel="0" collapsed="false">
      <c r="A288" s="200"/>
      <c r="B288" s="96"/>
      <c r="C288" s="181" t="s">
        <v>476</v>
      </c>
      <c r="D288" s="181"/>
      <c r="E288" s="181"/>
      <c r="F288" s="97"/>
      <c r="G288" s="97"/>
      <c r="H288" s="96"/>
      <c r="I288" s="97"/>
      <c r="J288" s="97"/>
    </row>
    <row r="289" s="96" customFormat="true" ht="15.75" hidden="false" customHeight="true" outlineLevel="0" collapsed="false">
      <c r="A289" s="200"/>
      <c r="C289" s="185" t="n">
        <f aca="false">$I$141</f>
        <v>783.2</v>
      </c>
      <c r="F289" s="97"/>
      <c r="G289" s="97"/>
      <c r="I289" s="191"/>
      <c r="J289" s="199"/>
    </row>
    <row r="290" s="96" customFormat="true" ht="15.75" hidden="false" customHeight="true" outlineLevel="0" collapsed="false">
      <c r="A290" s="200"/>
      <c r="C290" s="187" t="n">
        <f aca="false">$J$141+$J$142</f>
        <v>10</v>
      </c>
      <c r="D290" s="98"/>
      <c r="E290" s="97"/>
      <c r="F290" s="97"/>
      <c r="G290" s="97"/>
      <c r="H290" s="98"/>
      <c r="I290" s="189"/>
      <c r="J290" s="190"/>
    </row>
    <row r="291" s="96" customFormat="true" ht="15.75" hidden="false" customHeight="true" outlineLevel="0" collapsed="false">
      <c r="A291" s="200"/>
      <c r="C291" s="185" t="n">
        <f aca="false">$I$143</f>
        <v>3608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C292" s="187" t="n">
        <f aca="false">$J$143+$J$144+$J$145</f>
        <v>10</v>
      </c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D293" s="98"/>
      <c r="E293" s="97"/>
      <c r="F293" s="97"/>
      <c r="G293" s="97"/>
      <c r="H293" s="97"/>
      <c r="I293" s="196"/>
      <c r="J293" s="196"/>
    </row>
    <row r="294" s="96" customFormat="true" ht="15.75" hidden="false" customHeight="true" outlineLevel="0" collapsed="false">
      <c r="A294" s="200"/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202"/>
      <c r="D295" s="98"/>
      <c r="E295" s="97"/>
      <c r="F295" s="97"/>
      <c r="G295" s="97"/>
      <c r="H295" s="97"/>
      <c r="I295" s="97"/>
      <c r="J295" s="196"/>
    </row>
    <row r="296" s="96" customFormat="true" ht="15.75" hidden="false" customHeight="true" outlineLevel="0" collapsed="false">
      <c r="A296" s="200"/>
      <c r="C296" s="184" t="s">
        <v>525</v>
      </c>
      <c r="D296" s="98"/>
      <c r="E296" s="97"/>
      <c r="F296" s="97"/>
      <c r="G296" s="97"/>
      <c r="H296" s="97"/>
      <c r="I296" s="97"/>
      <c r="J296" s="196"/>
    </row>
    <row r="297" s="96" customFormat="true" ht="15.75" hidden="false" customHeight="true" outlineLevel="0" collapsed="false">
      <c r="A297" s="200"/>
      <c r="C297" s="83" t="s">
        <v>666</v>
      </c>
      <c r="D297" s="98"/>
      <c r="E297" s="97"/>
      <c r="F297" s="97"/>
      <c r="G297" s="191"/>
      <c r="H297" s="191"/>
      <c r="I297" s="97"/>
      <c r="J297" s="196"/>
    </row>
    <row r="298" s="96" customFormat="true" ht="15.75" hidden="false" customHeight="true" outlineLevel="0" collapsed="false">
      <c r="A298" s="200"/>
      <c r="C298" s="181" t="s">
        <v>667</v>
      </c>
      <c r="D298" s="181"/>
      <c r="E298" s="181"/>
      <c r="F298" s="97"/>
      <c r="G298" s="190"/>
      <c r="H298" s="189"/>
      <c r="I298" s="97"/>
      <c r="J298" s="196"/>
    </row>
    <row r="299" s="96" customFormat="true" ht="15.75" hidden="false" customHeight="true" outlineLevel="0" collapsed="false">
      <c r="A299" s="107"/>
      <c r="C299" s="181" t="s">
        <v>478</v>
      </c>
      <c r="D299" s="181"/>
      <c r="E299" s="181"/>
      <c r="F299" s="97"/>
      <c r="G299" s="97"/>
      <c r="H299" s="97"/>
      <c r="I299" s="97"/>
      <c r="J299" s="196"/>
    </row>
    <row r="300" s="96" customFormat="true" ht="15.75" hidden="false" customHeight="true" outlineLevel="0" collapsed="false">
      <c r="A300" s="191"/>
      <c r="B300" s="191"/>
      <c r="C300" s="181" t="s">
        <v>479</v>
      </c>
      <c r="D300" s="203"/>
      <c r="E300" s="204"/>
      <c r="F300" s="191"/>
      <c r="G300" s="97"/>
      <c r="H300" s="97"/>
      <c r="I300" s="97"/>
      <c r="J300" s="196"/>
    </row>
    <row r="301" s="96" customFormat="true" ht="15.75" hidden="false" customHeight="true" outlineLevel="0" collapsed="false">
      <c r="A301" s="190"/>
      <c r="B301" s="190"/>
      <c r="C301" s="185" t="n">
        <f aca="false">$I$146</f>
        <v>673</v>
      </c>
      <c r="D301" s="205"/>
      <c r="E301" s="206"/>
      <c r="F301" s="189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7" t="n">
        <f aca="false">$J$146</f>
        <v>10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5" t="n">
        <f aca="false">$I$147</f>
        <v>3458</v>
      </c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C304" s="187" t="n">
        <f aca="false">$J$147</f>
        <v>10</v>
      </c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D306" s="98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D307" s="98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184"/>
      <c r="D308" s="98"/>
      <c r="E308" s="97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1"/>
      <c r="D309" s="181"/>
      <c r="E309" s="181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D310" s="98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200"/>
      <c r="D313" s="201"/>
      <c r="E313" s="196"/>
      <c r="F313" s="97"/>
      <c r="G313" s="97"/>
      <c r="H313" s="97"/>
      <c r="I313" s="200"/>
      <c r="J313" s="92" t="str">
        <f aca="false">LEFT($J$111,11)&amp;"-03"</f>
        <v>FG-240-5P5L-03</v>
      </c>
    </row>
    <row r="314" customFormat="false" ht="12.75" hidden="false" customHeight="true" outlineLevel="0" collapsed="false">
      <c r="A314" s="97"/>
      <c r="B314" s="49"/>
      <c r="C314" s="49"/>
      <c r="D314" s="207"/>
      <c r="E314" s="200"/>
      <c r="F314" s="200"/>
      <c r="G314" s="200"/>
      <c r="H314" s="200"/>
      <c r="I314" s="208"/>
      <c r="J314" s="208"/>
    </row>
    <row r="315" customFormat="false" ht="30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77" t="str">
        <f aca="false">$J$2</f>
        <v>HOMELIFE</v>
      </c>
    </row>
    <row r="316" customFormat="false" ht="24.75" hidden="false" customHeight="true" outlineLevel="0" collapsed="false">
      <c r="C316" s="75"/>
      <c r="D316" s="76"/>
      <c r="E316" s="76"/>
      <c r="F316" s="76"/>
      <c r="G316" s="76"/>
      <c r="H316" s="76"/>
      <c r="I316" s="82"/>
      <c r="J316" s="80" t="str">
        <f aca="false">$J$3</f>
        <v>Fabricators Guide</v>
      </c>
      <c r="K316" s="83"/>
      <c r="L316" s="83"/>
      <c r="M316" s="79"/>
      <c r="N316" s="79"/>
    </row>
    <row r="317" customFormat="false" ht="24.75" hidden="false" customHeight="true" outlineLevel="0" collapsed="false">
      <c r="C317" s="82"/>
      <c r="D317" s="82"/>
      <c r="E317" s="82"/>
      <c r="F317" s="82"/>
      <c r="G317" s="82"/>
      <c r="H317" s="82"/>
      <c r="I317" s="82"/>
      <c r="J317" s="80" t="str">
        <f aca="false">$J$4</f>
        <v>240 Series Bi Fold Door </v>
      </c>
      <c r="M317" s="87"/>
      <c r="N317" s="87"/>
    </row>
    <row r="318" s="96" customFormat="true" ht="15" hidden="false" customHeight="true" outlineLevel="0" collapsed="false">
      <c r="A318" s="84"/>
      <c r="B318" s="81"/>
      <c r="C318" s="82"/>
      <c r="D318" s="82"/>
      <c r="E318" s="82"/>
      <c r="F318" s="82"/>
      <c r="G318" s="82"/>
      <c r="H318" s="82"/>
      <c r="I318" s="84"/>
      <c r="J318" s="94"/>
      <c r="K318" s="87"/>
      <c r="L318" s="87"/>
      <c r="M318" s="87"/>
      <c r="N318" s="87"/>
    </row>
    <row r="319" customFormat="false" ht="24.75" hidden="false" customHeight="true" outlineLevel="0" collapsed="false">
      <c r="A319" s="88" t="s">
        <v>480</v>
      </c>
      <c r="B319" s="88"/>
      <c r="C319" s="88"/>
      <c r="D319" s="88"/>
      <c r="E319" s="88"/>
      <c r="F319" s="88"/>
      <c r="G319" s="88"/>
      <c r="H319" s="88"/>
      <c r="I319" s="88"/>
      <c r="J319" s="88"/>
      <c r="K319" s="87"/>
      <c r="L319" s="87"/>
      <c r="M319" s="87"/>
      <c r="N319" s="87"/>
    </row>
    <row r="321" s="96" customFormat="true" ht="15" hidden="false" customHeight="true" outlineLevel="0" collapsed="false">
      <c r="A321" s="188"/>
      <c r="D321" s="73"/>
      <c r="I321" s="183"/>
      <c r="J321" s="99"/>
    </row>
    <row r="322" s="96" customFormat="true" ht="15" hidden="false" customHeight="true" outlineLevel="0" collapsed="false">
      <c r="A322" s="97"/>
      <c r="B322" s="81"/>
      <c r="D322" s="98"/>
      <c r="E322" s="83"/>
      <c r="F322" s="183"/>
      <c r="G322" s="183"/>
      <c r="H322" s="183"/>
      <c r="I322" s="83"/>
      <c r="J322" s="97"/>
    </row>
    <row r="323" s="96" customFormat="true" ht="15" hidden="false" customHeight="true" outlineLevel="0" collapsed="false">
      <c r="A323" s="97"/>
      <c r="D323" s="98"/>
      <c r="E323" s="83"/>
      <c r="F323" s="98"/>
      <c r="G323" s="83"/>
      <c r="H323" s="83"/>
      <c r="I323" s="97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C325" s="98"/>
      <c r="D325" s="98"/>
      <c r="E325" s="83"/>
      <c r="F325" s="98"/>
      <c r="G325" s="97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97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83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182"/>
      <c r="J328" s="97"/>
    </row>
    <row r="329" s="96" customFormat="true" ht="15" hidden="false" customHeight="true" outlineLevel="0" collapsed="false">
      <c r="A329" s="81"/>
      <c r="C329" s="182"/>
      <c r="D329" s="98"/>
      <c r="E329" s="97"/>
      <c r="F329" s="209"/>
      <c r="G329" s="209"/>
      <c r="H329" s="110"/>
      <c r="I329" s="98"/>
      <c r="J329" s="97"/>
    </row>
    <row r="330" s="96" customFormat="true" ht="15" hidden="false" customHeight="true" outlineLevel="0" collapsed="false">
      <c r="A330" s="99"/>
      <c r="B330" s="81"/>
      <c r="C330" s="98"/>
      <c r="D330" s="98"/>
      <c r="E330" s="97"/>
      <c r="F330" s="210"/>
      <c r="G330" s="210"/>
      <c r="H330" s="110"/>
      <c r="I330" s="98"/>
      <c r="J330" s="97"/>
    </row>
    <row r="331" s="96" customFormat="true" ht="15" hidden="false" customHeight="true" outlineLevel="0" collapsed="false">
      <c r="A331" s="211" t="str">
        <f aca="false">A18</f>
        <v>240-5 Panel (5L)</v>
      </c>
      <c r="B331" s="99"/>
      <c r="C331" s="98"/>
      <c r="D331" s="98"/>
      <c r="E331" s="97"/>
      <c r="F331" s="110"/>
      <c r="G331" s="110"/>
      <c r="H331" s="110"/>
      <c r="I331" s="97"/>
      <c r="J331" s="97"/>
    </row>
    <row r="332" s="96" customFormat="true" ht="15" hidden="false" customHeight="true" outlineLevel="0" collapsed="false">
      <c r="A332" s="90" t="str">
        <f aca="false">A19</f>
        <v>Outside Bi Fold Door 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.75" hidden="false" customHeight="true" outlineLevel="0" collapsed="false">
      <c r="A333" s="97"/>
      <c r="B333" s="188"/>
      <c r="C333" s="182"/>
      <c r="D333" s="98"/>
      <c r="E333" s="97"/>
      <c r="F333" s="210"/>
      <c r="G333" s="210"/>
      <c r="H333" s="110"/>
      <c r="I333" s="97"/>
      <c r="J333" s="97"/>
    </row>
    <row r="334" s="96" customFormat="true" ht="15.75" hidden="false" customHeight="true" outlineLevel="0" collapsed="false">
      <c r="A334" s="81"/>
      <c r="B334" s="97"/>
      <c r="C334" s="98"/>
      <c r="D334" s="98"/>
      <c r="E334" s="97"/>
      <c r="F334" s="78"/>
      <c r="H334" s="97"/>
      <c r="I334" s="97"/>
      <c r="J334" s="97"/>
    </row>
    <row r="335" s="96" customFormat="true" ht="15.75" hidden="false" customHeight="true" outlineLevel="0" collapsed="false">
      <c r="A335" s="191"/>
      <c r="C335" s="212"/>
      <c r="D335" s="98"/>
      <c r="E335" s="97"/>
      <c r="F335" s="97"/>
      <c r="G335" s="97"/>
      <c r="H335" s="97"/>
      <c r="I335" s="191"/>
      <c r="J335" s="199"/>
    </row>
    <row r="336" s="96" customFormat="true" ht="15.75" hidden="false" customHeight="true" outlineLevel="0" collapsed="false">
      <c r="A336" s="190"/>
      <c r="C336" s="191"/>
      <c r="D336" s="192"/>
      <c r="E336" s="191"/>
      <c r="F336" s="191"/>
      <c r="G336" s="191"/>
      <c r="H336" s="191"/>
      <c r="I336" s="189"/>
      <c r="J336" s="190"/>
    </row>
    <row r="337" s="96" customFormat="true" ht="15.75" hidden="false" customHeight="true" outlineLevel="0" collapsed="false">
      <c r="A337" s="97"/>
      <c r="C337" s="98"/>
      <c r="D337" s="194"/>
      <c r="E337" s="190"/>
      <c r="F337" s="189"/>
      <c r="G337" s="190"/>
      <c r="H337" s="189"/>
      <c r="I337" s="196"/>
      <c r="J337" s="196"/>
    </row>
    <row r="338" s="96" customFormat="true" ht="15.75" hidden="false" customHeight="true" outlineLevel="0" collapsed="false">
      <c r="A338" s="97"/>
      <c r="C338" s="98"/>
      <c r="D338" s="98"/>
      <c r="E338" s="97"/>
      <c r="F338" s="98"/>
      <c r="G338" s="97"/>
      <c r="H338" s="97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201"/>
      <c r="J339" s="201"/>
    </row>
    <row r="340" s="96" customFormat="true" ht="15.75" hidden="false" customHeight="true" outlineLevel="0" collapsed="false">
      <c r="A340" s="97"/>
      <c r="C340" s="191"/>
      <c r="D340" s="98"/>
      <c r="E340" s="97"/>
      <c r="F340" s="98"/>
      <c r="G340" s="97"/>
      <c r="H340" s="201"/>
      <c r="I340" s="98"/>
      <c r="J340" s="98"/>
    </row>
    <row r="341" s="96" customFormat="true" ht="15.75" hidden="false" customHeight="true" outlineLevel="0" collapsed="false">
      <c r="A341" s="97"/>
      <c r="C341" s="182"/>
      <c r="D341" s="98"/>
      <c r="E341" s="97"/>
      <c r="F341" s="98"/>
      <c r="G341" s="97"/>
      <c r="H341" s="98"/>
      <c r="I341" s="98"/>
      <c r="J341" s="98"/>
    </row>
    <row r="342" s="96" customFormat="true" ht="15.75" hidden="false" customHeight="true" outlineLevel="0" collapsed="false">
      <c r="A342" s="97"/>
      <c r="C342" s="98"/>
      <c r="D342" s="98"/>
      <c r="E342" s="97"/>
      <c r="F342" s="98"/>
      <c r="G342" s="97"/>
      <c r="H342" s="98"/>
      <c r="I342" s="97"/>
      <c r="J342" s="196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7"/>
      <c r="I343" s="196"/>
      <c r="J343" s="196"/>
    </row>
    <row r="344" s="96" customFormat="true" ht="15.75" hidden="false" customHeight="true" outlineLevel="0" collapsed="false">
      <c r="A344" s="97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C347" s="191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98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97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196"/>
      <c r="J350" s="196"/>
    </row>
    <row r="351" s="96" customFormat="true" ht="15.75" hidden="false" customHeight="true" outlineLevel="0" collapsed="false">
      <c r="A351" s="97"/>
      <c r="D351" s="98"/>
      <c r="E351" s="97"/>
      <c r="F351" s="97"/>
      <c r="G351" s="97"/>
      <c r="H351" s="97"/>
      <c r="I351" s="196"/>
      <c r="J351" s="196"/>
    </row>
    <row r="352" s="96" customFormat="true" ht="15" hidden="false" customHeight="true" outlineLevel="0" collapsed="false">
      <c r="A352" s="97"/>
      <c r="D352" s="98"/>
      <c r="E352" s="97"/>
      <c r="F352" s="97"/>
      <c r="G352" s="97"/>
      <c r="H352" s="195"/>
      <c r="I352" s="196"/>
      <c r="J352" s="196"/>
    </row>
    <row r="353" s="202" customFormat="true" ht="15.75" hidden="false" customHeight="true" outlineLevel="0" collapsed="false">
      <c r="A353" s="97"/>
      <c r="B353" s="96"/>
      <c r="C353" s="96"/>
      <c r="D353" s="98"/>
      <c r="E353" s="97"/>
      <c r="F353" s="97"/>
      <c r="G353" s="97"/>
      <c r="H353" s="97"/>
      <c r="I353" s="97"/>
      <c r="J353" s="97"/>
    </row>
    <row r="354" s="96" customFormat="true" ht="15.75" hidden="false" customHeight="true" outlineLevel="0" collapsed="false">
      <c r="A354" s="191"/>
      <c r="D354" s="98"/>
      <c r="E354" s="97"/>
      <c r="F354" s="97"/>
      <c r="G354" s="97"/>
      <c r="H354" s="97"/>
      <c r="I354" s="191"/>
      <c r="J354" s="199"/>
    </row>
    <row r="355" s="96" customFormat="true" ht="15.75" hidden="false" customHeight="true" outlineLevel="0" collapsed="false">
      <c r="A355" s="190"/>
      <c r="B355" s="191"/>
      <c r="C355" s="191"/>
      <c r="D355" s="192"/>
      <c r="E355" s="191"/>
      <c r="F355" s="191"/>
      <c r="G355" s="191"/>
      <c r="H355" s="191"/>
      <c r="I355" s="189"/>
      <c r="J355" s="190"/>
    </row>
    <row r="356" s="96" customFormat="true" ht="15.75" hidden="false" customHeight="true" outlineLevel="0" collapsed="false">
      <c r="A356" s="200"/>
      <c r="B356" s="190"/>
      <c r="C356" s="191"/>
      <c r="D356" s="194"/>
      <c r="E356" s="190"/>
      <c r="F356" s="189"/>
      <c r="G356" s="190"/>
      <c r="H356" s="189"/>
      <c r="I356" s="196"/>
      <c r="J356" s="196"/>
    </row>
    <row r="357" s="96" customFormat="true" ht="15.75" hidden="false" customHeight="true" outlineLevel="0" collapsed="false">
      <c r="A357" s="200"/>
      <c r="C357" s="182"/>
      <c r="D357" s="98"/>
      <c r="E357" s="97"/>
      <c r="F357" s="97"/>
      <c r="G357" s="97"/>
      <c r="H357" s="182"/>
      <c r="I357" s="98"/>
      <c r="J357" s="98"/>
    </row>
    <row r="358" s="96" customFormat="true" ht="15.75" hidden="false" customHeight="true" outlineLevel="0" collapsed="false">
      <c r="A358" s="200"/>
      <c r="C358" s="98"/>
      <c r="D358" s="98"/>
      <c r="E358" s="97"/>
      <c r="F358" s="97"/>
      <c r="G358" s="97"/>
      <c r="H358" s="98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196"/>
      <c r="J359" s="196"/>
    </row>
    <row r="360" s="96" customFormat="true" ht="15.75" hidden="false" customHeight="true" outlineLevel="0" collapsed="false">
      <c r="A360" s="200"/>
      <c r="D360" s="98"/>
      <c r="E360" s="97"/>
      <c r="F360" s="97"/>
      <c r="G360" s="97"/>
      <c r="H360" s="97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C363" s="98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G372" s="97"/>
      <c r="H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182"/>
      <c r="I375" s="98"/>
      <c r="J375" s="98"/>
    </row>
    <row r="376" s="96" customFormat="true" ht="15.75" hidden="false" customHeight="true" outlineLevel="0" collapsed="false">
      <c r="A376" s="200"/>
      <c r="C376" s="188"/>
      <c r="D376" s="98"/>
      <c r="E376" s="97"/>
      <c r="F376" s="97"/>
      <c r="G376" s="97"/>
      <c r="H376" s="98"/>
      <c r="I376" s="98"/>
      <c r="J376" s="98"/>
    </row>
    <row r="377" s="96" customFormat="true" ht="15.75" hidden="false" customHeight="true" outlineLevel="0" collapsed="false">
      <c r="A377" s="200"/>
      <c r="D377" s="98"/>
      <c r="E377" s="97"/>
      <c r="F377" s="97"/>
      <c r="G377" s="97"/>
      <c r="H377" s="98"/>
      <c r="I377" s="196"/>
      <c r="J377" s="196"/>
    </row>
    <row r="378" s="96" customFormat="true" ht="15.75" hidden="false" customHeight="true" outlineLevel="0" collapsed="false">
      <c r="A378" s="200"/>
      <c r="C378" s="98"/>
      <c r="D378" s="98"/>
      <c r="E378" s="97"/>
      <c r="F378" s="97"/>
      <c r="G378" s="97"/>
      <c r="H378" s="182"/>
      <c r="I378" s="98"/>
      <c r="J378" s="98"/>
    </row>
    <row r="379" s="96" customFormat="true" ht="15.75" hidden="false" customHeight="true" outlineLevel="0" collapsed="false">
      <c r="A379" s="200"/>
      <c r="D379" s="98"/>
      <c r="E379" s="97"/>
      <c r="F379" s="97"/>
      <c r="G379" s="97"/>
      <c r="H379" s="98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196"/>
      <c r="J380" s="196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7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97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213"/>
      <c r="J387" s="213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213"/>
      <c r="I388" s="97"/>
      <c r="J388" s="97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97"/>
      <c r="I389" s="98"/>
      <c r="J389" s="98"/>
    </row>
    <row r="390" s="96" customFormat="true" ht="15.75" hidden="false" customHeight="true" outlineLevel="0" collapsed="false">
      <c r="A390" s="200"/>
      <c r="C390" s="188"/>
      <c r="D390" s="98"/>
      <c r="E390" s="97"/>
      <c r="F390" s="97"/>
      <c r="G390" s="97"/>
      <c r="H390" s="98"/>
      <c r="I390" s="196"/>
      <c r="J390" s="196"/>
    </row>
    <row r="391" s="96" customFormat="true" ht="15.75" hidden="false" customHeight="true" outlineLevel="0" collapsed="false">
      <c r="A391" s="200"/>
      <c r="D391" s="98"/>
      <c r="E391" s="97"/>
      <c r="F391" s="97"/>
      <c r="G391" s="97"/>
      <c r="H391" s="97"/>
      <c r="I391" s="97"/>
      <c r="J391" s="196"/>
    </row>
    <row r="392" s="96" customFormat="true" ht="15.75" hidden="false" customHeight="true" outlineLevel="0" collapsed="false">
      <c r="A392" s="200"/>
      <c r="C392" s="98"/>
      <c r="D392" s="98"/>
      <c r="E392" s="97"/>
      <c r="F392" s="97"/>
      <c r="G392" s="97"/>
      <c r="H392" s="97"/>
      <c r="I392" s="196"/>
      <c r="J392" s="196"/>
    </row>
    <row r="393" s="96" customFormat="true" ht="15.75" hidden="false" customHeight="true" outlineLevel="0" collapsed="false">
      <c r="A393" s="200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107"/>
      <c r="D395" s="98"/>
      <c r="E395" s="97"/>
      <c r="F395" s="97"/>
      <c r="G395" s="97"/>
      <c r="H395" s="97"/>
      <c r="I395" s="97"/>
      <c r="J395" s="97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202" customFormat="true" ht="15.75" hidden="false" customHeight="true" outlineLevel="0" collapsed="false">
      <c r="A403" s="107"/>
      <c r="B403" s="96"/>
      <c r="C403" s="96"/>
      <c r="D403" s="98"/>
      <c r="E403" s="97"/>
      <c r="F403" s="97"/>
      <c r="G403" s="97"/>
      <c r="H403" s="97"/>
      <c r="I403" s="97"/>
      <c r="J403" s="97"/>
    </row>
    <row r="404" s="96" customFormat="true" ht="15.75" hidden="false" customHeight="true" outlineLevel="0" collapsed="false">
      <c r="A404" s="191"/>
      <c r="D404" s="98"/>
      <c r="E404" s="97"/>
      <c r="F404" s="97"/>
      <c r="G404" s="97"/>
      <c r="H404" s="97"/>
      <c r="I404" s="191"/>
      <c r="J404" s="199"/>
    </row>
    <row r="405" s="96" customFormat="true" ht="15.75" hidden="false" customHeight="true" outlineLevel="0" collapsed="false">
      <c r="A405" s="191"/>
      <c r="B405" s="191"/>
      <c r="C405" s="191"/>
      <c r="D405" s="192"/>
      <c r="E405" s="191"/>
      <c r="F405" s="191"/>
      <c r="G405" s="191"/>
      <c r="H405" s="191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97"/>
      <c r="B418" s="191"/>
      <c r="C418" s="191"/>
      <c r="D418" s="192"/>
      <c r="E418" s="191"/>
      <c r="F418" s="191"/>
      <c r="G418" s="191"/>
      <c r="H418" s="191"/>
      <c r="I418" s="196"/>
      <c r="J418" s="196"/>
      <c r="K418" s="214"/>
    </row>
    <row r="419" s="96" customFormat="true" ht="15.75" hidden="false" customHeight="true" outlineLevel="0" collapsed="false">
      <c r="A419" s="97"/>
      <c r="D419" s="98"/>
      <c r="E419" s="97"/>
      <c r="F419" s="97"/>
      <c r="G419" s="97"/>
      <c r="H419" s="97"/>
      <c r="I419" s="196"/>
    </row>
    <row r="420" customFormat="false" ht="18" hidden="false" customHeight="true" outlineLevel="0" collapsed="false">
      <c r="A420" s="97"/>
      <c r="B420" s="96"/>
      <c r="C420" s="96"/>
      <c r="D420" s="98"/>
      <c r="E420" s="97"/>
      <c r="F420" s="97"/>
      <c r="G420" s="97"/>
      <c r="H420" s="97"/>
      <c r="I420" s="97"/>
      <c r="J420" s="92" t="str">
        <f aca="false">LEFT($J$111,11)&amp;"-04"</f>
        <v>FG-240-5P5L-04</v>
      </c>
      <c r="K420" s="78"/>
      <c r="L420" s="78"/>
      <c r="M420" s="79"/>
      <c r="N420" s="79"/>
    </row>
    <row r="421" customFormat="false" ht="12.75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215"/>
      <c r="K421" s="78"/>
      <c r="L421" s="78"/>
      <c r="M421" s="79"/>
      <c r="N421" s="79"/>
    </row>
    <row r="422" customFormat="false" ht="30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77" t="str">
        <f aca="false">$J$2</f>
        <v>HOMELIFE</v>
      </c>
      <c r="K422" s="78"/>
      <c r="L422" s="78"/>
      <c r="M422" s="79"/>
      <c r="N422" s="79"/>
    </row>
    <row r="423" customFormat="false" ht="24.75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80" t="str">
        <f aca="false">$J$3</f>
        <v>Fabricators Guide</v>
      </c>
      <c r="K423" s="78"/>
      <c r="L423" s="78"/>
      <c r="M423" s="79"/>
      <c r="N423" s="79"/>
    </row>
    <row r="424" customFormat="false" ht="24.75" hidden="false" customHeight="true" outlineLevel="0" collapsed="false">
      <c r="C424" s="82"/>
      <c r="D424" s="82"/>
      <c r="E424" s="82"/>
      <c r="F424" s="82"/>
      <c r="G424" s="82"/>
      <c r="H424" s="82"/>
      <c r="I424" s="82"/>
      <c r="J424" s="80" t="str">
        <f aca="false">$J$4</f>
        <v>240 Series Bi Fold Door </v>
      </c>
      <c r="M424" s="87"/>
      <c r="N424" s="87"/>
    </row>
    <row r="425" s="96" customFormat="true" ht="15" hidden="false" customHeight="true" outlineLevel="0" collapsed="false">
      <c r="A425" s="84"/>
      <c r="B425" s="81"/>
      <c r="C425" s="82"/>
      <c r="D425" s="82"/>
      <c r="E425" s="82"/>
      <c r="F425" s="82"/>
      <c r="G425" s="82"/>
      <c r="H425" s="82"/>
      <c r="I425" s="84"/>
      <c r="J425" s="86"/>
      <c r="K425" s="87"/>
      <c r="L425" s="87"/>
      <c r="M425" s="87"/>
      <c r="N425" s="87"/>
    </row>
    <row r="426" s="96" customFormat="true" ht="24.75" hidden="false" customHeight="true" outlineLevel="0" collapsed="false">
      <c r="A426" s="88" t="s">
        <v>481</v>
      </c>
      <c r="B426" s="88"/>
      <c r="C426" s="88"/>
      <c r="D426" s="88"/>
      <c r="E426" s="88"/>
      <c r="F426" s="88"/>
      <c r="G426" s="88"/>
      <c r="H426" s="88"/>
      <c r="I426" s="88"/>
      <c r="J426" s="88"/>
      <c r="K426" s="87"/>
      <c r="L426" s="87"/>
      <c r="M426" s="87"/>
      <c r="N426" s="87"/>
    </row>
    <row r="427" s="96" customFormat="true" ht="15" hidden="false" customHeight="true" outlineLevel="0" collapsed="false">
      <c r="B427" s="268"/>
      <c r="C427" s="268"/>
      <c r="D427" s="268"/>
      <c r="E427" s="268"/>
      <c r="F427" s="268"/>
      <c r="G427" s="268"/>
      <c r="H427" s="268"/>
    </row>
    <row r="428" s="96" customFormat="true" ht="15" hidden="false" customHeight="true" outlineLevel="0" collapsed="false">
      <c r="A428" s="188"/>
      <c r="I428" s="191"/>
      <c r="J428" s="199"/>
    </row>
    <row r="429" s="96" customFormat="true" ht="15" hidden="false" customHeight="true" outlineLevel="0" collapsed="false">
      <c r="A429" s="97"/>
      <c r="B429" s="81"/>
      <c r="D429" s="98"/>
      <c r="E429" s="83"/>
      <c r="F429" s="81"/>
      <c r="H429" s="191"/>
      <c r="I429" s="191"/>
      <c r="J429" s="199"/>
    </row>
    <row r="430" s="96" customFormat="true" ht="15" hidden="false" customHeight="true" outlineLevel="0" collapsed="false">
      <c r="A430" s="97"/>
      <c r="D430" s="98"/>
      <c r="E430" s="83"/>
      <c r="F430" s="98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C432" s="98"/>
      <c r="D432" s="98"/>
      <c r="E432" s="97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83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81"/>
      <c r="C435" s="182"/>
      <c r="D435" s="98"/>
      <c r="E435" s="97"/>
      <c r="F435" s="216"/>
      <c r="H435" s="191"/>
      <c r="I435" s="191"/>
      <c r="J435" s="199"/>
    </row>
    <row r="436" s="96" customFormat="true" ht="15" hidden="false" customHeight="true" outlineLevel="0" collapsed="false">
      <c r="A436" s="99"/>
      <c r="B436" s="81"/>
      <c r="C436" s="98"/>
      <c r="D436" s="98"/>
      <c r="E436" s="97"/>
      <c r="F436" s="186"/>
      <c r="H436" s="191"/>
      <c r="I436" s="191"/>
      <c r="J436" s="199"/>
    </row>
    <row r="437" s="96" customFormat="true" ht="15" hidden="false" customHeight="true" outlineLevel="0" collapsed="false">
      <c r="B437" s="99"/>
      <c r="C437" s="98"/>
      <c r="D437" s="98"/>
      <c r="E437" s="97"/>
      <c r="F437" s="110"/>
      <c r="H437" s="191"/>
      <c r="I437" s="191"/>
      <c r="J437" s="199"/>
    </row>
    <row r="438" s="96" customFormat="true" ht="15" hidden="false" customHeight="true" outlineLevel="0" collapsed="false">
      <c r="A438" s="211" t="str">
        <f aca="false">A18</f>
        <v>240-5 Panel (5L)</v>
      </c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.75" hidden="false" customHeight="true" outlineLevel="0" collapsed="false">
      <c r="A439" s="90" t="str">
        <f aca="false">A19</f>
        <v>Outside Bi Fold Door </v>
      </c>
      <c r="C439" s="182"/>
      <c r="D439" s="98"/>
      <c r="E439" s="97"/>
      <c r="F439" s="186"/>
      <c r="H439" s="191"/>
      <c r="I439" s="191"/>
      <c r="J439" s="199"/>
    </row>
    <row r="440" s="96" customFormat="true" ht="15.75" hidden="false" customHeight="true" outlineLevel="0" collapsed="false">
      <c r="A440" s="81"/>
      <c r="C440" s="98"/>
      <c r="D440" s="98"/>
      <c r="E440" s="97"/>
      <c r="F440" s="78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81"/>
      <c r="C442" s="98"/>
      <c r="D442" s="98"/>
      <c r="E442" s="97"/>
      <c r="F442" s="78"/>
      <c r="H442" s="191"/>
      <c r="I442" s="191"/>
      <c r="J442" s="199"/>
    </row>
    <row r="443" s="96" customFormat="true" ht="15.75" hidden="false" customHeight="true" outlineLevel="0" collapsed="false">
      <c r="A443" s="191"/>
      <c r="C443" s="212"/>
      <c r="D443" s="98"/>
      <c r="E443" s="97"/>
      <c r="F443" s="97"/>
      <c r="H443" s="191"/>
      <c r="I443" s="191"/>
      <c r="J443" s="199"/>
    </row>
    <row r="444" s="96" customFormat="true" ht="15.75" hidden="false" customHeight="true" outlineLevel="0" collapsed="false">
      <c r="A444" s="190"/>
      <c r="C444" s="191"/>
      <c r="D444" s="192"/>
      <c r="E444" s="191"/>
      <c r="F444" s="191"/>
      <c r="H444" s="191"/>
      <c r="I444" s="191"/>
      <c r="J444" s="199"/>
    </row>
    <row r="445" customFormat="false" ht="15" hidden="false" customHeight="true" outlineLevel="0" collapsed="false">
      <c r="B445" s="211"/>
      <c r="C445" s="98"/>
      <c r="D445" s="98"/>
      <c r="E445" s="97"/>
      <c r="F445" s="98"/>
      <c r="G445" s="97"/>
      <c r="H445" s="97"/>
    </row>
    <row r="450" s="96" customFormat="true" ht="15.75" hidden="false" customHeight="true" outlineLevel="0" collapsed="false">
      <c r="A450" s="97"/>
      <c r="D450" s="73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191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97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196"/>
      <c r="J457" s="196"/>
    </row>
    <row r="458" s="96" customFormat="true" ht="15.7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195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202" customFormat="true" ht="15.75" hidden="false" customHeight="true" outlineLevel="0" collapsed="false">
      <c r="A477" s="97"/>
      <c r="B477" s="96"/>
      <c r="C477" s="96"/>
      <c r="D477" s="98"/>
      <c r="E477" s="97"/>
      <c r="F477" s="97"/>
      <c r="G477" s="97"/>
      <c r="H477" s="97"/>
      <c r="I477" s="97"/>
      <c r="J477" s="97"/>
    </row>
    <row r="478" s="96" customFormat="true" ht="15.75" hidden="false" customHeight="true" outlineLevel="0" collapsed="false">
      <c r="A478" s="191"/>
      <c r="D478" s="98"/>
      <c r="E478" s="97"/>
      <c r="F478" s="97"/>
      <c r="G478" s="97"/>
      <c r="H478" s="97"/>
      <c r="I478" s="191"/>
      <c r="J478" s="199"/>
    </row>
    <row r="479" s="96" customFormat="true" ht="15.75" hidden="false" customHeight="true" outlineLevel="0" collapsed="false">
      <c r="A479" s="190"/>
      <c r="B479" s="191"/>
      <c r="C479" s="191"/>
      <c r="D479" s="192"/>
      <c r="E479" s="191"/>
      <c r="F479" s="191"/>
      <c r="G479" s="191"/>
      <c r="H479" s="191"/>
      <c r="I479" s="189"/>
      <c r="J479" s="190"/>
    </row>
    <row r="480" s="96" customFormat="true" ht="15.75" hidden="false" customHeight="true" outlineLevel="0" collapsed="false">
      <c r="A480" s="200"/>
      <c r="B480" s="190"/>
      <c r="C480" s="191"/>
      <c r="D480" s="194"/>
      <c r="E480" s="190"/>
      <c r="F480" s="189"/>
      <c r="G480" s="190"/>
      <c r="H480" s="189"/>
      <c r="I480" s="196"/>
      <c r="J480" s="196"/>
    </row>
    <row r="481" s="96" customFormat="true" ht="15.75" hidden="false" customHeight="true" outlineLevel="0" collapsed="false">
      <c r="A481" s="200"/>
      <c r="C481" s="182"/>
      <c r="D481" s="98"/>
      <c r="E481" s="97"/>
      <c r="F481" s="97"/>
      <c r="G481" s="97"/>
      <c r="H481" s="182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C487" s="98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182"/>
      <c r="J499" s="97"/>
    </row>
    <row r="500" s="96" customFormat="true" ht="15.75" hidden="false" customHeight="true" outlineLevel="0" collapsed="false">
      <c r="A500" s="200"/>
      <c r="C500" s="188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I501" s="196"/>
      <c r="J501" s="196"/>
    </row>
    <row r="502" s="96" customFormat="true" ht="15.75" hidden="false" customHeight="true" outlineLevel="0" collapsed="false">
      <c r="A502" s="200"/>
      <c r="C502" s="98"/>
      <c r="D502" s="98"/>
      <c r="E502" s="97"/>
      <c r="F502" s="97"/>
      <c r="G502" s="97"/>
      <c r="H502" s="182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212"/>
      <c r="J511" s="195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212"/>
      <c r="J512" s="195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212"/>
      <c r="J513" s="195"/>
    </row>
    <row r="514" s="96" customFormat="true" ht="15.75" hidden="false" customHeight="true" outlineLevel="0" collapsed="false">
      <c r="A514" s="191"/>
      <c r="D514" s="98"/>
      <c r="E514" s="97"/>
      <c r="F514" s="97"/>
      <c r="G514" s="97"/>
      <c r="I514" s="191"/>
      <c r="J514" s="199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B516" s="191"/>
      <c r="C516" s="191"/>
      <c r="D516" s="192"/>
      <c r="E516" s="191"/>
      <c r="F516" s="191"/>
      <c r="G516" s="191"/>
      <c r="H516" s="191"/>
    </row>
    <row r="517" s="96" customFormat="true" ht="15.75" hidden="false" customHeight="true" outlineLevel="0" collapsed="false"/>
    <row r="518" s="96" customFormat="true" ht="24.75" hidden="false" customHeight="true" outlineLevel="0" collapsed="false">
      <c r="A518" s="88" t="s">
        <v>482</v>
      </c>
      <c r="B518" s="88"/>
      <c r="C518" s="88"/>
      <c r="D518" s="88"/>
      <c r="E518" s="88"/>
      <c r="F518" s="88"/>
      <c r="G518" s="88"/>
      <c r="H518" s="88"/>
      <c r="I518" s="88"/>
      <c r="J518" s="88"/>
    </row>
    <row r="519" s="96" customFormat="true" ht="34.5" hidden="false" customHeight="true" outlineLevel="0" collapsed="false">
      <c r="A519" s="114" t="s">
        <v>319</v>
      </c>
      <c r="B519" s="115" t="s">
        <v>168</v>
      </c>
      <c r="C519" s="115" t="s">
        <v>168</v>
      </c>
      <c r="D519" s="116" t="s">
        <v>483</v>
      </c>
      <c r="E519" s="115" t="s">
        <v>321</v>
      </c>
      <c r="F519" s="239" t="s">
        <v>484</v>
      </c>
      <c r="G519" s="240"/>
      <c r="H519" s="116" t="s">
        <v>484</v>
      </c>
      <c r="I519" s="116" t="s">
        <v>485</v>
      </c>
      <c r="J519" s="117" t="s">
        <v>323</v>
      </c>
      <c r="N519" s="118" t="s">
        <v>168</v>
      </c>
      <c r="O519" s="118" t="s">
        <v>168</v>
      </c>
    </row>
    <row r="520" s="96" customFormat="true" ht="15.75" hidden="false" customHeight="true" outlineLevel="0" collapsed="false">
      <c r="A520" s="120" t="n">
        <f aca="false">IF(C520="","",1)</f>
        <v>1</v>
      </c>
      <c r="B520" s="121" t="str">
        <f aca="false"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 aca="false">IF($D$127=5,O520,IF($D$127=6,O521,IF($D$127=8,O522,IF($D$127=10,O523,IF($D$127=12,O524,IF($D$127=14,O525,IF($D$127=18,O526,IF($D$127=20,O527,IF($D$127=22,O528,)))))))))</f>
        <v>GLASS thk.6 mm (H) (W)</v>
      </c>
      <c r="D520" s="123" t="n">
        <f aca="false">$J$123-215</f>
        <v>3485</v>
      </c>
      <c r="E520" s="120" t="s">
        <v>486</v>
      </c>
      <c r="F520" s="224" t="s">
        <v>487</v>
      </c>
      <c r="G520" s="224"/>
      <c r="H520" s="120" t="s">
        <v>668</v>
      </c>
      <c r="I520" s="123" t="n">
        <f aca="false">(($J$126-182-(113.25*4))/5)-13</f>
        <v>660</v>
      </c>
      <c r="J520" s="226" t="n">
        <f aca="false">$J$120*5</f>
        <v>5</v>
      </c>
      <c r="M520" s="96" t="n">
        <f aca="false">ROW()</f>
        <v>520</v>
      </c>
      <c r="N520" s="62" t="s">
        <v>489</v>
      </c>
      <c r="O520" s="62" t="s">
        <v>490</v>
      </c>
    </row>
    <row r="521" s="96" customFormat="true" ht="15.75" hidden="false" customHeight="true" outlineLevel="0" collapsed="false">
      <c r="A521" s="269"/>
      <c r="B521" s="228"/>
      <c r="C521" s="228"/>
      <c r="D521" s="176"/>
      <c r="E521" s="167"/>
      <c r="F521" s="229"/>
      <c r="G521" s="230"/>
      <c r="H521" s="167"/>
      <c r="I521" s="231"/>
      <c r="J521" s="232"/>
      <c r="M521" s="96" t="n">
        <f aca="false">ROW()</f>
        <v>521</v>
      </c>
      <c r="N521" s="62" t="s">
        <v>491</v>
      </c>
      <c r="O521" s="62" t="s">
        <v>492</v>
      </c>
    </row>
    <row r="522" s="96" customFormat="true" ht="15.75" hidden="false" customHeight="true" outlineLevel="0" collapsed="false">
      <c r="A522" s="269"/>
      <c r="B522" s="228"/>
      <c r="C522" s="228"/>
      <c r="D522" s="176"/>
      <c r="E522" s="167"/>
      <c r="F522" s="229"/>
      <c r="G522" s="230"/>
      <c r="H522" s="167"/>
      <c r="I522" s="231"/>
      <c r="J522" s="232"/>
      <c r="M522" s="96" t="n">
        <f aca="false">ROW()</f>
        <v>522</v>
      </c>
      <c r="N522" s="62" t="s">
        <v>493</v>
      </c>
      <c r="O522" s="62" t="s">
        <v>494</v>
      </c>
    </row>
    <row r="523" s="96" customFormat="true" ht="15.75" hidden="false" customHeight="true" outlineLevel="0" collapsed="false">
      <c r="A523" s="130" t="str">
        <f aca="false">IF(B523="","",+""+1)</f>
        <v/>
      </c>
      <c r="B523" s="131"/>
      <c r="C523" s="131"/>
      <c r="D523" s="132"/>
      <c r="E523" s="130"/>
      <c r="F523" s="233"/>
      <c r="G523" s="270"/>
      <c r="H523" s="130"/>
      <c r="I523" s="142"/>
      <c r="J523" s="133"/>
      <c r="M523" s="96" t="n">
        <f aca="false">ROW()</f>
        <v>523</v>
      </c>
      <c r="N523" s="62" t="s">
        <v>495</v>
      </c>
      <c r="O523" s="62" t="s">
        <v>496</v>
      </c>
    </row>
    <row r="524" s="96" customFormat="true" ht="15.75" hidden="false" customHeight="true" outlineLevel="0" collapsed="false">
      <c r="A524" s="136" t="str">
        <f aca="false">IF(B524="","",+A523+1)</f>
        <v/>
      </c>
      <c r="B524" s="135"/>
      <c r="C524" s="135"/>
      <c r="D524" s="139"/>
      <c r="E524" s="136"/>
      <c r="F524" s="236"/>
      <c r="G524" s="237"/>
      <c r="H524" s="136"/>
      <c r="I524" s="180"/>
      <c r="J524" s="140"/>
      <c r="M524" s="96" t="n">
        <f aca="false">ROW()</f>
        <v>524</v>
      </c>
      <c r="N524" s="62" t="s">
        <v>497</v>
      </c>
      <c r="O524" s="62" t="s">
        <v>498</v>
      </c>
    </row>
    <row r="525" s="96" customFormat="true" ht="15.75" hidden="false" customHeight="true" outlineLevel="0" collapsed="false">
      <c r="A525" s="97"/>
      <c r="D525" s="98"/>
      <c r="E525" s="97"/>
      <c r="F525" s="97"/>
      <c r="G525" s="97"/>
      <c r="H525" s="97"/>
      <c r="I525" s="97"/>
      <c r="J525" s="196"/>
      <c r="M525" s="96" t="n">
        <f aca="false">ROW()</f>
        <v>525</v>
      </c>
      <c r="N525" s="62" t="s">
        <v>499</v>
      </c>
      <c r="O525" s="62" t="s">
        <v>500</v>
      </c>
    </row>
    <row r="526" customFormat="false" ht="14.25" hidden="false" customHeight="false" outlineLevel="0" collapsed="false">
      <c r="J526" s="92" t="str">
        <f aca="false">LEFT($J$111,11)&amp;"-05"</f>
        <v>FG-240-5P5L-05</v>
      </c>
      <c r="M526" s="96" t="n">
        <f aca="false">ROW()</f>
        <v>526</v>
      </c>
      <c r="N526" s="62" t="s">
        <v>501</v>
      </c>
      <c r="O526" s="62" t="s">
        <v>502</v>
      </c>
    </row>
    <row r="527" customFormat="false" ht="14.25" hidden="false" customHeight="false" outlineLevel="0" collapsed="false">
      <c r="M527" s="96" t="n">
        <f aca="false">ROW()</f>
        <v>527</v>
      </c>
      <c r="N527" s="62" t="s">
        <v>503</v>
      </c>
      <c r="O527" s="62" t="s">
        <v>504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505</v>
      </c>
      <c r="O528" s="62" t="s">
        <v>506</v>
      </c>
    </row>
  </sheetData>
  <mergeCells count="43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7"/>
    <mergeCell ref="H163:H167"/>
    <mergeCell ref="I166:J167"/>
    <mergeCell ref="D168:D169"/>
    <mergeCell ref="H168:H169"/>
    <mergeCell ref="I168:J168"/>
    <mergeCell ref="A170:J170"/>
    <mergeCell ref="A212:J212"/>
    <mergeCell ref="A319:J319"/>
    <mergeCell ref="F329:G329"/>
    <mergeCell ref="F330:G330"/>
    <mergeCell ref="F333:G333"/>
    <mergeCell ref="A426:J426"/>
    <mergeCell ref="A518:J518"/>
    <mergeCell ref="F520:G520"/>
  </mergeCells>
  <dataValidations count="4">
    <dataValidation allowBlank="true" errorStyle="stop" operator="between" showDropDown="false" showErrorMessage="true" showInputMessage="true" sqref="D127:G127" type="list">
      <formula1>$N$120:$N$128</formula1>
      <formula2>0</formula2>
    </dataValidation>
    <dataValidation allowBlank="true" errorStyle="stop" operator="between" showDropDown="false" showErrorMessage="true" showInputMessage="true" sqref="C205" type="list">
      <formula1>$O$172:$O$190</formula1>
      <formula2>0</formula2>
    </dataValidation>
    <dataValidation allowBlank="true" errorStyle="stop" operator="between" showDropDown="false" showErrorMessage="true" showInputMessage="true" sqref="D129:G129" type="list">
      <formula1>$O$120</formula1>
      <formula2>0</formula2>
    </dataValidation>
    <dataValidation allowBlank="true" errorStyle="stop" operator="between" showDropDown="false" showErrorMessage="true" showInputMessage="true" sqref="D123:G123" type="list">
      <formula1>$P$119:$P$128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6" man="true" max="16383" min="0"/>
    <brk id="313" man="true" max="16383" min="0"/>
    <brk id="420" man="true" max="16383" min="0"/>
  </row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Y527"/>
  <sheetViews>
    <sheetView showFormulas="false" showGridLines="false" showRowColHeaders="true" showZeros="true" rightToLeft="false" tabSelected="false" showOutlineSymbols="true" defaultGridColor="true" view="pageBreakPreview" topLeftCell="A109" colorId="64" zoomScale="75" zoomScaleNormal="75" zoomScalePageLayoutView="75" workbookViewId="0">
      <selection pane="topLeft" activeCell="J128" activeCellId="0" sqref="J128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34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7.88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41.5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3.44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669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>
      <c r="G45" s="91"/>
    </row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670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5" hidden="false" customHeight="true" outlineLevel="0" collapsed="false">
      <c r="A118" s="97"/>
      <c r="C118" s="81"/>
      <c r="D118" s="98"/>
      <c r="E118" s="83"/>
      <c r="J118" s="99"/>
      <c r="K118" s="83"/>
    </row>
    <row r="119" s="96" customFormat="true" ht="15" hidden="false" customHeight="true" outlineLevel="0" collapsed="false">
      <c r="A119" s="97"/>
      <c r="C119" s="100" t="s">
        <v>286</v>
      </c>
      <c r="D119" s="101" t="s">
        <v>671</v>
      </c>
      <c r="E119" s="101"/>
      <c r="F119" s="101"/>
      <c r="G119" s="101"/>
      <c r="I119" s="83"/>
      <c r="J119" s="97"/>
      <c r="N119" s="258" t="s">
        <v>288</v>
      </c>
      <c r="O119" s="97" t="s">
        <v>289</v>
      </c>
      <c r="P119" s="102" t="s">
        <v>290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5</v>
      </c>
      <c r="O120" s="97" t="s">
        <v>509</v>
      </c>
      <c r="P120" s="106" t="s">
        <v>294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6</v>
      </c>
      <c r="O121" s="97" t="s">
        <v>296</v>
      </c>
      <c r="P121" s="106" t="s">
        <v>297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8</v>
      </c>
      <c r="P122" s="106" t="s">
        <v>299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313</v>
      </c>
      <c r="E123" s="101"/>
      <c r="F123" s="101"/>
      <c r="G123" s="101"/>
      <c r="H123" s="104" t="s">
        <v>302</v>
      </c>
      <c r="I123" s="104"/>
      <c r="J123" s="105" t="n">
        <v>2700</v>
      </c>
      <c r="N123" s="259" t="n">
        <v>10</v>
      </c>
      <c r="P123" s="106" t="s">
        <v>303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12</v>
      </c>
      <c r="P124" s="106" t="s">
        <v>305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14</v>
      </c>
      <c r="P125" s="106" t="s">
        <v>308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2750</v>
      </c>
      <c r="K126" s="110"/>
      <c r="L126" s="110"/>
      <c r="N126" s="259" t="n">
        <v>18</v>
      </c>
      <c r="P126" s="106" t="s">
        <v>311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259" t="n">
        <v>20</v>
      </c>
      <c r="P127" s="106" t="s">
        <v>313</v>
      </c>
    </row>
    <row r="128" s="96" customFormat="true" ht="18.75" hidden="false" customHeight="true" outlineLevel="0" collapsed="false">
      <c r="C128" s="108" t="s">
        <v>314</v>
      </c>
      <c r="I128" s="97"/>
      <c r="J128" s="97"/>
      <c r="N128" s="259" t="n">
        <v>22</v>
      </c>
      <c r="P128" s="106" t="s">
        <v>315</v>
      </c>
    </row>
    <row r="129" s="96" customFormat="true" ht="15" hidden="false" customHeight="true" outlineLevel="0" collapsed="false">
      <c r="A129" s="89" t="str">
        <f aca="false">A18</f>
        <v>240-5 Panel (5R)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2690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10</v>
      </c>
      <c r="U133" s="127" t="s">
        <v>665</v>
      </c>
      <c r="V133" s="128" t="n">
        <f aca="false">($J$126-182-(113.25*4))/5</f>
        <v>423</v>
      </c>
      <c r="W133" s="129" t="n">
        <f aca="false">$J$121*T133</f>
        <v>0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2664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10</v>
      </c>
      <c r="U134" s="130" t="s">
        <v>665</v>
      </c>
      <c r="V134" s="128" t="n">
        <f aca="false">($J$126-182-(113.25*4))/5</f>
        <v>423</v>
      </c>
      <c r="W134" s="134" t="n">
        <f aca="false">$J$121*T134</f>
        <v>0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2690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10</v>
      </c>
      <c r="U135" s="136" t="s">
        <v>665</v>
      </c>
      <c r="V135" s="128" t="n">
        <f aca="false">($J$126-182-(113.25*4))/5</f>
        <v>423</v>
      </c>
      <c r="W135" s="137" t="n">
        <f aca="false">$J$121*T135</f>
        <v>0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2690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10</v>
      </c>
      <c r="U136" s="127" t="s">
        <v>360</v>
      </c>
      <c r="V136" s="138" t="n">
        <f aca="false">$J$123-242</f>
        <v>2458</v>
      </c>
      <c r="W136" s="129" t="n">
        <f aca="false">$J$121*T136</f>
        <v>0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562</v>
      </c>
      <c r="G137" s="130" t="n">
        <v>1</v>
      </c>
      <c r="H137" s="130" t="s">
        <v>332</v>
      </c>
      <c r="I137" s="133" t="n">
        <f aca="false">$J$123</f>
        <v>2700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10</v>
      </c>
      <c r="U137" s="130" t="s">
        <v>360</v>
      </c>
      <c r="V137" s="133" t="n">
        <f aca="false">$J$123-242</f>
        <v>2458</v>
      </c>
      <c r="W137" s="134" t="n">
        <f aca="false">$J$121*T137</f>
        <v>0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2700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10</v>
      </c>
      <c r="U138" s="136" t="s">
        <v>360</v>
      </c>
      <c r="V138" s="140" t="n">
        <f aca="false">$J$123-242</f>
        <v>2458</v>
      </c>
      <c r="W138" s="137" t="n">
        <f aca="false">$J$121*T138</f>
        <v>0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2604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2604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5</v>
      </c>
      <c r="H141" s="130" t="s">
        <v>645</v>
      </c>
      <c r="I141" s="141" t="n">
        <f aca="false">($J$126-60-(5+1)*4)/5</f>
        <v>533.2</v>
      </c>
      <c r="J141" s="134" t="n">
        <f aca="false">$J$120*G141</f>
        <v>5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5</v>
      </c>
      <c r="H142" s="130" t="s">
        <v>645</v>
      </c>
      <c r="I142" s="141" t="n">
        <f aca="false">($J$126-60-(5+1)*4)/5</f>
        <v>533.2</v>
      </c>
      <c r="J142" s="134" t="n">
        <f aca="false">$J$120*G142</f>
        <v>5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7</v>
      </c>
      <c r="H143" s="130" t="s">
        <v>389</v>
      </c>
      <c r="I143" s="133" t="n">
        <f aca="false">$J$123-92</f>
        <v>2608</v>
      </c>
      <c r="J143" s="134" t="n">
        <f aca="false">$J$120*G143</f>
        <v>7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563</v>
      </c>
      <c r="G144" s="130" t="n">
        <v>2</v>
      </c>
      <c r="H144" s="130" t="s">
        <v>389</v>
      </c>
      <c r="I144" s="133" t="n">
        <f aca="false">$J$123-92</f>
        <v>2608</v>
      </c>
      <c r="J144" s="134" t="n">
        <f aca="false">$J$120*G144</f>
        <v>2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531</v>
      </c>
      <c r="C145" s="131" t="s">
        <v>532</v>
      </c>
      <c r="D145" s="132" t="s">
        <v>74</v>
      </c>
      <c r="E145" s="130" t="n">
        <v>1.106</v>
      </c>
      <c r="F145" s="132" t="s">
        <v>564</v>
      </c>
      <c r="G145" s="130" t="n">
        <v>1</v>
      </c>
      <c r="H145" s="130" t="s">
        <v>389</v>
      </c>
      <c r="I145" s="133" t="n">
        <f aca="false">$J$123-92</f>
        <v>2608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6" s="131" t="str">
        <f aca="false">IF($D$127=5,Q133,IF($D$127=6,Q133,IF($D$127=8,Q134,IF($D$127=10,Q134,IF($D$127=12,Q134,IF($D$127=14,Q135,IF($D$127=18,Q135,IF($D$127=20,Q135,IF($D$127=22,Q135,)))))))))</f>
        <v>B24008</v>
      </c>
      <c r="E146" s="131" t="n">
        <f aca="false">IF($D$127=5,R133,IF($D$127=6,R133,IF($D$127=8,R134,IF($D$127=10,R134,IF($D$127=12,R134,IF($D$127=14,R135,IF($D$127=18,R135,IF($D$127=20,R135,IF($D$127=22,R135,)))))))))</f>
        <v>0.231</v>
      </c>
      <c r="F146" s="131" t="str">
        <f aca="false">IF($D$127=5,S133,IF($D$127=6,S133,IF($D$127=8,S134,IF($D$127=10,S134,IF($D$127=12,S134,IF($D$127=14,S135,IF($D$127=18,S135,IF($D$127=20,S135,IF($D$127=22,S135,)))))))))</f>
        <v>B24008-001</v>
      </c>
      <c r="G146" s="130" t="n">
        <f aca="false">IF($D$127=5,T133,IF($D$127=6,T133,IF($D$127=8,T134,IF($D$127=10,T134,IF($D$127=12,T134,IF($D$127=14,T135,IF($D$127=18,T135,IF($D$127=20,T135,IF($D$127=22,T135,)))))))))</f>
        <v>10</v>
      </c>
      <c r="H146" s="130" t="str">
        <f aca="false">IF($D$127=5,U133,IF($D$127=6,U133,IF($D$127=8,U134,IF($D$127=10,U134,IF($D$127=12,U134,IF($D$127=14,U135,IF($D$127=18,U135,IF($D$127=20,U135,IF($D$127=22,U135,)))))))))</f>
        <v>(W-182-(113.25 × 4))/5</v>
      </c>
      <c r="I146" s="141" t="n">
        <f aca="false">IF($D$127=5,V133,IF($D$127=6,V133,IF($D$127=8,V134,IF($D$127=10,V134,IF($D$127=12,V134,IF($D$127=14,V135,IF($D$127=18,V135,IF($D$127=20,V135,IF($D$127=22,V135,)))))))))</f>
        <v>423</v>
      </c>
      <c r="J146" s="134" t="n">
        <f aca="false">$J$120*G146</f>
        <v>10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7" s="131" t="str">
        <f aca="false">IF($D$127=5,Q136,IF($D$127=6,Q136,IF($D$127=8,Q137,IF($D$127=10,Q137,IF($D$127=12,Q137,IF($D$127=14,Q138,IF($D$127=18,Q138,IF($D$127=20,Q138,IF($D$127=22,Q138,)))))))))</f>
        <v>B24008</v>
      </c>
      <c r="E147" s="131" t="n">
        <f aca="false">IF($D$127=5,R136,IF($D$127=6,R136,IF($D$127=8,R137,IF($D$127=10,R137,IF($D$127=12,R137,IF($D$127=14,R138,IF($D$127=18,R138,IF($D$127=20,R138,IF($D$127=22,R138,)))))))))</f>
        <v>0.231</v>
      </c>
      <c r="F147" s="131" t="str">
        <f aca="false">IF($D$127=5,S136,IF($D$127=6,S136,IF($D$127=8,S137,IF($D$127=10,S137,IF($D$127=12,S137,IF($D$127=14,S138,IF($D$127=18,S138,IF($D$127=20,S138,IF($D$127=22,S138,)))))))))</f>
        <v>B24008-002</v>
      </c>
      <c r="G147" s="130" t="n">
        <f aca="false">IF($D$127=5,T136,IF($D$127=6,T136,IF($D$127=8,T137,IF($D$127=10,T137,IF($D$127=12,T137,IF($D$127=14,T138,IF($D$127=18,T138,IF($D$127=20,T138,IF($D$127=22,T138,)))))))))</f>
        <v>10</v>
      </c>
      <c r="H147" s="130" t="str">
        <f aca="false">IF($D$127=5,U136,IF($D$127=6,U136,IF($D$127=8,U137,IF($D$127=10,U137,IF($D$127=12,U137,IF($D$127=14,U138,IF($D$127=18,U138,IF($D$127=20,U138,IF($D$127=22,U138,)))))))))</f>
        <v>H-242</v>
      </c>
      <c r="I147" s="133" t="n">
        <f aca="false">IF($D$127=5,V136,IF($D$127=6,V136,IF($D$127=8,V137,IF($D$127=10,V137,IF($D$127=12,V137,IF($D$127=14,V138,IF($D$127=18,V138,IF($D$127=20,V138,IF($D$127=22,V138,)))))))))</f>
        <v>2458</v>
      </c>
      <c r="J147" s="134" t="n">
        <f aca="false">$J$120*G147</f>
        <v>10</v>
      </c>
    </row>
    <row r="148" s="96" customFormat="true" ht="18" hidden="false" customHeight="true" outlineLevel="0" collapsed="false">
      <c r="A148" s="130" t="str">
        <f aca="false">IF(B148="","",+A147+1)</f>
        <v/>
      </c>
      <c r="B148" s="131"/>
      <c r="C148" s="131"/>
      <c r="D148" s="132"/>
      <c r="E148" s="130"/>
      <c r="F148" s="132"/>
      <c r="G148" s="130"/>
      <c r="H148" s="130"/>
      <c r="I148" s="133"/>
      <c r="J148" s="134" t="n">
        <f aca="false">$J$120*G148</f>
        <v>0</v>
      </c>
    </row>
    <row r="149" s="96" customFormat="true" ht="18" hidden="false" customHeight="true" outlineLevel="0" collapsed="false">
      <c r="A149" s="130" t="str">
        <f aca="false">IF(B149="","",+A148+1)</f>
        <v/>
      </c>
      <c r="B149" s="131"/>
      <c r="C149" s="131"/>
      <c r="D149" s="132"/>
      <c r="E149" s="130"/>
      <c r="F149" s="132"/>
      <c r="G149" s="130"/>
      <c r="H149" s="130"/>
      <c r="I149" s="133"/>
      <c r="J149" s="134" t="n">
        <f aca="false">$J$120*G149</f>
        <v>0</v>
      </c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33"/>
      <c r="J150" s="134"/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33"/>
      <c r="J151" s="134" t="n">
        <f aca="false">$J$120*G151</f>
        <v>0</v>
      </c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2690</v>
      </c>
      <c r="G155" s="155" t="n">
        <f aca="false">VLOOKUP(C155,$C$133:$J$153,8,0)</f>
        <v>1</v>
      </c>
      <c r="H155" s="264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VLOOKUP(C156,$C$133:$I$153,7,0)</f>
        <v>2664</v>
      </c>
      <c r="G156" s="155" t="n">
        <f aca="false">VLOOKUP(C156,$C$133:$J$153,8,0)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VLOOKUP(C157,$C$133:$I$153,7,0)</f>
        <v>2690</v>
      </c>
      <c r="G157" s="155" t="n">
        <f aca="false">VLOOKUP(C157,$C$133:$J$153,8,0)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VLOOKUP(C158,$C$133:$I$153,7,0)</f>
        <v>2690</v>
      </c>
      <c r="G158" s="155" t="n">
        <f aca="false">VLOOKUP(C158,$C$133:$J$153,8,0)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VLOOKUP(C159,$C$133:$I$153,7,0)</f>
        <v>2700</v>
      </c>
      <c r="G159" s="155" t="n">
        <f aca="false">VLOOKUP(C159,$C$133:$J$153,8,0)</f>
        <v>1</v>
      </c>
      <c r="H159" s="160" t="n">
        <f aca="false">ROUNDUP(((F159*G159)+(F160*G160))/6400,0)</f>
        <v>1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VLOOKUP(C160,$C$133:$I$153,7,0)</f>
        <v>2700</v>
      </c>
      <c r="G160" s="155" t="n">
        <f aca="false">VLOOKUP(C160,$C$133:$J$153,8,0)</f>
        <v>1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VLOOKUP(C161,$C$133:$I$153,7,0)</f>
        <v>2604</v>
      </c>
      <c r="G161" s="155" t="n">
        <f aca="false">VLOOKUP(C161,$C$133:$J$153,8,0)</f>
        <v>1</v>
      </c>
      <c r="H161" s="160" t="n">
        <f aca="false">ROUNDUP(((F161*G161)+(F162*G162))/6400,0)</f>
        <v>1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155" t="n">
        <f aca="false">VLOOKUP(C162,$C$133:$H$153,3,0)</f>
        <v>0.235</v>
      </c>
      <c r="F162" s="263" t="n">
        <f aca="false">VLOOKUP(C162,$C$133:$I$153,7,0)</f>
        <v>2604</v>
      </c>
      <c r="G162" s="155" t="n">
        <f aca="false">VLOOKUP(C162,$C$133:$J$153,8,0)</f>
        <v>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155" t="n">
        <f aca="false">VLOOKUP(C163,$C$133:$H$153,3,0)</f>
        <v>1.106</v>
      </c>
      <c r="F163" s="267" t="n">
        <f aca="false">VLOOKUP(C163,$C$133:$I$153,7,0)</f>
        <v>533.2</v>
      </c>
      <c r="G163" s="155" t="n">
        <f aca="false">VLOOKUP(C163,$C$133:$J$153,8,0)</f>
        <v>5</v>
      </c>
      <c r="H163" s="306" t="n">
        <f aca="false">ROUNDUP(((F163*G163)+(F164*G164)+(F165*G165)+(F166*G166)+(F167*G167))/6400,0)</f>
        <v>5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155" t="n">
        <f aca="false">VLOOKUP(C164,$C$133:$H$153,3,0)</f>
        <v>1.106</v>
      </c>
      <c r="F164" s="267" t="n">
        <f aca="false">VLOOKUP(C164,$C$133:$I$153,7,0)</f>
        <v>533.2</v>
      </c>
      <c r="G164" s="155" t="n">
        <f aca="false">VLOOKUP(C164,$C$133:$J$153,8,0)</f>
        <v>5</v>
      </c>
      <c r="H164" s="306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155" t="n">
        <f aca="false">VLOOKUP(C165,$C$133:$H$153,3,0)</f>
        <v>1.106</v>
      </c>
      <c r="F165" s="263" t="n">
        <f aca="false">VLOOKUP(C165,$C$133:$I$153,7,0)</f>
        <v>2608</v>
      </c>
      <c r="G165" s="155" t="n">
        <f aca="false">VLOOKUP(C165,$C$133:$J$153,8,0)</f>
        <v>7</v>
      </c>
      <c r="H165" s="306"/>
      <c r="I165" s="161"/>
      <c r="J165" s="161"/>
    </row>
    <row r="166" s="96" customFormat="true" ht="13.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155" t="n">
        <f aca="false">VLOOKUP(C166,$C$133:$H$153,3,0)</f>
        <v>1.106</v>
      </c>
      <c r="F166" s="263" t="n">
        <f aca="false">VLOOKUP(C166,$C$133:$I$153,7,0)</f>
        <v>2608</v>
      </c>
      <c r="G166" s="155" t="n">
        <f aca="false">VLOOKUP(C166,$C$133:$J$153,8,0)</f>
        <v>2</v>
      </c>
      <c r="H166" s="306"/>
      <c r="I166" s="161"/>
      <c r="J166" s="161"/>
    </row>
    <row r="167" s="96" customFormat="true" ht="15" hidden="false" customHeight="true" outlineLevel="1" collapsed="false">
      <c r="A167" s="158" t="n">
        <f aca="false">IF(B167="","",+A166+1)</f>
        <v>13</v>
      </c>
      <c r="B167" s="153" t="str">
        <f aca="false">B145</f>
        <v>เสากุญแจมือจับ</v>
      </c>
      <c r="C167" s="153" t="str">
        <f aca="false">C145</f>
        <v>SASH (Ver) LOCK HANDLE</v>
      </c>
      <c r="D167" s="159"/>
      <c r="E167" s="155" t="n">
        <f aca="false">VLOOKUP(C167,$C$133:$H$153,3,0)</f>
        <v>1.106</v>
      </c>
      <c r="F167" s="263" t="n">
        <f aca="false">VLOOKUP(C167,$C$133:$I$153,7,0)</f>
        <v>2608</v>
      </c>
      <c r="G167" s="155" t="n">
        <f aca="false">VLOOKUP(C167,$C$133:$J$153,8,0)</f>
        <v>1</v>
      </c>
      <c r="H167" s="306"/>
      <c r="I167" s="161"/>
      <c r="J167" s="161"/>
    </row>
    <row r="168" s="96" customFormat="true" ht="13.5" hidden="false" customHeight="true" outlineLevel="1" collapsed="false">
      <c r="A168" s="158" t="n">
        <f aca="false">IF(B168="","",+A167+1)</f>
        <v>14</v>
      </c>
      <c r="B168" s="153" t="str">
        <f aca="false">B146</f>
        <v>5-6mm คิ้วตบกระจกแนวนอน</v>
      </c>
      <c r="C168" s="153" t="str">
        <f aca="false">C146</f>
        <v>5-6mm GLAZING BEAD HORIZONTAL</v>
      </c>
      <c r="D168" s="163" t="str">
        <f aca="false">VLOOKUP(C168,$C$133:$H$153,2,0)</f>
        <v>B24008</v>
      </c>
      <c r="E168" s="155" t="n">
        <f aca="false">VLOOKUP(C168,$C$133:$H$153,3,0)</f>
        <v>0.231</v>
      </c>
      <c r="F168" s="263" t="n">
        <f aca="false">VLOOKUP(C168,$C$133:$I$153,7,0)</f>
        <v>423</v>
      </c>
      <c r="G168" s="155" t="n">
        <f aca="false">VLOOKUP(C168,$C$133:$J$153,8,0)</f>
        <v>10</v>
      </c>
      <c r="H168" s="160" t="n">
        <f aca="false">ROUNDUP(((F168*G168)+(F169*G169))/6400,0)</f>
        <v>5</v>
      </c>
      <c r="I168" s="265"/>
      <c r="J168" s="265"/>
    </row>
    <row r="169" s="96" customFormat="true" ht="14.25" hidden="false" customHeight="false" outlineLevel="1" collapsed="false">
      <c r="A169" s="158" t="n">
        <f aca="false">IF(B169="","",+A168+1)</f>
        <v>15</v>
      </c>
      <c r="B169" s="153" t="str">
        <f aca="false">B147</f>
        <v>5-6mm คิ้วตบกระจกแนวตั้ง</v>
      </c>
      <c r="C169" s="153" t="str">
        <f aca="false">C147</f>
        <v>5-6mm GLAZING BEAD VERTICAL</v>
      </c>
      <c r="D169" s="163"/>
      <c r="E169" s="155" t="n">
        <f aca="false">VLOOKUP(C169,$C$133:$H$153,3,0)</f>
        <v>0.231</v>
      </c>
      <c r="F169" s="263" t="n">
        <f aca="false">VLOOKUP(C169,$C$133:$I$153,7,0)</f>
        <v>2458</v>
      </c>
      <c r="G169" s="155" t="n">
        <f aca="false">VLOOKUP(C169,$C$133:$J$153,8,0)</f>
        <v>10</v>
      </c>
      <c r="H169" s="160"/>
      <c r="I169" s="196"/>
      <c r="J169" s="196"/>
    </row>
    <row r="170" s="96" customFormat="true" ht="24.75" hidden="false" customHeight="true" outlineLevel="0" collapsed="false">
      <c r="A170" s="113" t="s">
        <v>396</v>
      </c>
      <c r="B170" s="113"/>
      <c r="C170" s="113"/>
      <c r="D170" s="113"/>
      <c r="E170" s="113"/>
      <c r="F170" s="113"/>
      <c r="G170" s="113"/>
      <c r="H170" s="113"/>
      <c r="I170" s="113"/>
      <c r="J170" s="113"/>
    </row>
    <row r="171" s="96" customFormat="true" ht="34.5" hidden="false" customHeight="true" outlineLevel="0" collapsed="false">
      <c r="A171" s="114" t="s">
        <v>319</v>
      </c>
      <c r="B171" s="115" t="s">
        <v>320</v>
      </c>
      <c r="C171" s="115" t="s">
        <v>168</v>
      </c>
      <c r="D171" s="115" t="s">
        <v>397</v>
      </c>
      <c r="E171" s="115" t="s">
        <v>321</v>
      </c>
      <c r="F171" s="116" t="s">
        <v>398</v>
      </c>
      <c r="G171" s="115" t="s">
        <v>399</v>
      </c>
      <c r="H171" s="116" t="s">
        <v>400</v>
      </c>
      <c r="I171" s="116" t="s">
        <v>401</v>
      </c>
      <c r="J171" s="117" t="s">
        <v>402</v>
      </c>
      <c r="N171" s="107" t="s">
        <v>288</v>
      </c>
      <c r="O171" s="165" t="s">
        <v>320</v>
      </c>
      <c r="P171" s="165" t="s">
        <v>168</v>
      </c>
      <c r="Q171" s="165" t="s">
        <v>397</v>
      </c>
      <c r="R171" s="165" t="s">
        <v>321</v>
      </c>
      <c r="S171" s="165" t="s">
        <v>398</v>
      </c>
      <c r="T171" s="165" t="s">
        <v>399</v>
      </c>
      <c r="U171" s="165" t="s">
        <v>400</v>
      </c>
      <c r="V171" s="165" t="s">
        <v>401</v>
      </c>
      <c r="W171" s="165" t="s">
        <v>402</v>
      </c>
    </row>
    <row r="172" s="96" customFormat="true" ht="18" hidden="false" customHeight="true" outlineLevel="0" collapsed="false">
      <c r="A172" s="166" t="n">
        <f aca="false">IF(B172="","",1)</f>
        <v>1</v>
      </c>
      <c r="B172" s="131" t="s">
        <v>410</v>
      </c>
      <c r="C172" s="131" t="s">
        <v>411</v>
      </c>
      <c r="D172" s="132" t="s">
        <v>267</v>
      </c>
      <c r="E172" s="130"/>
      <c r="F172" s="130" t="s">
        <v>267</v>
      </c>
      <c r="G172" s="130" t="s">
        <v>405</v>
      </c>
      <c r="H172" s="130" t="n">
        <v>10</v>
      </c>
      <c r="I172" s="305"/>
      <c r="J172" s="134" t="n">
        <f aca="false">$J$120*H172</f>
        <v>10</v>
      </c>
      <c r="N172" s="107" t="s">
        <v>406</v>
      </c>
      <c r="O172" s="55" t="s">
        <v>407</v>
      </c>
      <c r="P172" s="62" t="s">
        <v>408</v>
      </c>
      <c r="Q172" s="55" t="s">
        <v>227</v>
      </c>
      <c r="R172" s="158"/>
      <c r="S172" s="158" t="s">
        <v>227</v>
      </c>
      <c r="T172" s="158" t="s">
        <v>409</v>
      </c>
      <c r="U172" s="168" t="n">
        <f aca="false">((($I$141*$G$141)+($I$142*$G$142)+($I$143*$G$143)+($I$144*$G$144)+($I$145*$G$145))/1000)*$J$120</f>
        <v>31.412</v>
      </c>
      <c r="V172" s="168" t="n">
        <v>100</v>
      </c>
      <c r="W172" s="169" t="n">
        <f aca="false">ROUNDUP((U172)/100,0)</f>
        <v>1</v>
      </c>
    </row>
    <row r="173" s="96" customFormat="true" ht="18" hidden="false" customHeight="true" outlineLevel="0" collapsed="false">
      <c r="A173" s="170" t="n">
        <f aca="false">IF(B173="","",+A172+1)</f>
        <v>2</v>
      </c>
      <c r="B173" s="131" t="s">
        <v>415</v>
      </c>
      <c r="C173" s="131" t="s">
        <v>416</v>
      </c>
      <c r="D173" s="132" t="s">
        <v>222</v>
      </c>
      <c r="E173" s="130"/>
      <c r="F173" s="130" t="s">
        <v>222</v>
      </c>
      <c r="G173" s="130" t="s">
        <v>405</v>
      </c>
      <c r="H173" s="130" t="n">
        <v>2</v>
      </c>
      <c r="I173" s="305"/>
      <c r="J173" s="134" t="n">
        <f aca="false">$J$120*H173</f>
        <v>2</v>
      </c>
      <c r="N173" s="107" t="s">
        <v>412</v>
      </c>
      <c r="O173" s="55" t="s">
        <v>413</v>
      </c>
      <c r="P173" s="62" t="s">
        <v>414</v>
      </c>
      <c r="Q173" s="55" t="s">
        <v>234</v>
      </c>
      <c r="R173" s="158"/>
      <c r="S173" s="158" t="s">
        <v>234</v>
      </c>
      <c r="T173" s="158" t="s">
        <v>409</v>
      </c>
      <c r="U173" s="168" t="n">
        <f aca="false">((($I$141*$G$141)+($I$142*$G$142)+($I$143*$G$143)+($I$144*$G$144)+($I$145*$G$145))/1000)*$J$120</f>
        <v>31.412</v>
      </c>
      <c r="V173" s="168" t="n">
        <v>100</v>
      </c>
      <c r="W173" s="169" t="n">
        <f aca="false">ROUNDUP((U173)/100,0)</f>
        <v>1</v>
      </c>
    </row>
    <row r="174" s="96" customFormat="true" ht="18" hidden="false" customHeight="true" outlineLevel="0" collapsed="false">
      <c r="A174" s="170" t="n">
        <f aca="false">IF(B174="","",+A173+1)</f>
        <v>3</v>
      </c>
      <c r="B174" s="131" t="s">
        <v>420</v>
      </c>
      <c r="C174" s="131" t="s">
        <v>421</v>
      </c>
      <c r="D174" s="132" t="s">
        <v>225</v>
      </c>
      <c r="E174" s="130"/>
      <c r="F174" s="130" t="s">
        <v>225</v>
      </c>
      <c r="G174" s="130" t="s">
        <v>405</v>
      </c>
      <c r="H174" s="130" t="n">
        <v>2</v>
      </c>
      <c r="I174" s="133"/>
      <c r="J174" s="134" t="n">
        <f aca="false">$J$120*H174</f>
        <v>2</v>
      </c>
      <c r="N174" s="107" t="s">
        <v>417</v>
      </c>
      <c r="O174" s="62" t="s">
        <v>418</v>
      </c>
      <c r="P174" s="62" t="s">
        <v>419</v>
      </c>
      <c r="Q174" s="55" t="s">
        <v>236</v>
      </c>
      <c r="R174" s="158"/>
      <c r="S174" s="158" t="s">
        <v>236</v>
      </c>
      <c r="T174" s="158" t="s">
        <v>409</v>
      </c>
      <c r="U174" s="168" t="n">
        <f aca="false">((($I$141*$G$141)+($I$142*$G$142)+($I$143*$G$143)+($I$144*$G$144)+($I$145*$G$145))/1000)*$J$120</f>
        <v>31.412</v>
      </c>
      <c r="V174" s="168" t="n">
        <v>100</v>
      </c>
      <c r="W174" s="169" t="n">
        <f aca="false">ROUNDUP((U174)/100,0)</f>
        <v>1</v>
      </c>
    </row>
    <row r="175" s="96" customFormat="true" ht="18" hidden="false" customHeight="true" outlineLevel="0" collapsed="false">
      <c r="A175" s="170" t="n">
        <f aca="false">IF(B175="","",+A174+1)</f>
        <v>4</v>
      </c>
      <c r="B175" s="131" t="s">
        <v>425</v>
      </c>
      <c r="C175" s="131" t="s">
        <v>426</v>
      </c>
      <c r="D175" s="132" t="n">
        <v>9</v>
      </c>
      <c r="E175" s="130"/>
      <c r="F175" s="130" t="n">
        <v>9</v>
      </c>
      <c r="G175" s="130" t="s">
        <v>405</v>
      </c>
      <c r="H175" s="130" t="n">
        <v>8</v>
      </c>
      <c r="I175" s="133"/>
      <c r="J175" s="134" t="n">
        <f aca="false">$J$120*H175</f>
        <v>8</v>
      </c>
      <c r="N175" s="107" t="s">
        <v>422</v>
      </c>
      <c r="O175" s="62" t="s">
        <v>423</v>
      </c>
      <c r="P175" s="62" t="s">
        <v>424</v>
      </c>
      <c r="Q175" s="55" t="s">
        <v>238</v>
      </c>
      <c r="R175" s="158"/>
      <c r="S175" s="158" t="s">
        <v>238</v>
      </c>
      <c r="T175" s="158" t="s">
        <v>409</v>
      </c>
      <c r="U175" s="168" t="n">
        <f aca="false">((($I$141*$G$141)+($I$142*$G$142)+($I$143*$G$143)+($I$144*$G$144)+($I$145*$G$145))/1000)*$J$120</f>
        <v>31.412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5</v>
      </c>
      <c r="B176" s="131" t="s">
        <v>430</v>
      </c>
      <c r="C176" s="131" t="s">
        <v>431</v>
      </c>
      <c r="D176" s="132" t="n">
        <v>9</v>
      </c>
      <c r="E176" s="130"/>
      <c r="F176" s="130" t="n">
        <v>9</v>
      </c>
      <c r="G176" s="130" t="s">
        <v>405</v>
      </c>
      <c r="H176" s="130" t="n">
        <v>110</v>
      </c>
      <c r="I176" s="133"/>
      <c r="J176" s="134" t="n">
        <f aca="false">$J$120*H176</f>
        <v>110</v>
      </c>
      <c r="N176" s="107" t="s">
        <v>427</v>
      </c>
      <c r="O176" s="62" t="s">
        <v>428</v>
      </c>
      <c r="P176" s="62" t="s">
        <v>429</v>
      </c>
      <c r="Q176" s="55" t="s">
        <v>240</v>
      </c>
      <c r="R176" s="158"/>
      <c r="S176" s="158" t="s">
        <v>240</v>
      </c>
      <c r="T176" s="158" t="s">
        <v>409</v>
      </c>
      <c r="U176" s="168" t="n">
        <f aca="false">((($I$141*$G$141)+($I$142*$G$142)+($I$143*$G$143)+($I$144*$G$144)+($I$145*$G$145))/1000)*$J$120</f>
        <v>31.412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6</v>
      </c>
      <c r="B177" s="131" t="s">
        <v>512</v>
      </c>
      <c r="C177" s="131" t="s">
        <v>513</v>
      </c>
      <c r="D177" s="132" t="s">
        <v>7</v>
      </c>
      <c r="E177" s="130"/>
      <c r="F177" s="130" t="s">
        <v>7</v>
      </c>
      <c r="G177" s="130" t="s">
        <v>434</v>
      </c>
      <c r="H177" s="130" t="n">
        <v>1</v>
      </c>
      <c r="I177" s="133"/>
      <c r="J177" s="134" t="n">
        <f aca="false">$J$120*H177</f>
        <v>1</v>
      </c>
    </row>
    <row r="178" s="96" customFormat="true" ht="18" hidden="false" customHeight="true" outlineLevel="0" collapsed="false">
      <c r="A178" s="170" t="n">
        <f aca="false">IF(B178="","",+A177+1)</f>
        <v>7</v>
      </c>
      <c r="B178" s="131" t="s">
        <v>437</v>
      </c>
      <c r="C178" s="131" t="s">
        <v>438</v>
      </c>
      <c r="D178" s="132" t="s">
        <v>4</v>
      </c>
      <c r="E178" s="130"/>
      <c r="F178" s="130" t="s">
        <v>4</v>
      </c>
      <c r="G178" s="130" t="s">
        <v>434</v>
      </c>
      <c r="H178" s="130" t="n">
        <v>1</v>
      </c>
      <c r="I178" s="133"/>
      <c r="J178" s="134" t="n">
        <f aca="false">$J$120*H178</f>
        <v>1</v>
      </c>
    </row>
    <row r="179" s="96" customFormat="true" ht="18" hidden="false" customHeight="true" outlineLevel="0" collapsed="false">
      <c r="A179" s="170" t="n">
        <f aca="false">IF(B179="","",+A178+1)</f>
        <v>8</v>
      </c>
      <c r="B179" s="131" t="s">
        <v>554</v>
      </c>
      <c r="C179" s="131" t="s">
        <v>555</v>
      </c>
      <c r="D179" s="132" t="s">
        <v>11</v>
      </c>
      <c r="E179" s="130"/>
      <c r="F179" s="130" t="s">
        <v>11</v>
      </c>
      <c r="G179" s="130" t="s">
        <v>434</v>
      </c>
      <c r="H179" s="130" t="n">
        <v>2</v>
      </c>
      <c r="I179" s="133"/>
      <c r="J179" s="134" t="n">
        <f aca="false">$J$120*H179</f>
        <v>2</v>
      </c>
    </row>
    <row r="180" s="96" customFormat="true" ht="18" hidden="false" customHeight="true" outlineLevel="0" collapsed="false">
      <c r="A180" s="170" t="n">
        <f aca="false">IF(B180="","",+A179+1)</f>
        <v>9</v>
      </c>
      <c r="B180" s="131" t="s">
        <v>556</v>
      </c>
      <c r="C180" s="131" t="s">
        <v>557</v>
      </c>
      <c r="D180" s="132" t="s">
        <v>5</v>
      </c>
      <c r="E180" s="130"/>
      <c r="F180" s="130" t="s">
        <v>5</v>
      </c>
      <c r="G180" s="130" t="s">
        <v>434</v>
      </c>
      <c r="H180" s="130" t="n">
        <v>1</v>
      </c>
      <c r="I180" s="133"/>
      <c r="J180" s="134" t="n">
        <f aca="false">$J$120*H180</f>
        <v>1</v>
      </c>
    </row>
    <row r="181" s="96" customFormat="true" ht="18" hidden="false" customHeight="true" outlineLevel="0" collapsed="false">
      <c r="A181" s="170" t="n">
        <f aca="false">IF(B181="","",+A180+1)</f>
        <v>10</v>
      </c>
      <c r="B181" s="131" t="s">
        <v>439</v>
      </c>
      <c r="C181" s="131" t="s">
        <v>440</v>
      </c>
      <c r="D181" s="132" t="s">
        <v>12</v>
      </c>
      <c r="E181" s="130"/>
      <c r="F181" s="130" t="s">
        <v>12</v>
      </c>
      <c r="G181" s="130" t="s">
        <v>434</v>
      </c>
      <c r="H181" s="130" t="n">
        <v>2</v>
      </c>
      <c r="I181" s="133"/>
      <c r="J181" s="134" t="n">
        <f aca="false">$J$120*H181</f>
        <v>2</v>
      </c>
      <c r="Q181" s="172"/>
      <c r="R181" s="172"/>
      <c r="S181" s="172"/>
      <c r="T181" s="97"/>
      <c r="U181" s="97"/>
      <c r="V181" s="97"/>
    </row>
    <row r="182" s="96" customFormat="true" ht="18" hidden="false" customHeight="true" outlineLevel="0" collapsed="false">
      <c r="A182" s="170" t="n">
        <f aca="false">IF(B182="","",+A181+1)</f>
        <v>11</v>
      </c>
      <c r="B182" s="131" t="s">
        <v>540</v>
      </c>
      <c r="C182" s="131" t="s">
        <v>541</v>
      </c>
      <c r="D182" s="132" t="s">
        <v>542</v>
      </c>
      <c r="E182" s="130"/>
      <c r="F182" s="130" t="s">
        <v>542</v>
      </c>
      <c r="G182" s="130" t="s">
        <v>434</v>
      </c>
      <c r="H182" s="130" t="n">
        <v>1</v>
      </c>
      <c r="I182" s="142"/>
      <c r="J182" s="134" t="n">
        <f aca="false">$J$120*H182</f>
        <v>1</v>
      </c>
      <c r="N182" s="107" t="s">
        <v>289</v>
      </c>
      <c r="O182" s="165" t="s">
        <v>320</v>
      </c>
      <c r="P182" s="165" t="s">
        <v>168</v>
      </c>
      <c r="Q182" s="165" t="s">
        <v>397</v>
      </c>
      <c r="R182" s="165" t="s">
        <v>321</v>
      </c>
      <c r="S182" s="165" t="s">
        <v>398</v>
      </c>
      <c r="T182" s="165" t="s">
        <v>399</v>
      </c>
      <c r="U182" s="165" t="s">
        <v>400</v>
      </c>
      <c r="V182" s="165" t="s">
        <v>401</v>
      </c>
      <c r="W182" s="165" t="s">
        <v>402</v>
      </c>
    </row>
    <row r="183" s="96" customFormat="true" ht="18" hidden="false" customHeight="true" outlineLevel="0" collapsed="false">
      <c r="A183" s="170" t="n">
        <f aca="false">IF(B183="","",+A182+1)</f>
        <v>12</v>
      </c>
      <c r="B183" s="131" t="s">
        <v>441</v>
      </c>
      <c r="C183" s="131" t="s">
        <v>442</v>
      </c>
      <c r="D183" s="132" t="s">
        <v>274</v>
      </c>
      <c r="E183" s="130"/>
      <c r="F183" s="130" t="s">
        <v>274</v>
      </c>
      <c r="G183" s="130" t="s">
        <v>405</v>
      </c>
      <c r="H183" s="130" t="n">
        <v>4</v>
      </c>
      <c r="I183" s="142"/>
      <c r="J183" s="134" t="n">
        <f aca="false">$J$120*H183</f>
        <v>4</v>
      </c>
      <c r="N183" s="107" t="s">
        <v>445</v>
      </c>
      <c r="O183" s="62" t="s">
        <v>446</v>
      </c>
      <c r="P183" s="62" t="s">
        <v>447</v>
      </c>
      <c r="Q183" s="55" t="s">
        <v>230</v>
      </c>
      <c r="R183" s="158"/>
      <c r="S183" s="158" t="s">
        <v>230</v>
      </c>
      <c r="T183" s="158" t="s">
        <v>409</v>
      </c>
      <c r="U183" s="168" t="n">
        <f aca="false">((($I$134*$G$134)+($I$136*$G$136)+($I$139*$G$139))/1000)*$J$120</f>
        <v>7.958</v>
      </c>
      <c r="V183" s="168" t="n">
        <v>300</v>
      </c>
      <c r="W183" s="169" t="n">
        <f aca="false">ROUNDUP((U183)/V183,0)</f>
        <v>1</v>
      </c>
    </row>
    <row r="184" s="96" customFormat="true" ht="18" hidden="false" customHeight="true" outlineLevel="0" collapsed="false">
      <c r="A184" s="170" t="n">
        <f aca="false">IF(B184="","",+A183+1)</f>
        <v>13</v>
      </c>
      <c r="B184" s="131" t="s">
        <v>443</v>
      </c>
      <c r="C184" s="131" t="s">
        <v>444</v>
      </c>
      <c r="D184" s="132" t="s">
        <v>272</v>
      </c>
      <c r="E184" s="130"/>
      <c r="F184" s="130" t="s">
        <v>272</v>
      </c>
      <c r="G184" s="130" t="s">
        <v>405</v>
      </c>
      <c r="H184" s="130" t="n">
        <v>1</v>
      </c>
      <c r="I184" s="142"/>
      <c r="J184" s="134" t="n">
        <f aca="false">$J$120*H184</f>
        <v>1</v>
      </c>
      <c r="N184" s="107" t="s">
        <v>448</v>
      </c>
      <c r="O184" s="62" t="s">
        <v>449</v>
      </c>
      <c r="P184" s="62" t="s">
        <v>450</v>
      </c>
      <c r="Q184" s="55" t="s">
        <v>451</v>
      </c>
      <c r="R184" s="158"/>
      <c r="S184" s="158" t="s">
        <v>451</v>
      </c>
      <c r="T184" s="158" t="s">
        <v>409</v>
      </c>
      <c r="U184" s="168" t="n">
        <f aca="false">((($I$134*$G$134)+($I$136*$G$136)+($I$139*$G$139))/1000)*$J$120</f>
        <v>7.958</v>
      </c>
      <c r="V184" s="168" t="n">
        <v>100</v>
      </c>
      <c r="W184" s="169" t="n">
        <f aca="false">ROUNDUP((U184)/V184,0)</f>
        <v>1</v>
      </c>
    </row>
    <row r="185" s="96" customFormat="true" ht="18" hidden="false" customHeight="true" outlineLevel="0" collapsed="false">
      <c r="A185" s="170" t="n">
        <f aca="false">IF(B185="","",+A184+1)</f>
        <v>14</v>
      </c>
      <c r="B185" s="131" t="s">
        <v>403</v>
      </c>
      <c r="C185" s="131" t="s">
        <v>404</v>
      </c>
      <c r="D185" s="132" t="s">
        <v>276</v>
      </c>
      <c r="E185" s="130"/>
      <c r="F185" s="130" t="s">
        <v>276</v>
      </c>
      <c r="G185" s="130" t="s">
        <v>405</v>
      </c>
      <c r="H185" s="130" t="n">
        <v>2</v>
      </c>
      <c r="I185" s="142"/>
      <c r="J185" s="134" t="n">
        <f aca="false">$J$120*H185</f>
        <v>2</v>
      </c>
      <c r="N185" s="107" t="s">
        <v>445</v>
      </c>
      <c r="O185" s="62" t="s">
        <v>452</v>
      </c>
      <c r="P185" s="62" t="s">
        <v>453</v>
      </c>
      <c r="Q185" s="55" t="s">
        <v>232</v>
      </c>
      <c r="R185" s="158"/>
      <c r="S185" s="158" t="s">
        <v>232</v>
      </c>
      <c r="T185" s="158" t="s">
        <v>409</v>
      </c>
      <c r="U185" s="168" t="n">
        <f aca="false">((($I$141*$G$141*2)+($I$143*$G$143*2)+($I$144*$G$144))/1000)*$J$120</f>
        <v>47.06</v>
      </c>
      <c r="V185" s="168" t="n">
        <v>350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15</v>
      </c>
      <c r="B186" s="132" t="str">
        <f aca="false">IF($D$129="Standard",$O$183,IF($D$129="Soumdproof",$O$184,))</f>
        <v>ยางเฟรมกันน้ำ (ธรรมดา)</v>
      </c>
      <c r="C186" s="132" t="str">
        <f aca="false">IF($D$129="Standard",$P$183,IF($D$129="Soumdproof",$P$184,))</f>
        <v>FRAME SEAL (Standard)</v>
      </c>
      <c r="D186" s="132" t="str">
        <f aca="false">IF($D$129="Standard",$Q$183,IF($D$129="Soumdproof",$Q$184,))</f>
        <v>02-026</v>
      </c>
      <c r="E186" s="130" t="n">
        <f aca="false">IF($D$129="Standard",R184,IF($D$129="Soumdproof",R185,))</f>
        <v>0</v>
      </c>
      <c r="F186" s="130" t="str">
        <f aca="false">IF($D$129="Standard",$S$183,IF($D$129="Soumdproof",$S$184,))</f>
        <v>02-026</v>
      </c>
      <c r="G186" s="130" t="str">
        <f aca="false">IF($D$129="Standard",$T$183,IF($D$129="Soumdproof",$T$184,))</f>
        <v>M</v>
      </c>
      <c r="H186" s="173" t="n">
        <f aca="false">IF($D$129="Standard",$U$183,IF($D$129="Soumdproof",$U$184,))</f>
        <v>7.958</v>
      </c>
      <c r="I186" s="174" t="n">
        <f aca="false">IF($D$129="Standard",$V$183,IF($D$129="Soumdproof",$V$184,))</f>
        <v>300</v>
      </c>
      <c r="J186" s="175" t="n">
        <f aca="false">ROUNDUP((H186)/100,0)</f>
        <v>1</v>
      </c>
      <c r="N186" s="107" t="s">
        <v>448</v>
      </c>
      <c r="O186" s="62" t="s">
        <v>454</v>
      </c>
      <c r="P186" s="62" t="s">
        <v>455</v>
      </c>
      <c r="Q186" s="55" t="s">
        <v>456</v>
      </c>
      <c r="R186" s="158"/>
      <c r="S186" s="158" t="s">
        <v>456</v>
      </c>
      <c r="T186" s="158" t="s">
        <v>409</v>
      </c>
      <c r="U186" s="168" t="n">
        <f aca="false">((($I$141*$G$141*2)+($I$143*$G$143*2)+($I$144*$G$144))/1000)*$J$120</f>
        <v>47.06</v>
      </c>
      <c r="V186" s="168" t="n">
        <v>100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16</v>
      </c>
      <c r="B187" s="132" t="str">
        <f aca="false">IF($D$129="Standard",$O$185,IF($D$129="Soumdproof",$O$186,))</f>
        <v>ยางแซชกันน้ำ (ธรรมดา)</v>
      </c>
      <c r="C187" s="132" t="str">
        <f aca="false">IF($D$129="Standard",$P$185,IF($D$129="Soumdproof",$P$186,))</f>
        <v>SASH SEAL FOAM (Standard)</v>
      </c>
      <c r="D187" s="132" t="str">
        <f aca="false">IF($D$129="Standard",$Q$185,IF($D$129="Soumdproof",$Q$186,))</f>
        <v>02-031</v>
      </c>
      <c r="E187" s="130" t="n">
        <f aca="false">IF($D$129="Standard",R186,IF($D$129="Soumdproof",R187,))</f>
        <v>0</v>
      </c>
      <c r="F187" s="130" t="str">
        <f aca="false">IF($D$129="Standard",$S$185,IF($D$129="Soumdproof",$S$186,))</f>
        <v>02-031</v>
      </c>
      <c r="G187" s="130" t="str">
        <f aca="false">IF($D$129="Standard",$T$185,IF($D$129="Soumdproof",$T$186,))</f>
        <v>M</v>
      </c>
      <c r="H187" s="173" t="n">
        <f aca="false">IF($D$129="Standard",$U$185,IF($D$129="Soumdproof",$U$186,))</f>
        <v>47.06</v>
      </c>
      <c r="I187" s="174" t="n">
        <f aca="false">IF($D$129="Standard",$V$185,IF($D$129="Soumdproof",$V$186,))</f>
        <v>350</v>
      </c>
      <c r="J187" s="175" t="n">
        <f aca="false">ROUNDUP((H187)/100,0)</f>
        <v>1</v>
      </c>
    </row>
    <row r="188" s="96" customFormat="true" ht="18" hidden="false" customHeight="true" outlineLevel="0" collapsed="false">
      <c r="A188" s="170" t="n">
        <f aca="false">IF(B188="","",+A187+1)</f>
        <v>17</v>
      </c>
      <c r="B188" s="176" t="str">
        <f aca="false">IF($D$127=5,$O$174,IF($D$127=6,$O$175,IF($D$127=8,$O$176,IF($D$127=10,$O$174,IF($D$127=12,$O$174,IF($D$127=14,$O$176,IF($D$127=18,$O$174,IF($D$127=20,$O$175,IF($D$127=22,"")))))))))</f>
        <v>6,20 mm ยางอัดกระจก</v>
      </c>
      <c r="C188" s="176" t="str">
        <f aca="false">IF($D$127=5,$P$174,IF($D$127=6,$P$175,IF($D$127=8,$P$176,IF($D$127=10,$P$174,IF($D$127=12,$P$174,IF($D$127=14,$P$176,IF($D$127=18,$P$174,IF($D$127=20,$P$175,IF($D$127=22,"")))))))))</f>
        <v>6,20 mm ROLL IN WEDGE</v>
      </c>
      <c r="D188" s="176" t="str">
        <f aca="false">IF($D$127=5,$Q$174,IF($D$127=6,$Q$175,IF($D$127=8,$Q$176,IF($D$127=10,$Q$174,IF($D$127=12,$Q$174,IF($D$127=14,$Q$176,IF($D$127=18,$Q$174,IF($D$127=20,$Q$175,IF($D$127=22,"")))))))))</f>
        <v>02-034</v>
      </c>
      <c r="E188" s="176" t="n">
        <f aca="false">IF($D$127=5,R175,IF($D$127=6,R176,IF($D$127=8,R177,IF($D$127=10,R175,IF($D$127=12,R175,IF($D$127=14,R177,IF($D$127=18,R175,IF($D$127=20,R176,IF($D$127=22,"",)))))))))</f>
        <v>0</v>
      </c>
      <c r="F188" s="167" t="str">
        <f aca="false">IF($D$127=5,$S$174,IF($D$127=6,$S$175,IF($D$127=8,$S$176,IF($D$127=10,$S$174,IF($D$127=12,$S$174,IF($D$127=14,$S$176,IF($D$127=18,$S$174,IF($D$127=20,$S$175,IF($D$127=22,"")))))))))</f>
        <v>02-034</v>
      </c>
      <c r="G188" s="167" t="str">
        <f aca="false">IF($D$127=5,$T$174,IF($D$127=6,$T$175,IF($D$127=8,$T$176,IF($D$127=10,$T$174,IF($D$127=12,$T$174,IF($D$127=14,$T$176,IF($D$127=18,$T$174,IF($D$127=20,$T$175,IF($D$127=22,"")))))))))</f>
        <v>M</v>
      </c>
      <c r="H188" s="173" t="n">
        <f aca="false">IF($D$127=5,$U$174,IF($D$127=6,$U$175,IF($D$127=8,$U$176,IF($D$127=10,$U$174*2,IF($D$127=12,$U$174,IF($D$127=14,$U$176*2,IF($D$127=18,$U$174,IF($D$127=20,$U$175,IF($D$127=22,"")))))))))</f>
        <v>31.412</v>
      </c>
      <c r="I188" s="174" t="n">
        <f aca="false">IF($D$127=5,$V$174,IF($D$127=6,$V$175,IF($D$127=8,$V$176,IF($D$127=10,$V$174,IF($D$127=12,$V$174,IF($D$127=14,$V$176,IF($D$127=18,$V$174,IF($D$127=20,$V$175,IF($D$127=22,"")))))))))</f>
        <v>100</v>
      </c>
      <c r="J188" s="175" t="n">
        <f aca="false">ROUNDUP((H188)/100,0)</f>
        <v>1</v>
      </c>
    </row>
    <row r="189" s="96" customFormat="true" ht="18" hidden="false" customHeight="true" outlineLevel="0" collapsed="false">
      <c r="A189" s="170" t="n">
        <f aca="false">IF(B189="","",+A188+1)</f>
        <v>18</v>
      </c>
      <c r="B189" s="176" t="str">
        <f aca="false">IF($D$127=5,$O$172,IF($D$127=6,$O$172,IF($D$127=8,$O$174,IF($D$127=10,"",IF($D$127=12,$O$173,IF($D$127=14,"",IF($D$127=18,$O$172,IF($D$127=20,$O$173,IF($D$127=22,"",)))))))))</f>
        <v>5,6,18 mm ยางรองกระจก</v>
      </c>
      <c r="C189" s="176" t="str">
        <f aca="false">IF($D$127=5,$P$172,IF($D$127=6,$P$172,IF($D$127=8,$P$174,IF($D$127=10,"",IF($D$127=12,$P$173,IF($D$127=14,"",IF($D$127=18,$P$172,IF($D$127=20,$P$173,IF($D$127=22,"",)))))))))</f>
        <v>5,6,18 mm CAPTIVE WEDGE</v>
      </c>
      <c r="D189" s="176" t="str">
        <f aca="false">IF($D$127=5,$Q$172,IF($D$127=6,$Q$172,IF($D$127=8,$Q$174,IF($D$127=10,"",IF($D$127=12,$Q$173,IF($D$127=14,"",IF($D$127=18,$Q$172,IF($D$127=20,$Q$173,IF($D$127=22,"",)))))))))</f>
        <v>02-022</v>
      </c>
      <c r="E189" s="176" t="n">
        <f aca="false">IF($D$127=5,R173,IF($D$127=6,R173,IF($D$127=8,R175,IF($D$127=10,"",IF($D$127=12,R174,IF($D$127=14,"",IF($D$127=18,R173,IF($D$127=20,R174,IF($D$127=22,"",)))))))))</f>
        <v>0</v>
      </c>
      <c r="F189" s="167" t="str">
        <f aca="false">IF($D$127=5,$S$172,IF($D$127=6,$S$172,IF($D$127=8,$S$174,IF($D$127=10,"",IF($D$127=12,$S$173,IF($D$127=14,"",IF($D$127=18,$S$172,IF($D$127=20,$S$173,IF($D$127=22,"",)))))))))</f>
        <v>02-022</v>
      </c>
      <c r="G189" s="167" t="str">
        <f aca="false">IF($D$127=5,$T$172,IF($D$127=6,$T$172,IF($D$127=8,$T$174,IF($D$127=10,"",IF($D$127=12,$T$173,IF($D$127=14,"",IF($D$127=18,$T$172,IF($D$127=20,$T$173,IF($D$127=22,"",)))))))))</f>
        <v>M</v>
      </c>
      <c r="H189" s="173" t="n">
        <f aca="false">IF($D$127=5,$U$172,IF($D$127=6,$U$172,IF($D$127=8,$U$174,IF($D$127=10,"",IF($D$127=12,$U$173,IF($D$127=14,"",IF($D$127=18,$U$172,IF($D$127=20,$U$173,IF($D$127=22,"")))))))))</f>
        <v>31.412</v>
      </c>
      <c r="I189" s="174" t="n">
        <f aca="false">IF($D$127=5,$V$172,IF($D$127=6,$V$172,IF($D$127=8,$V$174,IF($D$127=10,"",IF($D$127=12,$V$173,IF($D$127=14,"",IF($D$127=18,$V$172,IF($D$127=20,$V$173,IF($D$127=22,"",)))))))))</f>
        <v>100</v>
      </c>
      <c r="J189" s="175" t="n">
        <f aca="false">ROUNDUP((H189)/100,0)</f>
        <v>1</v>
      </c>
    </row>
    <row r="190" s="96" customFormat="true" ht="18" hidden="false" customHeight="true" outlineLevel="0" collapsed="false">
      <c r="A190" s="170" t="str">
        <f aca="false">IF(B190="","",+A189+1)</f>
        <v/>
      </c>
      <c r="B190" s="131"/>
      <c r="C190" s="131"/>
      <c r="D190" s="132"/>
      <c r="E190" s="130"/>
      <c r="F190" s="130"/>
      <c r="G190" s="130"/>
      <c r="H190" s="130"/>
      <c r="I190" s="133"/>
      <c r="J190" s="134" t="n">
        <f aca="false">$J$120*H190</f>
        <v>0</v>
      </c>
    </row>
    <row r="191" s="96" customFormat="true" ht="18" hidden="false" customHeight="true" outlineLevel="0" collapsed="false">
      <c r="A191" s="170" t="str">
        <f aca="false">IF(B191="","",+A190+1)</f>
        <v/>
      </c>
      <c r="B191" s="131"/>
      <c r="C191" s="131"/>
      <c r="D191" s="132"/>
      <c r="E191" s="130"/>
      <c r="F191" s="130"/>
      <c r="G191" s="130"/>
      <c r="H191" s="130"/>
      <c r="I191" s="133"/>
      <c r="J191" s="134" t="n">
        <f aca="false">$J$120*H191</f>
        <v>0</v>
      </c>
    </row>
    <row r="192" customFormat="false" ht="18" hidden="false" customHeight="true" outlineLevel="0" collapsed="false">
      <c r="A192" s="170" t="str">
        <f aca="false">IF(B192="","",+A191+1)</f>
        <v/>
      </c>
      <c r="B192" s="131"/>
      <c r="C192" s="131"/>
      <c r="D192" s="132"/>
      <c r="E192" s="130"/>
      <c r="F192" s="130"/>
      <c r="G192" s="130"/>
      <c r="H192" s="130"/>
      <c r="I192" s="133"/>
      <c r="J192" s="134" t="n">
        <f aca="false">$J$120*H192</f>
        <v>0</v>
      </c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</row>
    <row r="193" s="96" customFormat="true" ht="18" hidden="false" customHeight="true" outlineLevel="0" collapsed="false">
      <c r="A193" s="170" t="str">
        <f aca="false">IF(B193="","",+A192+1)</f>
        <v/>
      </c>
      <c r="B193" s="131"/>
      <c r="C193" s="131"/>
      <c r="D193" s="132"/>
      <c r="E193" s="130"/>
      <c r="F193" s="130"/>
      <c r="G193" s="130"/>
      <c r="H193" s="130"/>
      <c r="I193" s="133"/>
      <c r="J193" s="134" t="n">
        <f aca="false">$J$120*H193</f>
        <v>0</v>
      </c>
    </row>
    <row r="194" s="96" customFormat="true" ht="18" hidden="false" customHeight="true" outlineLevel="0" collapsed="false">
      <c r="A194" s="170" t="str">
        <f aca="false">IF(B194="","",+A193+1)</f>
        <v/>
      </c>
      <c r="B194" s="131"/>
      <c r="C194" s="131"/>
      <c r="D194" s="132"/>
      <c r="E194" s="130"/>
      <c r="F194" s="130"/>
      <c r="G194" s="130"/>
      <c r="H194" s="130"/>
      <c r="I194" s="133"/>
      <c r="J194" s="134" t="n">
        <f aca="false">$J$120*H194</f>
        <v>0</v>
      </c>
    </row>
    <row r="195" s="96" customFormat="true" ht="18" hidden="false" customHeight="true" outlineLevel="0" collapsed="false">
      <c r="A195" s="170" t="str">
        <f aca="false">IF(B195="","",+A194+1)</f>
        <v/>
      </c>
      <c r="B195" s="131"/>
      <c r="C195" s="131"/>
      <c r="D195" s="132"/>
      <c r="E195" s="130"/>
      <c r="F195" s="130"/>
      <c r="G195" s="130"/>
      <c r="H195" s="130"/>
      <c r="I195" s="133"/>
      <c r="J195" s="134" t="n">
        <f aca="false">$J$120*H195</f>
        <v>0</v>
      </c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30"/>
      <c r="I196" s="133"/>
      <c r="J196" s="134" t="n">
        <f aca="false">$J$120*H196</f>
        <v>0</v>
      </c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/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$J$120*H198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9" t="str">
        <f aca="false">IF(B204="","",+""+1)</f>
        <v/>
      </c>
      <c r="B204" s="135"/>
      <c r="C204" s="135"/>
      <c r="D204" s="139"/>
      <c r="E204" s="136"/>
      <c r="F204" s="136"/>
      <c r="G204" s="136"/>
      <c r="H204" s="136"/>
      <c r="I204" s="140"/>
      <c r="J204" s="137" t="n">
        <f aca="false">$J$120*H204</f>
        <v>0</v>
      </c>
    </row>
    <row r="205" s="96" customFormat="true" ht="18" hidden="false" customHeight="true" outlineLevel="0" collapsed="false">
      <c r="A205" s="200"/>
      <c r="B205" s="98"/>
      <c r="D205" s="98"/>
      <c r="E205" s="97"/>
      <c r="F205" s="98"/>
      <c r="G205" s="98"/>
      <c r="H205" s="98"/>
      <c r="I205" s="196"/>
      <c r="J205" s="196"/>
    </row>
    <row r="206" customFormat="false" ht="18" hidden="false" customHeight="true" outlineLevel="0" collapsed="false">
      <c r="A206" s="97"/>
      <c r="J206" s="92" t="str">
        <f aca="false">LEFT($J$111,11)&amp;"-02"</f>
        <v>FG-240-5P5R-02</v>
      </c>
    </row>
    <row r="207" customFormat="false" ht="12.75" hidden="false" customHeight="true" outlineLevel="0" collapsed="false">
      <c r="B207" s="96"/>
      <c r="C207" s="96"/>
      <c r="D207" s="98"/>
      <c r="E207" s="97"/>
      <c r="F207" s="97"/>
      <c r="G207" s="97"/>
      <c r="H207" s="97"/>
      <c r="K207" s="78"/>
      <c r="L207" s="78"/>
      <c r="M207" s="79"/>
      <c r="N207" s="79"/>
    </row>
    <row r="208" customFormat="false" ht="30" hidden="false" customHeight="true" outlineLevel="0" collapsed="false">
      <c r="I208" s="76"/>
      <c r="J208" s="77" t="str">
        <f aca="false">$J$2</f>
        <v>HOMELIFE</v>
      </c>
      <c r="K208" s="83"/>
      <c r="L208" s="83"/>
      <c r="M208" s="79"/>
      <c r="N208" s="79"/>
    </row>
    <row r="209" customFormat="false" ht="24.75" hidden="false" customHeight="true" outlineLevel="0" collapsed="false">
      <c r="C209" s="75"/>
      <c r="D209" s="76"/>
      <c r="E209" s="76"/>
      <c r="F209" s="76"/>
      <c r="G209" s="76"/>
      <c r="H209" s="76"/>
      <c r="I209" s="82"/>
      <c r="J209" s="80" t="str">
        <f aca="false">$J$3</f>
        <v>Fabricators Guide</v>
      </c>
      <c r="K209" s="83"/>
      <c r="L209" s="83"/>
      <c r="M209" s="79"/>
      <c r="N209" s="79"/>
    </row>
    <row r="210" customFormat="false" ht="24.75" hidden="false" customHeight="true" outlineLevel="0" collapsed="false">
      <c r="C210" s="82"/>
      <c r="D210" s="82"/>
      <c r="E210" s="82"/>
      <c r="F210" s="82"/>
      <c r="G210" s="82"/>
      <c r="H210" s="82"/>
      <c r="I210" s="82"/>
      <c r="J210" s="80" t="str">
        <f aca="false">$J$4</f>
        <v>240 Series Bi Fold Door </v>
      </c>
      <c r="M210" s="87"/>
      <c r="N210" s="87"/>
    </row>
    <row r="211" s="96" customFormat="true" ht="15" hidden="false" customHeight="true" outlineLevel="0" collapsed="false">
      <c r="A211" s="84"/>
      <c r="B211" s="81"/>
      <c r="C211" s="82"/>
      <c r="D211" s="82"/>
      <c r="E211" s="82"/>
      <c r="F211" s="82"/>
      <c r="G211" s="82"/>
      <c r="H211" s="82"/>
      <c r="I211" s="84"/>
      <c r="J211" s="94"/>
      <c r="K211" s="87"/>
      <c r="L211" s="87"/>
      <c r="M211" s="87"/>
      <c r="N211" s="87"/>
    </row>
    <row r="212" s="96" customFormat="true" ht="24.75" hidden="false" customHeight="true" outlineLevel="0" collapsed="false">
      <c r="A212" s="88" t="s">
        <v>457</v>
      </c>
      <c r="B212" s="88"/>
      <c r="C212" s="88"/>
      <c r="D212" s="88"/>
      <c r="E212" s="88"/>
      <c r="F212" s="88"/>
      <c r="G212" s="88"/>
      <c r="H212" s="88"/>
      <c r="I212" s="88"/>
      <c r="J212" s="88"/>
    </row>
    <row r="214" s="96" customFormat="true" ht="15" hidden="false" customHeight="true" outlineLevel="0" collapsed="false">
      <c r="A214" s="182"/>
      <c r="D214" s="73"/>
      <c r="I214" s="183"/>
      <c r="J214" s="99"/>
    </row>
    <row r="215" s="96" customFormat="true" ht="15" hidden="false" customHeight="true" outlineLevel="0" collapsed="false">
      <c r="A215" s="97"/>
      <c r="B215" s="182"/>
      <c r="D215" s="98"/>
      <c r="E215" s="83"/>
      <c r="F215" s="183"/>
      <c r="G215" s="183"/>
      <c r="H215" s="183"/>
      <c r="J215" s="97"/>
    </row>
    <row r="216" s="96" customFormat="true" ht="15" hidden="false" customHeight="true" outlineLevel="0" collapsed="false">
      <c r="A216" s="97"/>
      <c r="C216" s="181"/>
      <c r="D216" s="98"/>
      <c r="E216" s="83"/>
      <c r="F216" s="98"/>
      <c r="J216" s="97"/>
    </row>
    <row r="217" s="96" customFormat="true" ht="15" hidden="false" customHeight="true" outlineLevel="0" collapsed="false">
      <c r="A217" s="97"/>
      <c r="C217" s="181"/>
      <c r="D217" s="98"/>
      <c r="E217" s="97"/>
      <c r="F217" s="98"/>
      <c r="H217" s="181"/>
      <c r="J217" s="97"/>
    </row>
    <row r="218" s="96" customFormat="true" ht="15" hidden="false" customHeight="true" outlineLevel="0" collapsed="false">
      <c r="A218" s="182"/>
      <c r="B218" s="182"/>
      <c r="D218" s="98"/>
      <c r="E218" s="83"/>
      <c r="F218" s="183"/>
      <c r="H218" s="181"/>
      <c r="I218" s="97"/>
      <c r="J218" s="97"/>
    </row>
    <row r="219" s="96" customFormat="true" ht="15" hidden="false" customHeight="true" outlineLevel="0" collapsed="false">
      <c r="A219" s="97"/>
      <c r="C219" s="184" t="s">
        <v>516</v>
      </c>
      <c r="D219" s="98"/>
      <c r="E219" s="83"/>
      <c r="F219" s="98"/>
      <c r="I219" s="97"/>
      <c r="J219" s="97"/>
    </row>
    <row r="220" s="96" customFormat="true" ht="15" hidden="false" customHeight="true" outlineLevel="0" collapsed="false">
      <c r="A220" s="97"/>
      <c r="C220" s="181" t="s">
        <v>459</v>
      </c>
      <c r="D220" s="98"/>
      <c r="E220" s="83"/>
      <c r="F220" s="98"/>
      <c r="H220" s="184"/>
      <c r="J220" s="97"/>
    </row>
    <row r="221" s="96" customFormat="true" ht="15" hidden="false" customHeight="true" outlineLevel="0" collapsed="false">
      <c r="A221" s="97"/>
      <c r="C221" s="181" t="s">
        <v>460</v>
      </c>
      <c r="D221" s="98"/>
      <c r="E221" s="97"/>
      <c r="F221" s="98"/>
      <c r="J221" s="97"/>
    </row>
    <row r="222" s="96" customFormat="true" ht="15" hidden="false" customHeight="true" outlineLevel="0" collapsed="false">
      <c r="A222" s="97"/>
      <c r="C222" s="185" t="n">
        <f aca="false">$I$133</f>
        <v>2690</v>
      </c>
      <c r="D222" s="98"/>
      <c r="E222" s="83"/>
      <c r="F222" s="98"/>
      <c r="G222" s="186"/>
      <c r="J222" s="97"/>
    </row>
    <row r="223" s="96" customFormat="true" ht="15" hidden="false" customHeight="true" outlineLevel="0" collapsed="false">
      <c r="A223" s="97"/>
      <c r="C223" s="187" t="n">
        <f aca="false">$J$133</f>
        <v>1</v>
      </c>
      <c r="D223" s="98"/>
      <c r="E223" s="83"/>
      <c r="F223" s="98"/>
      <c r="G223" s="110"/>
      <c r="I223" s="97"/>
      <c r="J223" s="97"/>
    </row>
    <row r="224" s="96" customFormat="true" ht="15" hidden="false" customHeight="true" outlineLevel="0" collapsed="false">
      <c r="A224" s="97"/>
      <c r="D224" s="98"/>
      <c r="E224" s="97"/>
      <c r="F224" s="98"/>
      <c r="G224" s="110"/>
      <c r="I224" s="97"/>
      <c r="J224" s="97"/>
    </row>
    <row r="225" s="96" customFormat="true" ht="15.75" hidden="false" customHeight="true" outlineLevel="0" collapsed="false">
      <c r="A225" s="99"/>
      <c r="B225" s="99"/>
      <c r="C225" s="83"/>
      <c r="D225" s="98"/>
      <c r="E225" s="97"/>
      <c r="F225" s="98"/>
      <c r="G225" s="186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H226" s="97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189"/>
      <c r="J227" s="190"/>
    </row>
    <row r="228" s="96" customFormat="true" ht="15.75" hidden="false" customHeight="true" outlineLevel="0" collapsed="false">
      <c r="A228" s="99"/>
      <c r="B228" s="99"/>
      <c r="C228" s="181"/>
      <c r="D228" s="98"/>
      <c r="E228" s="97"/>
      <c r="F228" s="98"/>
      <c r="H228" s="97"/>
      <c r="I228" s="181"/>
      <c r="J228" s="193"/>
    </row>
    <row r="229" s="96" customFormat="true" ht="15.75" hidden="false" customHeight="true" outlineLevel="0" collapsed="false">
      <c r="A229" s="188"/>
      <c r="B229" s="188"/>
      <c r="D229" s="98"/>
      <c r="E229" s="97"/>
      <c r="F229" s="98"/>
      <c r="I229" s="181"/>
      <c r="J229" s="193"/>
    </row>
    <row r="230" s="96" customFormat="true" ht="15.75" hidden="false" customHeight="true" outlineLevel="0" collapsed="false">
      <c r="A230" s="97"/>
      <c r="B230" s="97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81"/>
      <c r="D231" s="98"/>
      <c r="E231" s="97"/>
      <c r="F231" s="97"/>
      <c r="I231" s="181"/>
      <c r="J231" s="193"/>
    </row>
    <row r="232" s="96" customFormat="true" ht="15.75" hidden="false" customHeight="true" outlineLevel="0" collapsed="false">
      <c r="A232" s="191"/>
      <c r="B232" s="191"/>
      <c r="C232" s="184" t="s">
        <v>517</v>
      </c>
      <c r="D232" s="192"/>
      <c r="E232" s="191"/>
      <c r="F232" s="191"/>
      <c r="G232" s="97"/>
      <c r="H232" s="97"/>
      <c r="I232" s="181"/>
      <c r="J232" s="193"/>
    </row>
    <row r="233" s="96" customFormat="true" ht="15.75" hidden="false" customHeight="true" outlineLevel="0" collapsed="false">
      <c r="A233" s="190"/>
      <c r="B233" s="190"/>
      <c r="C233" s="181" t="s">
        <v>462</v>
      </c>
      <c r="D233" s="194"/>
      <c r="E233" s="190"/>
      <c r="F233" s="189"/>
      <c r="G233" s="97"/>
      <c r="H233" s="97"/>
      <c r="J233" s="97"/>
    </row>
    <row r="234" s="96" customFormat="true" ht="15.75" hidden="false" customHeight="true" outlineLevel="0" collapsed="false">
      <c r="A234" s="97"/>
      <c r="C234" s="181" t="s">
        <v>518</v>
      </c>
      <c r="D234" s="98"/>
      <c r="E234" s="97"/>
      <c r="F234" s="98"/>
      <c r="G234" s="97"/>
      <c r="H234" s="97"/>
      <c r="I234" s="97"/>
      <c r="J234" s="196"/>
    </row>
    <row r="235" s="96" customFormat="true" ht="15.75" hidden="false" customHeight="true" outlineLevel="0" collapsed="false">
      <c r="A235" s="97"/>
      <c r="C235" s="185" t="n">
        <f aca="false">$I$134</f>
        <v>2664</v>
      </c>
      <c r="D235" s="98"/>
      <c r="E235" s="97"/>
      <c r="F235" s="98"/>
      <c r="G235" s="97"/>
      <c r="H235" s="97"/>
      <c r="I235" s="196"/>
      <c r="J235" s="196"/>
    </row>
    <row r="236" s="96" customFormat="true" ht="15.75" hidden="false" customHeight="true" outlineLevel="0" collapsed="false">
      <c r="A236" s="97"/>
      <c r="C236" s="187" t="n">
        <f aca="false">$J$134</f>
        <v>1</v>
      </c>
      <c r="D236" s="98"/>
      <c r="E236" s="97"/>
      <c r="F236" s="98"/>
      <c r="G236" s="97"/>
      <c r="H236" s="195"/>
      <c r="I236" s="184"/>
      <c r="J236" s="198"/>
    </row>
    <row r="237" s="96" customFormat="true" ht="15.75" hidden="false" customHeight="true" outlineLevel="0" collapsed="false">
      <c r="A237" s="97"/>
      <c r="C237" s="191"/>
      <c r="D237" s="98"/>
      <c r="E237" s="97"/>
      <c r="F237" s="98"/>
      <c r="G237" s="97"/>
      <c r="H237" s="195"/>
      <c r="I237" s="181"/>
      <c r="J237" s="193"/>
    </row>
    <row r="238" s="96" customFormat="true" ht="15.75" hidden="false" customHeight="true" outlineLevel="0" collapsed="false">
      <c r="A238" s="97"/>
      <c r="D238" s="98"/>
      <c r="E238" s="97"/>
      <c r="F238" s="98"/>
      <c r="G238" s="97"/>
      <c r="H238" s="97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96"/>
      <c r="J239" s="196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1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97"/>
      <c r="I241" s="97"/>
      <c r="J241" s="196"/>
    </row>
    <row r="242" s="96" customFormat="true" ht="15.75" hidden="false" customHeight="true" outlineLevel="0" collapsed="false">
      <c r="A242" s="97"/>
      <c r="C242" s="184" t="s">
        <v>519</v>
      </c>
      <c r="D242" s="98"/>
      <c r="E242" s="97"/>
      <c r="F242" s="98"/>
      <c r="G242" s="97"/>
      <c r="H242" s="97"/>
      <c r="I242" s="196"/>
      <c r="J242" s="196"/>
    </row>
    <row r="243" s="96" customFormat="true" ht="15.75" hidden="false" customHeight="true" outlineLevel="0" collapsed="false">
      <c r="A243" s="97"/>
      <c r="C243" s="181" t="s">
        <v>459</v>
      </c>
      <c r="D243" s="98"/>
      <c r="E243" s="97"/>
      <c r="F243" s="98"/>
      <c r="G243" s="97"/>
      <c r="H243" s="97"/>
      <c r="I243" s="196"/>
      <c r="J243" s="196"/>
    </row>
    <row r="244" s="96" customFormat="true" ht="15" hidden="false" customHeight="true" outlineLevel="0" collapsed="false">
      <c r="A244" s="97"/>
      <c r="C244" s="181" t="s">
        <v>460</v>
      </c>
      <c r="D244" s="98"/>
      <c r="E244" s="97"/>
      <c r="F244" s="98"/>
      <c r="G244" s="97"/>
      <c r="H244" s="97"/>
      <c r="I244" s="196"/>
      <c r="J244" s="196"/>
    </row>
    <row r="245" s="96" customFormat="true" ht="15.75" hidden="false" customHeight="true" outlineLevel="0" collapsed="false">
      <c r="A245" s="97"/>
      <c r="C245" s="185" t="n">
        <f aca="false">$I$135</f>
        <v>2690</v>
      </c>
      <c r="D245" s="98"/>
      <c r="E245" s="97"/>
      <c r="F245" s="98"/>
      <c r="G245" s="97"/>
      <c r="H245" s="97"/>
      <c r="I245" s="191"/>
      <c r="J245" s="199"/>
    </row>
    <row r="246" s="96" customFormat="true" ht="15.75" hidden="false" customHeight="true" outlineLevel="0" collapsed="false">
      <c r="A246" s="97"/>
      <c r="C246" s="187" t="n">
        <f aca="false">$J$135</f>
        <v>1</v>
      </c>
      <c r="D246" s="98"/>
      <c r="E246" s="97"/>
      <c r="F246" s="98"/>
      <c r="G246" s="97"/>
      <c r="H246" s="97"/>
      <c r="I246" s="189"/>
      <c r="J246" s="190"/>
    </row>
    <row r="247" s="96" customFormat="true" ht="15.75" hidden="false" customHeight="true" outlineLevel="0" collapsed="false">
      <c r="A247" s="97"/>
      <c r="C247" s="98"/>
      <c r="D247" s="98"/>
      <c r="E247" s="97"/>
      <c r="F247" s="98"/>
      <c r="G247" s="97"/>
      <c r="H247" s="97"/>
      <c r="J247" s="97"/>
    </row>
    <row r="248" s="96" customFormat="true" ht="15.75" hidden="false" customHeight="true" outlineLevel="0" collapsed="false">
      <c r="A248" s="97"/>
      <c r="D248" s="98"/>
      <c r="E248" s="97"/>
      <c r="F248" s="97"/>
      <c r="G248" s="191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0"/>
      <c r="H250" s="97"/>
      <c r="I250" s="196"/>
      <c r="J250" s="196"/>
    </row>
    <row r="251" s="96" customFormat="true" ht="15.75" hidden="false" customHeight="true" outlineLevel="0" collapsed="false">
      <c r="A251" s="97"/>
      <c r="D251" s="98"/>
      <c r="E251" s="97"/>
      <c r="F251" s="97"/>
      <c r="G251" s="97"/>
      <c r="H251" s="97"/>
      <c r="I251" s="196"/>
      <c r="J251" s="196"/>
    </row>
    <row r="252" s="96" customFormat="true" ht="15.75" hidden="false" customHeight="true" outlineLevel="0" collapsed="false">
      <c r="A252" s="191"/>
      <c r="B252" s="191"/>
      <c r="D252" s="192"/>
      <c r="E252" s="191"/>
      <c r="F252" s="191"/>
      <c r="G252" s="97"/>
      <c r="H252" s="97"/>
      <c r="I252" s="196"/>
      <c r="J252" s="196"/>
    </row>
    <row r="253" s="96" customFormat="true" ht="15.75" hidden="false" customHeight="true" outlineLevel="0" collapsed="false">
      <c r="A253" s="190"/>
      <c r="B253" s="190"/>
      <c r="C253" s="184" t="s">
        <v>520</v>
      </c>
      <c r="D253" s="194"/>
      <c r="E253" s="190"/>
      <c r="F253" s="189"/>
      <c r="G253" s="97"/>
      <c r="I253" s="196"/>
      <c r="J253" s="196"/>
    </row>
    <row r="254" s="96" customFormat="true" ht="15.75" hidden="false" customHeight="true" outlineLevel="0" collapsed="false">
      <c r="A254" s="200"/>
      <c r="C254" s="181" t="s">
        <v>459</v>
      </c>
      <c r="D254" s="98"/>
      <c r="E254" s="97"/>
      <c r="F254" s="97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460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5" t="n">
        <f aca="false">$I$136</f>
        <v>2690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7" t="n">
        <f aca="false">$J$136</f>
        <v>1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C261" s="98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C263" s="184" t="s">
        <v>586</v>
      </c>
      <c r="D263" s="98"/>
      <c r="E263" s="97"/>
      <c r="F263" s="97"/>
      <c r="G263" s="97"/>
      <c r="H263" s="97"/>
      <c r="I263" s="196"/>
      <c r="J263" s="196"/>
    </row>
    <row r="264" s="96" customFormat="true" ht="15.75" hidden="false" customHeight="true" outlineLevel="0" collapsed="false">
      <c r="A264" s="200"/>
      <c r="C264" s="181" t="s">
        <v>587</v>
      </c>
      <c r="D264" s="181"/>
      <c r="E264" s="181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468</v>
      </c>
      <c r="D265" s="181"/>
      <c r="E265" s="181"/>
      <c r="F265" s="97"/>
      <c r="G265" s="97"/>
      <c r="H265" s="97"/>
      <c r="J265" s="97"/>
    </row>
    <row r="266" s="96" customFormat="true" ht="15.75" hidden="false" customHeight="true" outlineLevel="0" collapsed="false">
      <c r="A266" s="200"/>
      <c r="C266" s="185" t="n">
        <f aca="false">$I$137</f>
        <v>2700</v>
      </c>
      <c r="D266" s="98"/>
      <c r="E266" s="97"/>
      <c r="F266" s="97"/>
      <c r="J266" s="97"/>
    </row>
    <row r="267" s="96" customFormat="true" ht="15.75" hidden="false" customHeight="true" outlineLevel="0" collapsed="false">
      <c r="A267" s="200"/>
      <c r="C267" s="187" t="n">
        <f aca="false">$J$137+$J$138</f>
        <v>2</v>
      </c>
      <c r="D267" s="98"/>
      <c r="E267" s="97"/>
      <c r="F267" s="97"/>
      <c r="G267" s="97"/>
      <c r="H267" s="97"/>
      <c r="J267" s="97"/>
    </row>
    <row r="268" s="96" customFormat="true" ht="15.75" hidden="false" customHeight="true" outlineLevel="0" collapsed="false">
      <c r="A268" s="200"/>
      <c r="D268" s="184"/>
      <c r="E268" s="184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1"/>
      <c r="E270" s="181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I271" s="196"/>
      <c r="J271" s="196"/>
    </row>
    <row r="272" s="96" customFormat="true" ht="15.75" hidden="false" customHeight="true" outlineLevel="0" collapsed="false">
      <c r="A272" s="200"/>
      <c r="D272" s="98"/>
      <c r="E272" s="97"/>
      <c r="F272" s="97"/>
      <c r="G272" s="97"/>
      <c r="I272" s="196"/>
      <c r="J272" s="196"/>
    </row>
    <row r="273" s="96" customFormat="true" ht="15.75" hidden="false" customHeight="true" outlineLevel="0" collapsed="false">
      <c r="A273" s="200"/>
      <c r="C273" s="184" t="s">
        <v>523</v>
      </c>
      <c r="D273" s="201"/>
      <c r="E273" s="196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C274" s="181" t="s">
        <v>470</v>
      </c>
      <c r="D274" s="181"/>
      <c r="E274" s="181"/>
      <c r="F274" s="97"/>
      <c r="G274" s="97"/>
      <c r="I274" s="97"/>
      <c r="J274" s="196"/>
    </row>
    <row r="275" s="96" customFormat="true" ht="15.75" hidden="false" customHeight="true" outlineLevel="0" collapsed="false">
      <c r="A275" s="200"/>
      <c r="C275" s="181" t="s">
        <v>471</v>
      </c>
      <c r="D275" s="181"/>
      <c r="E275" s="181"/>
      <c r="F275" s="97"/>
      <c r="G275" s="97"/>
      <c r="I275" s="97"/>
      <c r="J275" s="196"/>
    </row>
    <row r="276" s="96" customFormat="true" ht="15.75" hidden="false" customHeight="true" outlineLevel="0" collapsed="false">
      <c r="A276" s="200"/>
      <c r="C276" s="185" t="n">
        <f aca="false">$I$139</f>
        <v>2604</v>
      </c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7" t="n">
        <f aca="false">$J$139+$J$140</f>
        <v>2</v>
      </c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F278" s="97"/>
      <c r="G278" s="97"/>
      <c r="H278" s="97"/>
      <c r="J278" s="97"/>
    </row>
    <row r="279" s="96" customFormat="true" ht="15.75" hidden="false" customHeight="true" outlineLevel="0" collapsed="false">
      <c r="A279" s="200"/>
      <c r="F279" s="97"/>
      <c r="G279" s="97"/>
      <c r="H279" s="97"/>
      <c r="J279" s="97"/>
    </row>
    <row r="280" s="96" customFormat="true" ht="15.75" hidden="false" customHeight="true" outlineLevel="0" collapsed="false">
      <c r="A280" s="200"/>
      <c r="D280" s="98"/>
      <c r="E280" s="97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I282" s="201"/>
      <c r="J282" s="196"/>
    </row>
    <row r="283" s="96" customFormat="true" ht="15.75" hidden="false" customHeight="true" outlineLevel="0" collapsed="false">
      <c r="A283" s="200"/>
      <c r="C283" s="184" t="s">
        <v>524</v>
      </c>
      <c r="F283" s="97"/>
      <c r="G283" s="97"/>
      <c r="H283" s="97"/>
      <c r="I283" s="97"/>
      <c r="J283" s="196"/>
    </row>
    <row r="284" s="96" customFormat="true" ht="15.75" hidden="false" customHeight="true" outlineLevel="0" collapsed="false">
      <c r="A284" s="200"/>
      <c r="C284" s="83" t="s">
        <v>666</v>
      </c>
      <c r="D284" s="98"/>
      <c r="E284" s="97"/>
      <c r="F284" s="97"/>
      <c r="G284" s="97"/>
      <c r="H284" s="97"/>
      <c r="I284" s="196"/>
      <c r="J284" s="196"/>
    </row>
    <row r="285" s="96" customFormat="true" ht="15.75" hidden="false" customHeight="true" outlineLevel="0" collapsed="false">
      <c r="A285" s="200"/>
      <c r="C285" s="181" t="s">
        <v>667</v>
      </c>
      <c r="D285" s="98"/>
      <c r="E285" s="97"/>
      <c r="F285" s="97"/>
      <c r="G285" s="97"/>
      <c r="H285" s="97"/>
      <c r="I285" s="196"/>
      <c r="J285" s="196"/>
    </row>
    <row r="286" s="96" customFormat="true" ht="15.75" hidden="false" customHeight="true" outlineLevel="0" collapsed="false">
      <c r="A286" s="200"/>
      <c r="C286" s="181" t="s">
        <v>475</v>
      </c>
      <c r="D286" s="181"/>
      <c r="E286" s="181"/>
      <c r="F286" s="97"/>
      <c r="G286" s="97"/>
      <c r="I286" s="196"/>
      <c r="J286" s="196"/>
    </row>
    <row r="287" s="202" customFormat="true" ht="15.75" hidden="false" customHeight="true" outlineLevel="0" collapsed="false">
      <c r="A287" s="200"/>
      <c r="B287" s="96"/>
      <c r="C287" s="181" t="s">
        <v>476</v>
      </c>
      <c r="D287" s="181"/>
      <c r="E287" s="181"/>
      <c r="F287" s="97"/>
      <c r="G287" s="97"/>
      <c r="H287" s="96"/>
      <c r="I287" s="97"/>
      <c r="J287" s="97"/>
    </row>
    <row r="288" s="96" customFormat="true" ht="15.75" hidden="false" customHeight="true" outlineLevel="0" collapsed="false">
      <c r="A288" s="200"/>
      <c r="C288" s="185" t="n">
        <f aca="false">$I$141</f>
        <v>533.2</v>
      </c>
      <c r="F288" s="97"/>
      <c r="G288" s="97"/>
      <c r="I288" s="191"/>
      <c r="J288" s="199"/>
    </row>
    <row r="289" s="96" customFormat="true" ht="15.75" hidden="false" customHeight="true" outlineLevel="0" collapsed="false">
      <c r="A289" s="200"/>
      <c r="C289" s="187" t="n">
        <f aca="false">$J$141+$J$142</f>
        <v>10</v>
      </c>
      <c r="D289" s="98"/>
      <c r="E289" s="97"/>
      <c r="F289" s="97"/>
      <c r="G289" s="97"/>
      <c r="H289" s="98"/>
      <c r="I289" s="189"/>
      <c r="J289" s="190"/>
    </row>
    <row r="290" s="96" customFormat="true" ht="15.75" hidden="false" customHeight="true" outlineLevel="0" collapsed="false">
      <c r="A290" s="200"/>
      <c r="C290" s="185" t="n">
        <f aca="false">$I$143</f>
        <v>2608</v>
      </c>
      <c r="D290" s="98"/>
      <c r="E290" s="97"/>
      <c r="F290" s="97"/>
      <c r="G290" s="97"/>
      <c r="H290" s="97"/>
      <c r="I290" s="196"/>
      <c r="J290" s="196"/>
    </row>
    <row r="291" s="96" customFormat="true" ht="15.75" hidden="false" customHeight="true" outlineLevel="0" collapsed="false">
      <c r="A291" s="200"/>
      <c r="C291" s="187" t="n">
        <f aca="false">$J$143+$J$144+$J$145</f>
        <v>10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D293" s="98"/>
      <c r="E293" s="97"/>
      <c r="F293" s="97"/>
      <c r="G293" s="97"/>
      <c r="H293" s="97"/>
      <c r="I293" s="97"/>
      <c r="J293" s="196"/>
    </row>
    <row r="294" s="96" customFormat="true" ht="15.75" hidden="false" customHeight="true" outlineLevel="0" collapsed="false">
      <c r="A294" s="200"/>
      <c r="C294" s="202"/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184" t="s">
        <v>525</v>
      </c>
      <c r="D295" s="98"/>
      <c r="E295" s="97"/>
      <c r="F295" s="97"/>
      <c r="G295" s="97"/>
      <c r="H295" s="97"/>
      <c r="I295" s="97"/>
      <c r="J295" s="196"/>
    </row>
    <row r="296" s="96" customFormat="true" ht="15.75" hidden="false" customHeight="true" outlineLevel="0" collapsed="false">
      <c r="A296" s="200"/>
      <c r="C296" s="83" t="s">
        <v>666</v>
      </c>
      <c r="D296" s="98"/>
      <c r="E296" s="97"/>
      <c r="F296" s="97"/>
      <c r="G296" s="191"/>
      <c r="H296" s="191"/>
      <c r="I296" s="97"/>
      <c r="J296" s="196"/>
    </row>
    <row r="297" s="96" customFormat="true" ht="15.75" hidden="false" customHeight="true" outlineLevel="0" collapsed="false">
      <c r="A297" s="200"/>
      <c r="C297" s="181" t="s">
        <v>667</v>
      </c>
      <c r="D297" s="181"/>
      <c r="E297" s="181"/>
      <c r="F297" s="97"/>
      <c r="G297" s="190"/>
      <c r="H297" s="189"/>
      <c r="I297" s="97"/>
      <c r="J297" s="196"/>
    </row>
    <row r="298" s="96" customFormat="true" ht="15.75" hidden="false" customHeight="true" outlineLevel="0" collapsed="false">
      <c r="A298" s="107"/>
      <c r="C298" s="181" t="s">
        <v>478</v>
      </c>
      <c r="D298" s="181"/>
      <c r="E298" s="181"/>
      <c r="F298" s="97"/>
      <c r="G298" s="97"/>
      <c r="H298" s="97"/>
      <c r="I298" s="97"/>
      <c r="J298" s="196"/>
    </row>
    <row r="299" s="96" customFormat="true" ht="15.75" hidden="false" customHeight="true" outlineLevel="0" collapsed="false">
      <c r="A299" s="191"/>
      <c r="B299" s="191"/>
      <c r="C299" s="181" t="s">
        <v>479</v>
      </c>
      <c r="D299" s="203"/>
      <c r="E299" s="204"/>
      <c r="F299" s="191"/>
      <c r="G299" s="97"/>
      <c r="H299" s="97"/>
      <c r="I299" s="97"/>
      <c r="J299" s="196"/>
    </row>
    <row r="300" s="96" customFormat="true" ht="15.75" hidden="false" customHeight="true" outlineLevel="0" collapsed="false">
      <c r="A300" s="190"/>
      <c r="B300" s="190"/>
      <c r="C300" s="185" t="n">
        <f aca="false">$I$146</f>
        <v>423</v>
      </c>
      <c r="D300" s="205"/>
      <c r="E300" s="206"/>
      <c r="F300" s="189"/>
      <c r="G300" s="97"/>
      <c r="H300" s="97"/>
      <c r="I300" s="97"/>
      <c r="J300" s="196"/>
    </row>
    <row r="301" s="96" customFormat="true" ht="15.75" hidden="false" customHeight="true" outlineLevel="0" collapsed="false">
      <c r="A301" s="97"/>
      <c r="C301" s="187" t="n">
        <f aca="false">$J$146</f>
        <v>10</v>
      </c>
      <c r="D301" s="98"/>
      <c r="F301" s="97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5" t="n">
        <f aca="false">$I$147</f>
        <v>2458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7" t="n">
        <f aca="false">$J$147</f>
        <v>10</v>
      </c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D306" s="98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4"/>
      <c r="D307" s="98"/>
      <c r="E307" s="97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181"/>
      <c r="D308" s="181"/>
      <c r="E308" s="181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1"/>
      <c r="D309" s="181"/>
      <c r="E309" s="181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D310" s="98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200"/>
      <c r="D313" s="201"/>
      <c r="E313" s="196"/>
      <c r="F313" s="97"/>
      <c r="G313" s="97"/>
      <c r="H313" s="97"/>
      <c r="I313" s="200"/>
      <c r="J313" s="92" t="str">
        <f aca="false">LEFT($J$111,11)&amp;"-03"</f>
        <v>FG-240-5P5R-03</v>
      </c>
    </row>
    <row r="314" customFormat="false" ht="12.75" hidden="false" customHeight="true" outlineLevel="0" collapsed="false">
      <c r="A314" s="97"/>
      <c r="B314" s="49"/>
      <c r="C314" s="49"/>
      <c r="D314" s="207"/>
      <c r="E314" s="200"/>
      <c r="F314" s="200"/>
      <c r="G314" s="200"/>
      <c r="H314" s="200"/>
      <c r="I314" s="208"/>
      <c r="J314" s="208"/>
    </row>
    <row r="315" customFormat="false" ht="30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77" t="str">
        <f aca="false">$J$2</f>
        <v>HOMELIFE</v>
      </c>
    </row>
    <row r="316" customFormat="false" ht="24.75" hidden="false" customHeight="true" outlineLevel="0" collapsed="false">
      <c r="C316" s="75"/>
      <c r="D316" s="76"/>
      <c r="E316" s="76"/>
      <c r="F316" s="76"/>
      <c r="G316" s="76"/>
      <c r="H316" s="76"/>
      <c r="I316" s="82"/>
      <c r="J316" s="80" t="str">
        <f aca="false">$J$3</f>
        <v>Fabricators Guide</v>
      </c>
      <c r="K316" s="83"/>
      <c r="L316" s="83"/>
      <c r="M316" s="79"/>
      <c r="N316" s="79"/>
    </row>
    <row r="317" customFormat="false" ht="24.75" hidden="false" customHeight="true" outlineLevel="0" collapsed="false">
      <c r="C317" s="82"/>
      <c r="D317" s="82"/>
      <c r="E317" s="82"/>
      <c r="F317" s="82"/>
      <c r="G317" s="82"/>
      <c r="H317" s="82"/>
      <c r="I317" s="82"/>
      <c r="J317" s="80" t="str">
        <f aca="false">$J$4</f>
        <v>240 Series Bi Fold Door </v>
      </c>
      <c r="M317" s="87"/>
      <c r="N317" s="87"/>
    </row>
    <row r="318" s="96" customFormat="true" ht="15" hidden="false" customHeight="true" outlineLevel="0" collapsed="false">
      <c r="A318" s="84"/>
      <c r="B318" s="81"/>
      <c r="C318" s="82"/>
      <c r="D318" s="82"/>
      <c r="E318" s="82"/>
      <c r="F318" s="82"/>
      <c r="G318" s="82"/>
      <c r="H318" s="82"/>
      <c r="I318" s="84"/>
      <c r="J318" s="94"/>
      <c r="K318" s="87"/>
      <c r="L318" s="87"/>
      <c r="M318" s="87"/>
      <c r="N318" s="87"/>
    </row>
    <row r="319" customFormat="false" ht="24.75" hidden="false" customHeight="true" outlineLevel="0" collapsed="false">
      <c r="A319" s="88" t="s">
        <v>480</v>
      </c>
      <c r="B319" s="88"/>
      <c r="C319" s="88"/>
      <c r="D319" s="88"/>
      <c r="E319" s="88"/>
      <c r="F319" s="88"/>
      <c r="G319" s="88"/>
      <c r="H319" s="88"/>
      <c r="I319" s="88"/>
      <c r="J319" s="88"/>
      <c r="K319" s="87"/>
      <c r="L319" s="87"/>
      <c r="M319" s="87"/>
      <c r="N319" s="87"/>
    </row>
    <row r="321" s="96" customFormat="true" ht="15" hidden="false" customHeight="true" outlineLevel="0" collapsed="false">
      <c r="A321" s="188"/>
      <c r="D321" s="73"/>
      <c r="I321" s="183"/>
      <c r="J321" s="99"/>
    </row>
    <row r="322" s="96" customFormat="true" ht="15" hidden="false" customHeight="true" outlineLevel="0" collapsed="false">
      <c r="A322" s="97"/>
      <c r="B322" s="81"/>
      <c r="D322" s="98"/>
      <c r="E322" s="83"/>
      <c r="F322" s="183"/>
      <c r="G322" s="183"/>
      <c r="H322" s="183"/>
      <c r="I322" s="83"/>
      <c r="J322" s="97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C325" s="98"/>
      <c r="D325" s="98"/>
      <c r="E325" s="83"/>
      <c r="F325" s="98"/>
      <c r="G325" s="97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97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83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182"/>
      <c r="J328" s="97"/>
    </row>
    <row r="329" s="96" customFormat="true" ht="15" hidden="false" customHeight="true" outlineLevel="0" collapsed="false">
      <c r="A329" s="81"/>
      <c r="C329" s="182"/>
      <c r="D329" s="98"/>
      <c r="E329" s="97"/>
      <c r="F329" s="209"/>
      <c r="G329" s="209"/>
      <c r="H329" s="110"/>
      <c r="I329" s="98"/>
      <c r="J329" s="97"/>
    </row>
    <row r="330" s="96" customFormat="true" ht="15" hidden="false" customHeight="true" outlineLevel="0" collapsed="false">
      <c r="A330" s="99"/>
      <c r="B330" s="81"/>
      <c r="C330" s="98"/>
      <c r="D330" s="98"/>
      <c r="E330" s="97"/>
      <c r="F330" s="210"/>
      <c r="G330" s="210"/>
      <c r="H330" s="110"/>
      <c r="I330" s="98"/>
      <c r="J330" s="97"/>
    </row>
    <row r="331" s="96" customFormat="true" ht="15" hidden="false" customHeight="true" outlineLevel="0" collapsed="false">
      <c r="A331" s="211" t="str">
        <f aca="false">A18</f>
        <v>240-5 Panel (5R)</v>
      </c>
      <c r="B331" s="99"/>
      <c r="C331" s="98"/>
      <c r="D331" s="98"/>
      <c r="E331" s="97"/>
      <c r="F331" s="110"/>
      <c r="G331" s="110"/>
      <c r="H331" s="110"/>
      <c r="I331" s="97"/>
      <c r="J331" s="97"/>
    </row>
    <row r="332" s="96" customFormat="true" ht="15" hidden="false" customHeight="true" outlineLevel="0" collapsed="false">
      <c r="A332" s="90" t="str">
        <f aca="false">A19</f>
        <v>Outside Bi Fold Door 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.75" hidden="false" customHeight="true" outlineLevel="0" collapsed="false">
      <c r="A333" s="97"/>
      <c r="B333" s="188"/>
      <c r="C333" s="182"/>
      <c r="D333" s="98"/>
      <c r="E333" s="97"/>
      <c r="F333" s="210"/>
      <c r="G333" s="210"/>
      <c r="H333" s="110"/>
      <c r="I333" s="97"/>
      <c r="J333" s="97"/>
    </row>
    <row r="334" s="96" customFormat="true" ht="15.75" hidden="false" customHeight="true" outlineLevel="0" collapsed="false">
      <c r="A334" s="81"/>
      <c r="B334" s="97"/>
      <c r="C334" s="98"/>
      <c r="D334" s="98"/>
      <c r="E334" s="97"/>
      <c r="F334" s="78"/>
      <c r="H334" s="97"/>
      <c r="I334" s="97"/>
      <c r="J334" s="97"/>
    </row>
    <row r="335" s="96" customFormat="true" ht="15.75" hidden="false" customHeight="true" outlineLevel="0" collapsed="false">
      <c r="A335" s="191"/>
      <c r="C335" s="212"/>
      <c r="D335" s="98"/>
      <c r="E335" s="97"/>
      <c r="F335" s="97"/>
      <c r="G335" s="97"/>
      <c r="H335" s="97"/>
      <c r="I335" s="191"/>
      <c r="J335" s="199"/>
    </row>
    <row r="336" s="96" customFormat="true" ht="15.75" hidden="false" customHeight="true" outlineLevel="0" collapsed="false">
      <c r="A336" s="190"/>
      <c r="C336" s="191"/>
      <c r="D336" s="192"/>
      <c r="E336" s="191"/>
      <c r="F336" s="191"/>
      <c r="G336" s="191"/>
      <c r="H336" s="191"/>
      <c r="I336" s="189"/>
      <c r="J336" s="190"/>
    </row>
    <row r="337" s="96" customFormat="true" ht="15.75" hidden="false" customHeight="true" outlineLevel="0" collapsed="false">
      <c r="A337" s="97"/>
      <c r="C337" s="98"/>
      <c r="D337" s="194"/>
      <c r="E337" s="190"/>
      <c r="F337" s="189"/>
      <c r="G337" s="190"/>
      <c r="H337" s="189"/>
      <c r="I337" s="196"/>
      <c r="J337" s="196"/>
    </row>
    <row r="338" s="96" customFormat="true" ht="15.75" hidden="false" customHeight="true" outlineLevel="0" collapsed="false">
      <c r="A338" s="97"/>
      <c r="C338" s="98"/>
      <c r="D338" s="98"/>
      <c r="E338" s="97"/>
      <c r="F338" s="98"/>
      <c r="G338" s="97"/>
      <c r="H338" s="97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201"/>
      <c r="J339" s="201"/>
    </row>
    <row r="340" s="96" customFormat="true" ht="15.75" hidden="false" customHeight="true" outlineLevel="0" collapsed="false">
      <c r="A340" s="97"/>
      <c r="C340" s="191"/>
      <c r="D340" s="98"/>
      <c r="E340" s="97"/>
      <c r="F340" s="98"/>
      <c r="G340" s="97"/>
      <c r="H340" s="201"/>
      <c r="I340" s="98"/>
      <c r="J340" s="98"/>
    </row>
    <row r="341" s="96" customFormat="true" ht="15.75" hidden="false" customHeight="true" outlineLevel="0" collapsed="false">
      <c r="A341" s="97"/>
      <c r="C341" s="182"/>
      <c r="D341" s="98"/>
      <c r="E341" s="97"/>
      <c r="F341" s="98"/>
      <c r="G341" s="97"/>
      <c r="H341" s="98"/>
      <c r="I341" s="98"/>
      <c r="J341" s="98"/>
    </row>
    <row r="342" s="96" customFormat="true" ht="15.75" hidden="false" customHeight="true" outlineLevel="0" collapsed="false">
      <c r="A342" s="97"/>
      <c r="C342" s="98"/>
      <c r="D342" s="98"/>
      <c r="E342" s="97"/>
      <c r="F342" s="98"/>
      <c r="G342" s="97"/>
      <c r="H342" s="98"/>
      <c r="I342" s="97"/>
      <c r="J342" s="196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7"/>
      <c r="I343" s="196"/>
      <c r="J343" s="196"/>
    </row>
    <row r="344" s="96" customFormat="true" ht="15.75" hidden="false" customHeight="true" outlineLevel="0" collapsed="false">
      <c r="A344" s="97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C347" s="191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98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97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196"/>
      <c r="J350" s="196"/>
    </row>
    <row r="351" s="96" customFormat="true" ht="15.75" hidden="false" customHeight="true" outlineLevel="0" collapsed="false">
      <c r="A351" s="97"/>
      <c r="D351" s="98"/>
      <c r="E351" s="97"/>
      <c r="F351" s="97"/>
      <c r="G351" s="97"/>
      <c r="H351" s="97"/>
      <c r="I351" s="196"/>
      <c r="J351" s="196"/>
    </row>
    <row r="352" s="96" customFormat="true" ht="15" hidden="false" customHeight="true" outlineLevel="0" collapsed="false">
      <c r="A352" s="97"/>
      <c r="D352" s="98"/>
      <c r="E352" s="97"/>
      <c r="F352" s="97"/>
      <c r="G352" s="97"/>
      <c r="H352" s="195"/>
      <c r="I352" s="196"/>
      <c r="J352" s="196"/>
    </row>
    <row r="353" s="202" customFormat="true" ht="15.75" hidden="false" customHeight="true" outlineLevel="0" collapsed="false">
      <c r="A353" s="97"/>
      <c r="B353" s="96"/>
      <c r="C353" s="96"/>
      <c r="D353" s="98"/>
      <c r="E353" s="97"/>
      <c r="F353" s="97"/>
      <c r="G353" s="97"/>
      <c r="H353" s="97"/>
      <c r="I353" s="97"/>
      <c r="J353" s="97"/>
    </row>
    <row r="354" s="96" customFormat="true" ht="15.75" hidden="false" customHeight="true" outlineLevel="0" collapsed="false">
      <c r="A354" s="191"/>
      <c r="D354" s="98"/>
      <c r="E354" s="97"/>
      <c r="F354" s="97"/>
      <c r="G354" s="97"/>
      <c r="H354" s="97"/>
      <c r="I354" s="191"/>
      <c r="J354" s="199"/>
    </row>
    <row r="355" s="96" customFormat="true" ht="15.75" hidden="false" customHeight="true" outlineLevel="0" collapsed="false">
      <c r="A355" s="190"/>
      <c r="B355" s="191"/>
      <c r="C355" s="191"/>
      <c r="D355" s="192"/>
      <c r="E355" s="191"/>
      <c r="F355" s="191"/>
      <c r="G355" s="191"/>
      <c r="H355" s="191"/>
      <c r="I355" s="189"/>
      <c r="J355" s="190"/>
    </row>
    <row r="356" s="96" customFormat="true" ht="15.75" hidden="false" customHeight="true" outlineLevel="0" collapsed="false">
      <c r="A356" s="200"/>
      <c r="B356" s="190"/>
      <c r="C356" s="191"/>
      <c r="D356" s="194"/>
      <c r="E356" s="190"/>
      <c r="F356" s="189"/>
      <c r="G356" s="190"/>
      <c r="H356" s="189"/>
      <c r="I356" s="196"/>
      <c r="J356" s="196"/>
    </row>
    <row r="357" s="96" customFormat="true" ht="15.75" hidden="false" customHeight="true" outlineLevel="0" collapsed="false">
      <c r="A357" s="200"/>
      <c r="C357" s="182"/>
      <c r="D357" s="98"/>
      <c r="E357" s="97"/>
      <c r="F357" s="97"/>
      <c r="G357" s="97"/>
      <c r="H357" s="182"/>
      <c r="I357" s="98"/>
      <c r="J357" s="98"/>
    </row>
    <row r="358" s="96" customFormat="true" ht="15.75" hidden="false" customHeight="true" outlineLevel="0" collapsed="false">
      <c r="A358" s="200"/>
      <c r="C358" s="98"/>
      <c r="D358" s="98"/>
      <c r="E358" s="97"/>
      <c r="F358" s="97"/>
      <c r="G358" s="97"/>
      <c r="H358" s="98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196"/>
      <c r="J359" s="196"/>
    </row>
    <row r="360" s="96" customFormat="true" ht="15.75" hidden="false" customHeight="true" outlineLevel="0" collapsed="false">
      <c r="A360" s="200"/>
      <c r="D360" s="98"/>
      <c r="E360" s="97"/>
      <c r="F360" s="97"/>
      <c r="G360" s="97"/>
      <c r="H360" s="97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C363" s="98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G372" s="97"/>
      <c r="H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182"/>
      <c r="I375" s="98"/>
      <c r="J375" s="98"/>
    </row>
    <row r="376" s="96" customFormat="true" ht="15.75" hidden="false" customHeight="true" outlineLevel="0" collapsed="false">
      <c r="A376" s="200"/>
      <c r="C376" s="188"/>
      <c r="D376" s="98"/>
      <c r="E376" s="97"/>
      <c r="F376" s="97"/>
      <c r="G376" s="97"/>
      <c r="H376" s="98"/>
      <c r="I376" s="98"/>
      <c r="J376" s="98"/>
    </row>
    <row r="377" s="96" customFormat="true" ht="15.75" hidden="false" customHeight="true" outlineLevel="0" collapsed="false">
      <c r="A377" s="200"/>
      <c r="D377" s="98"/>
      <c r="E377" s="97"/>
      <c r="F377" s="97"/>
      <c r="G377" s="97"/>
      <c r="H377" s="98"/>
      <c r="I377" s="196"/>
      <c r="J377" s="196"/>
    </row>
    <row r="378" s="96" customFormat="true" ht="15.75" hidden="false" customHeight="true" outlineLevel="0" collapsed="false">
      <c r="A378" s="200"/>
      <c r="C378" s="98"/>
      <c r="D378" s="98"/>
      <c r="E378" s="97"/>
      <c r="F378" s="97"/>
      <c r="G378" s="97"/>
      <c r="H378" s="182"/>
      <c r="I378" s="98"/>
      <c r="J378" s="98"/>
    </row>
    <row r="379" s="96" customFormat="true" ht="15.75" hidden="false" customHeight="true" outlineLevel="0" collapsed="false">
      <c r="A379" s="200"/>
      <c r="D379" s="98"/>
      <c r="E379" s="97"/>
      <c r="F379" s="97"/>
      <c r="G379" s="97"/>
      <c r="H379" s="98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196"/>
      <c r="J380" s="196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7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97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213"/>
      <c r="J387" s="213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213"/>
      <c r="I388" s="97"/>
      <c r="J388" s="97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97"/>
      <c r="I389" s="98"/>
      <c r="J389" s="98"/>
    </row>
    <row r="390" s="96" customFormat="true" ht="15.75" hidden="false" customHeight="true" outlineLevel="0" collapsed="false">
      <c r="A390" s="200"/>
      <c r="C390" s="188"/>
      <c r="D390" s="98"/>
      <c r="E390" s="97"/>
      <c r="F390" s="97"/>
      <c r="G390" s="97"/>
      <c r="H390" s="98"/>
      <c r="I390" s="196"/>
      <c r="J390" s="196"/>
    </row>
    <row r="391" s="96" customFormat="true" ht="15.75" hidden="false" customHeight="true" outlineLevel="0" collapsed="false">
      <c r="A391" s="200"/>
      <c r="D391" s="98"/>
      <c r="E391" s="97"/>
      <c r="F391" s="97"/>
      <c r="G391" s="97"/>
      <c r="H391" s="97"/>
      <c r="I391" s="97"/>
      <c r="J391" s="196"/>
    </row>
    <row r="392" s="96" customFormat="true" ht="15.75" hidden="false" customHeight="true" outlineLevel="0" collapsed="false">
      <c r="A392" s="200"/>
      <c r="C392" s="98"/>
      <c r="D392" s="98"/>
      <c r="E392" s="97"/>
      <c r="F392" s="97"/>
      <c r="G392" s="97"/>
      <c r="H392" s="97"/>
      <c r="I392" s="196"/>
      <c r="J392" s="196"/>
    </row>
    <row r="393" s="96" customFormat="true" ht="15.75" hidden="false" customHeight="true" outlineLevel="0" collapsed="false">
      <c r="A393" s="200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107"/>
      <c r="D395" s="98"/>
      <c r="E395" s="97"/>
      <c r="F395" s="97"/>
      <c r="G395" s="97"/>
      <c r="H395" s="97"/>
      <c r="I395" s="97"/>
      <c r="J395" s="97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202" customFormat="true" ht="15.75" hidden="false" customHeight="true" outlineLevel="0" collapsed="false">
      <c r="A403" s="107"/>
      <c r="B403" s="96"/>
      <c r="C403" s="96"/>
      <c r="D403" s="98"/>
      <c r="E403" s="97"/>
      <c r="F403" s="97"/>
      <c r="G403" s="97"/>
      <c r="H403" s="97"/>
      <c r="I403" s="97"/>
      <c r="J403" s="97"/>
    </row>
    <row r="404" s="96" customFormat="true" ht="15.75" hidden="false" customHeight="true" outlineLevel="0" collapsed="false">
      <c r="A404" s="191"/>
      <c r="D404" s="98"/>
      <c r="E404" s="97"/>
      <c r="F404" s="97"/>
      <c r="G404" s="97"/>
      <c r="H404" s="97"/>
      <c r="I404" s="191"/>
      <c r="J404" s="199"/>
    </row>
    <row r="405" s="96" customFormat="true" ht="15.75" hidden="false" customHeight="true" outlineLevel="0" collapsed="false">
      <c r="A405" s="191"/>
      <c r="B405" s="191"/>
      <c r="C405" s="191"/>
      <c r="D405" s="192"/>
      <c r="E405" s="191"/>
      <c r="F405" s="191"/>
      <c r="G405" s="191"/>
      <c r="H405" s="191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97"/>
      <c r="B418" s="191"/>
      <c r="C418" s="191"/>
      <c r="D418" s="192"/>
      <c r="E418" s="191"/>
      <c r="F418" s="191"/>
      <c r="G418" s="191"/>
      <c r="H418" s="191"/>
      <c r="I418" s="196"/>
      <c r="J418" s="196"/>
      <c r="K418" s="214"/>
    </row>
    <row r="419" s="96" customFormat="true" ht="15.75" hidden="false" customHeight="true" outlineLevel="0" collapsed="false">
      <c r="A419" s="97"/>
      <c r="D419" s="98"/>
      <c r="E419" s="97"/>
      <c r="F419" s="97"/>
      <c r="G419" s="97"/>
      <c r="H419" s="97"/>
      <c r="I419" s="196"/>
    </row>
    <row r="420" customFormat="false" ht="18" hidden="false" customHeight="true" outlineLevel="0" collapsed="false">
      <c r="A420" s="97"/>
      <c r="B420" s="96"/>
      <c r="C420" s="96"/>
      <c r="D420" s="98"/>
      <c r="E420" s="97"/>
      <c r="F420" s="97"/>
      <c r="G420" s="97"/>
      <c r="H420" s="97"/>
      <c r="I420" s="97"/>
      <c r="J420" s="92" t="str">
        <f aca="false">LEFT($J$111,11)&amp;"-04"</f>
        <v>FG-240-5P5R-04</v>
      </c>
      <c r="K420" s="78"/>
      <c r="L420" s="78"/>
      <c r="M420" s="79"/>
      <c r="N420" s="79"/>
    </row>
    <row r="421" customFormat="false" ht="12.75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215"/>
      <c r="K421" s="78"/>
      <c r="L421" s="78"/>
      <c r="M421" s="79"/>
      <c r="N421" s="79"/>
    </row>
    <row r="422" customFormat="false" ht="30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77" t="str">
        <f aca="false">$J$2</f>
        <v>HOMELIFE</v>
      </c>
      <c r="K422" s="78"/>
      <c r="L422" s="78"/>
      <c r="M422" s="79"/>
      <c r="N422" s="79"/>
    </row>
    <row r="423" customFormat="false" ht="24.75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80" t="str">
        <f aca="false">$J$3</f>
        <v>Fabricators Guide</v>
      </c>
      <c r="K423" s="78"/>
      <c r="L423" s="78"/>
      <c r="M423" s="79"/>
      <c r="N423" s="79"/>
    </row>
    <row r="424" customFormat="false" ht="24.75" hidden="false" customHeight="true" outlineLevel="0" collapsed="false">
      <c r="C424" s="82"/>
      <c r="D424" s="82"/>
      <c r="E424" s="82"/>
      <c r="F424" s="82"/>
      <c r="G424" s="82"/>
      <c r="H424" s="82"/>
      <c r="I424" s="82"/>
      <c r="J424" s="80" t="str">
        <f aca="false">$J$4</f>
        <v>240 Series Bi Fold Door </v>
      </c>
      <c r="M424" s="87"/>
      <c r="N424" s="87"/>
    </row>
    <row r="425" s="96" customFormat="true" ht="15" hidden="false" customHeight="true" outlineLevel="0" collapsed="false">
      <c r="A425" s="84"/>
      <c r="B425" s="81"/>
      <c r="C425" s="82"/>
      <c r="D425" s="82"/>
      <c r="E425" s="82"/>
      <c r="F425" s="82"/>
      <c r="G425" s="82"/>
      <c r="H425" s="82"/>
      <c r="I425" s="84"/>
      <c r="J425" s="86"/>
      <c r="K425" s="87"/>
      <c r="L425" s="87"/>
      <c r="M425" s="87"/>
      <c r="N425" s="87"/>
    </row>
    <row r="426" s="96" customFormat="true" ht="24.75" hidden="false" customHeight="true" outlineLevel="0" collapsed="false">
      <c r="A426" s="88" t="s">
        <v>481</v>
      </c>
      <c r="B426" s="88"/>
      <c r="C426" s="88"/>
      <c r="D426" s="88"/>
      <c r="E426" s="88"/>
      <c r="F426" s="88"/>
      <c r="G426" s="88"/>
      <c r="H426" s="88"/>
      <c r="I426" s="88"/>
      <c r="J426" s="88"/>
      <c r="K426" s="87"/>
      <c r="L426" s="87"/>
      <c r="M426" s="87"/>
      <c r="N426" s="87"/>
    </row>
    <row r="427" s="96" customFormat="true" ht="15" hidden="false" customHeight="true" outlineLevel="0" collapsed="false">
      <c r="B427" s="268"/>
      <c r="C427" s="268"/>
      <c r="D427" s="268"/>
      <c r="E427" s="268"/>
      <c r="F427" s="268"/>
      <c r="G427" s="268"/>
      <c r="H427" s="268"/>
    </row>
    <row r="428" s="96" customFormat="true" ht="15" hidden="false" customHeight="true" outlineLevel="0" collapsed="false">
      <c r="A428" s="188"/>
      <c r="I428" s="191"/>
      <c r="J428" s="199"/>
    </row>
    <row r="429" s="96" customFormat="true" ht="15" hidden="false" customHeight="true" outlineLevel="0" collapsed="false">
      <c r="A429" s="97"/>
      <c r="B429" s="81"/>
      <c r="D429" s="98"/>
      <c r="E429" s="83"/>
      <c r="F429" s="81"/>
      <c r="H429" s="191"/>
      <c r="I429" s="191"/>
      <c r="J429" s="199"/>
    </row>
    <row r="430" s="96" customFormat="true" ht="15" hidden="false" customHeight="true" outlineLevel="0" collapsed="false">
      <c r="A430" s="97"/>
      <c r="D430" s="98"/>
      <c r="E430" s="83"/>
      <c r="F430" s="98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C432" s="98"/>
      <c r="D432" s="98"/>
      <c r="E432" s="97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83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81"/>
      <c r="C435" s="182"/>
      <c r="D435" s="98"/>
      <c r="E435" s="97"/>
      <c r="F435" s="216"/>
      <c r="H435" s="191"/>
      <c r="I435" s="191"/>
      <c r="J435" s="199"/>
    </row>
    <row r="436" s="96" customFormat="true" ht="15" hidden="false" customHeight="true" outlineLevel="0" collapsed="false">
      <c r="A436" s="99"/>
      <c r="B436" s="81"/>
      <c r="C436" s="98"/>
      <c r="D436" s="98"/>
      <c r="E436" s="97"/>
      <c r="F436" s="186"/>
      <c r="H436" s="191"/>
      <c r="I436" s="191"/>
      <c r="J436" s="199"/>
    </row>
    <row r="437" s="96" customFormat="true" ht="15" hidden="false" customHeight="true" outlineLevel="0" collapsed="false">
      <c r="B437" s="99"/>
      <c r="C437" s="98"/>
      <c r="D437" s="98"/>
      <c r="E437" s="97"/>
      <c r="F437" s="110"/>
      <c r="H437" s="191"/>
      <c r="I437" s="191"/>
      <c r="J437" s="199"/>
    </row>
    <row r="438" s="96" customFormat="true" ht="15" hidden="false" customHeight="true" outlineLevel="0" collapsed="false">
      <c r="A438" s="211" t="str">
        <f aca="false">A18</f>
        <v>240-5 Panel (5R)</v>
      </c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.75" hidden="false" customHeight="true" outlineLevel="0" collapsed="false">
      <c r="A439" s="90" t="str">
        <f aca="false">A19</f>
        <v>Outside Bi Fold Door </v>
      </c>
      <c r="C439" s="182"/>
      <c r="D439" s="98"/>
      <c r="E439" s="97"/>
      <c r="F439" s="186"/>
      <c r="H439" s="191"/>
      <c r="I439" s="191"/>
      <c r="J439" s="199"/>
    </row>
    <row r="440" s="96" customFormat="true" ht="15.75" hidden="false" customHeight="true" outlineLevel="0" collapsed="false">
      <c r="A440" s="81"/>
      <c r="C440" s="98"/>
      <c r="D440" s="98"/>
      <c r="E440" s="97"/>
      <c r="F440" s="78"/>
      <c r="H440" s="191"/>
      <c r="I440" s="191"/>
      <c r="J440" s="199"/>
    </row>
    <row r="441" s="96" customFormat="true" ht="15.75" hidden="false" customHeight="true" outlineLevel="0" collapsed="false">
      <c r="A441" s="191"/>
      <c r="C441" s="212"/>
      <c r="D441" s="98"/>
      <c r="E441" s="97"/>
      <c r="F441" s="97"/>
      <c r="H441" s="191"/>
      <c r="I441" s="191"/>
      <c r="J441" s="199"/>
    </row>
    <row r="442" s="96" customFormat="true" ht="15.75" hidden="false" customHeight="true" outlineLevel="0" collapsed="false">
      <c r="A442" s="190"/>
      <c r="C442" s="191"/>
      <c r="D442" s="192"/>
      <c r="E442" s="191"/>
      <c r="F442" s="191"/>
      <c r="H442" s="191"/>
      <c r="I442" s="191"/>
      <c r="J442" s="199"/>
    </row>
    <row r="443" s="96" customFormat="true" ht="34.5" hidden="false" customHeight="true" outlineLevel="0" collapsed="false">
      <c r="A443" s="97"/>
      <c r="C443" s="98"/>
      <c r="D443" s="194"/>
      <c r="E443" s="190"/>
      <c r="F443" s="189"/>
      <c r="H443" s="191"/>
      <c r="I443" s="196"/>
      <c r="J443" s="196"/>
    </row>
    <row r="444" customFormat="false" ht="15" hidden="false" customHeight="true" outlineLevel="0" collapsed="false">
      <c r="B444" s="211"/>
      <c r="C444" s="98"/>
      <c r="D444" s="98"/>
      <c r="E444" s="97"/>
      <c r="F444" s="98"/>
      <c r="G444" s="97"/>
      <c r="H444" s="97"/>
    </row>
    <row r="449" s="96" customFormat="true" ht="15.75" hidden="false" customHeight="true" outlineLevel="0" collapsed="false">
      <c r="A449" s="97"/>
      <c r="D449" s="73"/>
      <c r="I449" s="196"/>
      <c r="J449" s="196"/>
    </row>
    <row r="450" s="96" customFormat="true" ht="15.75" hidden="false" customHeight="true" outlineLevel="0" collapsed="false">
      <c r="A450" s="97"/>
      <c r="D450" s="98"/>
      <c r="E450" s="97"/>
      <c r="F450" s="98"/>
      <c r="G450" s="97"/>
      <c r="H450" s="97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C453" s="191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98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97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196"/>
      <c r="J456" s="196"/>
    </row>
    <row r="457" s="96" customFormat="true" ht="15.75" hidden="false" customHeight="true" outlineLevel="0" collapsed="false">
      <c r="A457" s="97"/>
      <c r="D457" s="98"/>
      <c r="E457" s="97"/>
      <c r="F457" s="97"/>
      <c r="G457" s="97"/>
      <c r="H457" s="97"/>
      <c r="I457" s="196"/>
      <c r="J457" s="196"/>
    </row>
    <row r="458" s="96" customFormat="true" ht="15" hidden="false" customHeight="true" outlineLevel="0" collapsed="false">
      <c r="A458" s="97"/>
      <c r="D458" s="98"/>
      <c r="E458" s="97"/>
      <c r="F458" s="97"/>
      <c r="G458" s="97"/>
      <c r="H458" s="195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97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202" customFormat="true" ht="15.75" hidden="false" customHeight="true" outlineLevel="0" collapsed="false">
      <c r="A476" s="97"/>
      <c r="B476" s="96"/>
      <c r="C476" s="96"/>
      <c r="D476" s="98"/>
      <c r="E476" s="97"/>
      <c r="F476" s="97"/>
      <c r="G476" s="97"/>
      <c r="H476" s="97"/>
      <c r="I476" s="97"/>
      <c r="J476" s="97"/>
    </row>
    <row r="477" s="96" customFormat="true" ht="15.75" hidden="false" customHeight="true" outlineLevel="0" collapsed="false">
      <c r="A477" s="191"/>
      <c r="D477" s="98"/>
      <c r="E477" s="97"/>
      <c r="F477" s="97"/>
      <c r="G477" s="97"/>
      <c r="H477" s="97"/>
      <c r="I477" s="191"/>
      <c r="J477" s="199"/>
    </row>
    <row r="478" s="96" customFormat="true" ht="15.75" hidden="false" customHeight="true" outlineLevel="0" collapsed="false">
      <c r="A478" s="190"/>
      <c r="B478" s="191"/>
      <c r="C478" s="191"/>
      <c r="D478" s="192"/>
      <c r="E478" s="191"/>
      <c r="F478" s="191"/>
      <c r="G478" s="191"/>
      <c r="H478" s="191"/>
      <c r="I478" s="189"/>
      <c r="J478" s="190"/>
    </row>
    <row r="479" s="96" customFormat="true" ht="15.75" hidden="false" customHeight="true" outlineLevel="0" collapsed="false">
      <c r="A479" s="200"/>
      <c r="B479" s="190"/>
      <c r="C479" s="191"/>
      <c r="D479" s="194"/>
      <c r="E479" s="190"/>
      <c r="F479" s="189"/>
      <c r="G479" s="190"/>
      <c r="H479" s="189"/>
      <c r="I479" s="196"/>
      <c r="J479" s="196"/>
    </row>
    <row r="480" s="96" customFormat="true" ht="15.75" hidden="false" customHeight="true" outlineLevel="0" collapsed="false">
      <c r="A480" s="200"/>
      <c r="C480" s="182"/>
      <c r="D480" s="98"/>
      <c r="E480" s="97"/>
      <c r="F480" s="97"/>
      <c r="G480" s="97"/>
      <c r="H480" s="182"/>
      <c r="J480" s="97"/>
    </row>
    <row r="481" s="96" customFormat="true" ht="15.75" hidden="false" customHeight="true" outlineLevel="0" collapsed="false">
      <c r="A481" s="200"/>
      <c r="C481" s="98"/>
      <c r="D481" s="98"/>
      <c r="E481" s="97"/>
      <c r="F481" s="97"/>
      <c r="G481" s="97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I482" s="196"/>
      <c r="J482" s="196"/>
    </row>
    <row r="483" s="96" customFormat="true" ht="15.75" hidden="false" customHeight="true" outlineLevel="0" collapsed="false">
      <c r="A483" s="200"/>
      <c r="D483" s="98"/>
      <c r="E483" s="97"/>
      <c r="F483" s="97"/>
      <c r="G483" s="97"/>
      <c r="H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C486" s="98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G495" s="97"/>
      <c r="H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182"/>
      <c r="J498" s="97"/>
    </row>
    <row r="499" s="96" customFormat="true" ht="15.75" hidden="false" customHeight="true" outlineLevel="0" collapsed="false">
      <c r="A499" s="200"/>
      <c r="C499" s="188"/>
      <c r="D499" s="98"/>
      <c r="E499" s="97"/>
      <c r="F499" s="97"/>
      <c r="G499" s="97"/>
      <c r="J499" s="97"/>
    </row>
    <row r="500" s="96" customFormat="true" ht="15.75" hidden="false" customHeight="true" outlineLevel="0" collapsed="false">
      <c r="A500" s="200"/>
      <c r="D500" s="98"/>
      <c r="E500" s="97"/>
      <c r="F500" s="97"/>
      <c r="G500" s="97"/>
      <c r="I500" s="196"/>
      <c r="J500" s="196"/>
    </row>
    <row r="501" s="96" customFormat="true" ht="15.75" hidden="false" customHeight="true" outlineLevel="0" collapsed="false">
      <c r="A501" s="200"/>
      <c r="C501" s="98"/>
      <c r="D501" s="98"/>
      <c r="E501" s="97"/>
      <c r="F501" s="97"/>
      <c r="G501" s="97"/>
      <c r="H501" s="182"/>
      <c r="J501" s="97"/>
    </row>
    <row r="502" s="96" customFormat="true" ht="15.75" hidden="false" customHeight="true" outlineLevel="0" collapsed="false">
      <c r="A502" s="200"/>
      <c r="D502" s="98"/>
      <c r="E502" s="97"/>
      <c r="F502" s="97"/>
      <c r="G502" s="97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I503" s="196"/>
      <c r="J503" s="196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H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97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212"/>
      <c r="J512" s="195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238"/>
      <c r="J513" s="97"/>
    </row>
    <row r="514" s="96" customFormat="true" ht="15.75" hidden="false" customHeight="true" outlineLevel="0" collapsed="false">
      <c r="A514" s="191"/>
      <c r="B514" s="191"/>
      <c r="C514" s="191"/>
      <c r="D514" s="192"/>
      <c r="E514" s="191"/>
      <c r="F514" s="191"/>
      <c r="G514" s="191"/>
      <c r="H514" s="191"/>
      <c r="I514" s="191"/>
      <c r="J514" s="199"/>
    </row>
    <row r="515" s="96" customFormat="true" ht="15.75" hidden="false" customHeight="true" outlineLevel="0" collapsed="false">
      <c r="B515" s="191"/>
      <c r="C515" s="191"/>
      <c r="D515" s="192"/>
      <c r="E515" s="191"/>
      <c r="F515" s="191"/>
      <c r="G515" s="191"/>
      <c r="H515" s="191"/>
    </row>
    <row r="516" s="96" customFormat="true" ht="15.75" hidden="false" customHeight="true" outlineLevel="0" collapsed="false"/>
    <row r="517" s="96" customFormat="true" ht="24.75" hidden="false" customHeight="true" outlineLevel="0" collapsed="false">
      <c r="A517" s="88" t="s">
        <v>482</v>
      </c>
      <c r="B517" s="88"/>
      <c r="C517" s="88"/>
      <c r="D517" s="88"/>
      <c r="E517" s="88"/>
      <c r="F517" s="88"/>
      <c r="G517" s="88"/>
      <c r="H517" s="88"/>
      <c r="I517" s="88"/>
      <c r="J517" s="88"/>
    </row>
    <row r="518" s="96" customFormat="true" ht="34.5" hidden="false" customHeight="true" outlineLevel="0" collapsed="false">
      <c r="A518" s="114" t="s">
        <v>319</v>
      </c>
      <c r="B518" s="115" t="s">
        <v>168</v>
      </c>
      <c r="C518" s="115" t="s">
        <v>168</v>
      </c>
      <c r="D518" s="116" t="s">
        <v>483</v>
      </c>
      <c r="E518" s="115" t="s">
        <v>321</v>
      </c>
      <c r="F518" s="239" t="s">
        <v>484</v>
      </c>
      <c r="G518" s="240"/>
      <c r="H518" s="116" t="s">
        <v>484</v>
      </c>
      <c r="I518" s="116" t="s">
        <v>485</v>
      </c>
      <c r="J518" s="117" t="s">
        <v>323</v>
      </c>
      <c r="N518" s="118" t="s">
        <v>168</v>
      </c>
      <c r="O518" s="118" t="s">
        <v>168</v>
      </c>
    </row>
    <row r="519" s="96" customFormat="true" ht="15.75" hidden="false" customHeight="true" outlineLevel="0" collapsed="false">
      <c r="A519" s="120" t="n">
        <f aca="false">IF(C519="","",1)</f>
        <v>1</v>
      </c>
      <c r="B519" s="121" t="str">
        <f aca="false">IF($D$127=5,N519,IF($D$127=6,N520,IF($D$127=8,N521,IF($D$127=10,N522,IF($D$127=12,N523,IF($D$127=14,N524,IF($D$127=18,N525,IF($D$127=20,N526,IF($D$127=22,N527,)))))))))</f>
        <v>กระจก 6 mm (สูง) (กว้าง)</v>
      </c>
      <c r="C519" s="121" t="str">
        <f aca="false">IF($D$127=5,O519,IF($D$127=6,O520,IF($D$127=8,O521,IF($D$127=10,O522,IF($D$127=12,O523,IF($D$127=14,O524,IF($D$127=18,O525,IF($D$127=20,O526,IF($D$127=22,O527,)))))))))</f>
        <v>GLASS thk.6 mm (H) (W)</v>
      </c>
      <c r="D519" s="123" t="n">
        <f aca="false">$J$123-215</f>
        <v>2485</v>
      </c>
      <c r="E519" s="120" t="s">
        <v>486</v>
      </c>
      <c r="F519" s="224" t="s">
        <v>487</v>
      </c>
      <c r="G519" s="224"/>
      <c r="H519" s="120" t="s">
        <v>668</v>
      </c>
      <c r="I519" s="225" t="n">
        <f aca="false">(($J$126-185-(113.25*4))/5)-13</f>
        <v>409.4</v>
      </c>
      <c r="J519" s="226" t="n">
        <f aca="false">$J$120*5</f>
        <v>5</v>
      </c>
      <c r="M519" s="96" t="n">
        <f aca="false">ROW()</f>
        <v>519</v>
      </c>
      <c r="N519" s="62" t="s">
        <v>489</v>
      </c>
      <c r="O519" s="62" t="s">
        <v>490</v>
      </c>
    </row>
    <row r="520" s="96" customFormat="true" ht="15.75" hidden="false" customHeight="true" outlineLevel="0" collapsed="false">
      <c r="A520" s="269"/>
      <c r="B520" s="228"/>
      <c r="C520" s="228"/>
      <c r="D520" s="176"/>
      <c r="E520" s="167"/>
      <c r="F520" s="229"/>
      <c r="G520" s="230"/>
      <c r="H520" s="167"/>
      <c r="I520" s="231"/>
      <c r="J520" s="232"/>
      <c r="M520" s="96" t="n">
        <f aca="false">ROW()</f>
        <v>520</v>
      </c>
      <c r="N520" s="62" t="s">
        <v>491</v>
      </c>
      <c r="O520" s="62" t="s">
        <v>492</v>
      </c>
    </row>
    <row r="521" s="96" customFormat="true" ht="15.75" hidden="false" customHeight="true" outlineLevel="0" collapsed="false">
      <c r="A521" s="269"/>
      <c r="B521" s="228"/>
      <c r="C521" s="228"/>
      <c r="D521" s="176"/>
      <c r="E521" s="167"/>
      <c r="F521" s="229"/>
      <c r="G521" s="230"/>
      <c r="H521" s="167"/>
      <c r="I521" s="231"/>
      <c r="J521" s="232"/>
      <c r="M521" s="96" t="n">
        <f aca="false">ROW()</f>
        <v>521</v>
      </c>
      <c r="N521" s="62" t="s">
        <v>493</v>
      </c>
      <c r="O521" s="62" t="s">
        <v>494</v>
      </c>
    </row>
    <row r="522" s="96" customFormat="true" ht="15.75" hidden="false" customHeight="true" outlineLevel="0" collapsed="false">
      <c r="A522" s="130" t="str">
        <f aca="false">IF(B522="","",+""+1)</f>
        <v/>
      </c>
      <c r="B522" s="131"/>
      <c r="C522" s="131"/>
      <c r="D522" s="132"/>
      <c r="E522" s="130"/>
      <c r="F522" s="233"/>
      <c r="G522" s="270"/>
      <c r="H522" s="130"/>
      <c r="I522" s="142"/>
      <c r="J522" s="133"/>
      <c r="M522" s="96" t="n">
        <f aca="false">ROW()</f>
        <v>522</v>
      </c>
      <c r="N522" s="62" t="s">
        <v>495</v>
      </c>
      <c r="O522" s="62" t="s">
        <v>496</v>
      </c>
    </row>
    <row r="523" s="96" customFormat="true" ht="15.75" hidden="false" customHeight="true" outlineLevel="0" collapsed="false">
      <c r="A523" s="136" t="str">
        <f aca="false">IF(B523="","",+A522+1)</f>
        <v/>
      </c>
      <c r="B523" s="135"/>
      <c r="C523" s="135"/>
      <c r="D523" s="139"/>
      <c r="E523" s="136"/>
      <c r="F523" s="236"/>
      <c r="G523" s="237"/>
      <c r="H523" s="136"/>
      <c r="I523" s="180"/>
      <c r="J523" s="140"/>
      <c r="M523" s="96" t="n">
        <f aca="false">ROW()</f>
        <v>523</v>
      </c>
      <c r="N523" s="62" t="s">
        <v>497</v>
      </c>
      <c r="O523" s="62" t="s">
        <v>498</v>
      </c>
    </row>
    <row r="524" s="96" customFormat="true" ht="15.75" hidden="false" customHeight="true" outlineLevel="0" collapsed="false">
      <c r="A524" s="97"/>
      <c r="D524" s="98"/>
      <c r="E524" s="97"/>
      <c r="F524" s="97"/>
      <c r="G524" s="97"/>
      <c r="H524" s="97"/>
      <c r="I524" s="97"/>
      <c r="J524" s="196"/>
      <c r="M524" s="96" t="n">
        <f aca="false">ROW()</f>
        <v>524</v>
      </c>
      <c r="N524" s="62" t="s">
        <v>499</v>
      </c>
      <c r="O524" s="62" t="s">
        <v>500</v>
      </c>
    </row>
    <row r="525" customFormat="false" ht="14.25" hidden="false" customHeight="false" outlineLevel="0" collapsed="false">
      <c r="J525" s="92" t="str">
        <f aca="false">LEFT($J$111,11)&amp;"-05"</f>
        <v>FG-240-5P5R-05</v>
      </c>
      <c r="M525" s="96" t="n">
        <f aca="false">ROW()</f>
        <v>525</v>
      </c>
      <c r="N525" s="62" t="s">
        <v>501</v>
      </c>
      <c r="O525" s="62" t="s">
        <v>502</v>
      </c>
    </row>
    <row r="526" customFormat="false" ht="14.25" hidden="false" customHeight="false" outlineLevel="0" collapsed="false">
      <c r="M526" s="96" t="n">
        <f aca="false">ROW()</f>
        <v>526</v>
      </c>
      <c r="N526" s="62" t="s">
        <v>503</v>
      </c>
      <c r="O526" s="62" t="s">
        <v>504</v>
      </c>
    </row>
    <row r="527" customFormat="false" ht="14.25" hidden="false" customHeight="false" outlineLevel="0" collapsed="false">
      <c r="M527" s="96" t="n">
        <f aca="false">ROW()</f>
        <v>527</v>
      </c>
      <c r="N527" s="62" t="s">
        <v>505</v>
      </c>
      <c r="O527" s="62" t="s">
        <v>506</v>
      </c>
    </row>
  </sheetData>
  <mergeCells count="43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7"/>
    <mergeCell ref="H163:H167"/>
    <mergeCell ref="I166:J167"/>
    <mergeCell ref="D168:D169"/>
    <mergeCell ref="H168:H169"/>
    <mergeCell ref="I168:J168"/>
    <mergeCell ref="A170:J170"/>
    <mergeCell ref="A212:J212"/>
    <mergeCell ref="A319:J319"/>
    <mergeCell ref="F329:G329"/>
    <mergeCell ref="F330:G330"/>
    <mergeCell ref="F333:G333"/>
    <mergeCell ref="A426:J426"/>
    <mergeCell ref="A517:J517"/>
    <mergeCell ref="F519:G519"/>
  </mergeCells>
  <dataValidations count="4">
    <dataValidation allowBlank="true" errorStyle="stop" operator="between" showDropDown="false" showErrorMessage="true" showInputMessage="true" sqref="D127:G127" type="list">
      <formula1>$N$120:$N$128</formula1>
      <formula2>0</formula2>
    </dataValidation>
    <dataValidation allowBlank="true" errorStyle="stop" operator="between" showDropDown="false" showErrorMessage="true" showInputMessage="true" sqref="C205" type="list">
      <formula1>$O$172:$O$190</formula1>
      <formula2>0</formula2>
    </dataValidation>
    <dataValidation allowBlank="true" errorStyle="stop" operator="between" showDropDown="false" showErrorMessage="true" showInputMessage="true" sqref="D129:G129" type="list">
      <formula1>$O$120</formula1>
      <formula2>0</formula2>
    </dataValidation>
    <dataValidation allowBlank="true" errorStyle="stop" operator="between" showDropDown="false" showErrorMessage="true" showInputMessage="true" sqref="D123:G123" type="list">
      <formula1>$P$119:$P$128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6" man="true" max="16383" min="0"/>
    <brk id="313" man="true" max="16383" min="0"/>
    <brk id="420" man="true" max="16383" min="0"/>
  </row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529"/>
  <sheetViews>
    <sheetView showFormulas="false" showGridLines="false" showRowColHeaders="true" showZeros="true" rightToLeft="false" tabSelected="false" showOutlineSymbols="true" defaultGridColor="true" view="pageBreakPreview" topLeftCell="A175" colorId="64" zoomScale="75" zoomScaleNormal="75" zoomScalePageLayoutView="75" workbookViewId="0">
      <selection pane="topLeft" activeCell="D187" activeCellId="0" sqref="D187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34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7.67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41.5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3.44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672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>
      <c r="G45" s="91"/>
    </row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673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5" hidden="false" customHeight="true" outlineLevel="0" collapsed="false">
      <c r="A118" s="97"/>
      <c r="C118" s="81"/>
      <c r="D118" s="98"/>
      <c r="E118" s="83"/>
      <c r="J118" s="99"/>
      <c r="K118" s="83"/>
    </row>
    <row r="119" s="96" customFormat="true" ht="15" hidden="false" customHeight="true" outlineLevel="0" collapsed="false">
      <c r="A119" s="97"/>
      <c r="C119" s="100" t="s">
        <v>286</v>
      </c>
      <c r="D119" s="101"/>
      <c r="E119" s="101"/>
      <c r="F119" s="101"/>
      <c r="G119" s="101"/>
      <c r="I119" s="83"/>
      <c r="J119" s="97"/>
      <c r="N119" s="258" t="s">
        <v>288</v>
      </c>
      <c r="O119" s="97" t="s">
        <v>289</v>
      </c>
      <c r="P119" s="102" t="s">
        <v>290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5</v>
      </c>
      <c r="O120" s="97" t="s">
        <v>509</v>
      </c>
      <c r="P120" s="106" t="s">
        <v>294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6</v>
      </c>
      <c r="O121" s="97" t="s">
        <v>296</v>
      </c>
      <c r="P121" s="106" t="s">
        <v>297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8</v>
      </c>
      <c r="P122" s="106" t="s">
        <v>299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2400</v>
      </c>
      <c r="N123" s="259" t="n">
        <v>10</v>
      </c>
      <c r="P123" s="106" t="s">
        <v>303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12</v>
      </c>
      <c r="P124" s="106" t="s">
        <v>305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14</v>
      </c>
      <c r="P125" s="106" t="s">
        <v>308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3900</v>
      </c>
      <c r="K126" s="110"/>
      <c r="L126" s="110"/>
      <c r="N126" s="259" t="n">
        <v>18</v>
      </c>
      <c r="P126" s="106" t="s">
        <v>311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5</v>
      </c>
      <c r="E127" s="111"/>
      <c r="F127" s="111"/>
      <c r="G127" s="111"/>
      <c r="H127" s="104"/>
      <c r="I127" s="104"/>
      <c r="J127" s="105"/>
      <c r="N127" s="259" t="n">
        <v>20</v>
      </c>
      <c r="P127" s="106" t="s">
        <v>313</v>
      </c>
    </row>
    <row r="128" s="96" customFormat="true" ht="18.75" hidden="false" customHeight="true" outlineLevel="0" collapsed="false">
      <c r="C128" s="108" t="s">
        <v>314</v>
      </c>
      <c r="I128" s="97"/>
      <c r="J128" s="97"/>
      <c r="N128" s="259" t="n">
        <v>22</v>
      </c>
      <c r="P128" s="106" t="s">
        <v>315</v>
      </c>
    </row>
    <row r="129" s="96" customFormat="true" ht="15" hidden="false" customHeight="true" outlineLevel="0" collapsed="false">
      <c r="A129" s="89" t="str">
        <f aca="false">A18</f>
        <v>240-6 Panel (1L5R)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3840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12</v>
      </c>
      <c r="U133" s="127" t="s">
        <v>674</v>
      </c>
      <c r="V133" s="247" t="n">
        <f aca="false">($J$126-185-(113.25*5))/6</f>
        <v>524.791666666667</v>
      </c>
      <c r="W133" s="129" t="n">
        <f aca="false">$J$121*T133</f>
        <v>0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3814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12</v>
      </c>
      <c r="U134" s="127" t="s">
        <v>674</v>
      </c>
      <c r="V134" s="247" t="n">
        <f aca="false">($J$126-185-(113.25*5))/6</f>
        <v>524.791666666667</v>
      </c>
      <c r="W134" s="134" t="n">
        <f aca="false">$J$121*T134</f>
        <v>0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3840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12</v>
      </c>
      <c r="U135" s="127" t="s">
        <v>674</v>
      </c>
      <c r="V135" s="247" t="n">
        <f aca="false">($J$126-185-(113.25*5))/6</f>
        <v>524.791666666667</v>
      </c>
      <c r="W135" s="137" t="n">
        <f aca="false">$J$121*T135</f>
        <v>0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3840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12</v>
      </c>
      <c r="U136" s="127" t="s">
        <v>360</v>
      </c>
      <c r="V136" s="138" t="n">
        <f aca="false">$J$123-242</f>
        <v>2158</v>
      </c>
      <c r="W136" s="129" t="n">
        <f aca="false">$J$121*T136</f>
        <v>0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2400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12</v>
      </c>
      <c r="U137" s="130" t="s">
        <v>360</v>
      </c>
      <c r="V137" s="133" t="n">
        <f aca="false">$J$123-242</f>
        <v>2158</v>
      </c>
      <c r="W137" s="134" t="n">
        <f aca="false">$J$121*T137</f>
        <v>0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2400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12</v>
      </c>
      <c r="U138" s="136" t="s">
        <v>360</v>
      </c>
      <c r="V138" s="140" t="n">
        <f aca="false">$J$123-242</f>
        <v>2158</v>
      </c>
      <c r="W138" s="137" t="n">
        <f aca="false">$J$121*T138</f>
        <v>0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2304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2304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6</v>
      </c>
      <c r="H141" s="130" t="s">
        <v>675</v>
      </c>
      <c r="I141" s="141" t="n">
        <f aca="false">($J$126-60-(6+1)*4)/6</f>
        <v>635.333333333333</v>
      </c>
      <c r="J141" s="134" t="n">
        <f aca="false">$J$120*G141</f>
        <v>6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6</v>
      </c>
      <c r="H142" s="130" t="s">
        <v>675</v>
      </c>
      <c r="I142" s="141" t="n">
        <f aca="false">($J$126-60-(6+1)*4)/6</f>
        <v>635.333333333333</v>
      </c>
      <c r="J142" s="134" t="n">
        <f aca="false">$J$120*G142</f>
        <v>6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9</v>
      </c>
      <c r="H143" s="130" t="s">
        <v>389</v>
      </c>
      <c r="I143" s="133" t="n">
        <f aca="false">$J$123-92</f>
        <v>2308</v>
      </c>
      <c r="J143" s="134" t="n">
        <f aca="false">$J$120*G143</f>
        <v>9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563</v>
      </c>
      <c r="G144" s="130" t="n">
        <v>2</v>
      </c>
      <c r="H144" s="130" t="s">
        <v>389</v>
      </c>
      <c r="I144" s="133" t="n">
        <f aca="false">$J$123-92</f>
        <v>2308</v>
      </c>
      <c r="J144" s="134" t="n">
        <f aca="false">$J$120*G144</f>
        <v>2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531</v>
      </c>
      <c r="C145" s="131" t="s">
        <v>532</v>
      </c>
      <c r="D145" s="132" t="s">
        <v>74</v>
      </c>
      <c r="E145" s="130" t="n">
        <v>1.106</v>
      </c>
      <c r="F145" s="132" t="s">
        <v>533</v>
      </c>
      <c r="G145" s="130" t="n">
        <v>1</v>
      </c>
      <c r="H145" s="130" t="s">
        <v>389</v>
      </c>
      <c r="I145" s="133" t="n">
        <f aca="false">$J$123-92</f>
        <v>2308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6" s="131" t="str">
        <f aca="false">IF($D$127=5,Q133,IF($D$127=6,Q133,IF($D$127=8,Q134,IF($D$127=10,Q134,IF($D$127=12,Q134,IF($D$127=14,Q135,IF($D$127=18,Q135,IF($D$127=20,Q135,IF($D$127=22,Q135,)))))))))</f>
        <v>B24008</v>
      </c>
      <c r="E146" s="131" t="n">
        <f aca="false">IF($D$127=5,R133,IF($D$127=6,R133,IF($D$127=8,R134,IF($D$127=10,R134,IF($D$127=12,R134,IF($D$127=14,R135,IF($D$127=18,R135,IF($D$127=20,R135,IF($D$127=22,R135,)))))))))</f>
        <v>0.231</v>
      </c>
      <c r="F146" s="131" t="str">
        <f aca="false">IF($D$127=5,S133,IF($D$127=6,S133,IF($D$127=8,S134,IF($D$127=10,S134,IF($D$127=12,S134,IF($D$127=14,S135,IF($D$127=18,S135,IF($D$127=20,S135,IF($D$127=22,S135,)))))))))</f>
        <v>B24008-001</v>
      </c>
      <c r="G146" s="130" t="n">
        <f aca="false">IF($D$127=5,T133,IF($D$127=6,T133,IF($D$127=8,T134,IF($D$127=10,T134,IF($D$127=12,T134,IF($D$127=14,T135,IF($D$127=18,T135,IF($D$127=20,T135,IF($D$127=22,T135,)))))))))</f>
        <v>12</v>
      </c>
      <c r="H146" s="130" t="str">
        <f aca="false">IF($D$127=5,U133,IF($D$127=6,U133,IF($D$127=8,U134,IF($D$127=10,U134,IF($D$127=12,U134,IF($D$127=14,U135,IF($D$127=18,U135,IF($D$127=20,U135,IF($D$127=22,U135,)))))))))</f>
        <v>(W-185-(113.25 × 5))/6</v>
      </c>
      <c r="I146" s="141" t="n">
        <f aca="false">IF($D$127=5,V133,IF($D$127=6,V133,IF($D$127=8,V134,IF($D$127=10,V134,IF($D$127=12,V134,IF($D$127=14,V135,IF($D$127=18,V135,IF($D$127=20,V135,IF($D$127=22,V135,)))))))))</f>
        <v>524.791666666667</v>
      </c>
      <c r="J146" s="134" t="n">
        <f aca="false">$J$120*G146</f>
        <v>12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7" s="131" t="str">
        <f aca="false">IF($D$127=5,Q136,IF($D$127=6,Q136,IF($D$127=8,Q137,IF($D$127=10,Q137,IF($D$127=12,Q137,IF($D$127=14,Q138,IF($D$127=18,Q138,IF($D$127=20,Q138,IF($D$127=22,Q138,)))))))))</f>
        <v>B24008</v>
      </c>
      <c r="E147" s="131" t="n">
        <f aca="false">IF($D$127=5,R136,IF($D$127=6,R136,IF($D$127=8,R137,IF($D$127=10,R137,IF($D$127=12,R137,IF($D$127=14,R138,IF($D$127=18,R138,IF($D$127=20,R138,IF($D$127=22,R138,)))))))))</f>
        <v>0.231</v>
      </c>
      <c r="F147" s="131" t="str">
        <f aca="false">IF($D$127=5,S136,IF($D$127=6,S136,IF($D$127=8,S137,IF($D$127=10,S137,IF($D$127=12,S137,IF($D$127=14,S138,IF($D$127=18,S138,IF($D$127=20,S138,IF($D$127=22,S138,)))))))))</f>
        <v>B24008-002</v>
      </c>
      <c r="G147" s="130" t="n">
        <f aca="false">IF($D$127=5,T136,IF($D$127=6,T136,IF($D$127=8,T137,IF($D$127=10,T137,IF($D$127=12,T137,IF($D$127=14,T138,IF($D$127=18,T138,IF($D$127=20,T138,IF($D$127=22,T138,)))))))))</f>
        <v>12</v>
      </c>
      <c r="H147" s="130" t="str">
        <f aca="false">IF($D$127=5,U136,IF($D$127=6,U136,IF($D$127=8,U137,IF($D$127=10,U137,IF($D$127=12,U137,IF($D$127=14,U138,IF($D$127=18,U138,IF($D$127=20,U138,IF($D$127=22,U138,)))))))))</f>
        <v>H-242</v>
      </c>
      <c r="I147" s="133" t="n">
        <f aca="false">IF($D$127=5,V136,IF($D$127=6,V136,IF($D$127=8,V137,IF($D$127=10,V137,IF($D$127=12,V137,IF($D$127=14,V138,IF($D$127=18,V138,IF($D$127=20,V138,IF($D$127=22,V138,)))))))))</f>
        <v>2158</v>
      </c>
      <c r="J147" s="134" t="n">
        <f aca="false">$J$120*G147</f>
        <v>12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">
        <v>534</v>
      </c>
      <c r="C148" s="131" t="s">
        <v>535</v>
      </c>
      <c r="D148" s="132" t="s">
        <v>536</v>
      </c>
      <c r="E148" s="130"/>
      <c r="F148" s="132" t="s">
        <v>537</v>
      </c>
      <c r="G148" s="130" t="n">
        <v>1</v>
      </c>
      <c r="H148" s="130" t="s">
        <v>389</v>
      </c>
      <c r="I148" s="133" t="n">
        <f aca="false">$J$123-92</f>
        <v>2308</v>
      </c>
      <c r="J148" s="134" t="n">
        <f aca="false">$J$120*G148</f>
        <v>1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535</v>
      </c>
      <c r="D149" s="132" t="s">
        <v>536</v>
      </c>
      <c r="E149" s="130"/>
      <c r="F149" s="132" t="s">
        <v>539</v>
      </c>
      <c r="G149" s="130" t="n">
        <v>1</v>
      </c>
      <c r="H149" s="130" t="s">
        <v>389</v>
      </c>
      <c r="I149" s="133" t="n">
        <f aca="false">$J$123-92</f>
        <v>2308</v>
      </c>
      <c r="J149" s="134" t="n">
        <f aca="false">$J$120*G149</f>
        <v>1</v>
      </c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33"/>
      <c r="J150" s="134"/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42"/>
      <c r="J151" s="134" t="n">
        <f aca="false">$J$120*G151</f>
        <v>0</v>
      </c>
    </row>
    <row r="152" s="96" customFormat="true" ht="18" hidden="false" customHeight="true" outlineLevel="0" collapsed="false">
      <c r="A152" s="130" t="str">
        <f aca="false">IF(B152="","",+A151+1)</f>
        <v/>
      </c>
      <c r="B152" s="143"/>
      <c r="C152" s="143"/>
      <c r="D152" s="144"/>
      <c r="E152" s="145"/>
      <c r="F152" s="144"/>
      <c r="G152" s="145"/>
      <c r="H152" s="145"/>
      <c r="I152" s="307"/>
      <c r="J152" s="308"/>
    </row>
    <row r="153" s="96" customFormat="true" ht="18" hidden="false" customHeight="true" outlineLevel="0" collapsed="false">
      <c r="A153" s="130" t="str">
        <f aca="false">IF(B153="","",+A151+1)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3840</v>
      </c>
      <c r="G155" s="155" t="n">
        <f aca="false">VLOOKUP(C155,$C$133:$J$153,8,0)</f>
        <v>1</v>
      </c>
      <c r="H155" s="264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VLOOKUP(C156,$C$133:$I$153,7,0)</f>
        <v>3814</v>
      </c>
      <c r="G156" s="155" t="n">
        <f aca="false">VLOOKUP(C156,$C$133:$J$153,8,0)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VLOOKUP(C157,$C$133:$I$153,7,0)</f>
        <v>3840</v>
      </c>
      <c r="G157" s="155" t="n">
        <f aca="false">VLOOKUP(C157,$C$133:$J$153,8,0)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VLOOKUP(C158,$C$133:$I$153,7,0)</f>
        <v>3840</v>
      </c>
      <c r="G158" s="155" t="n">
        <f aca="false">VLOOKUP(C158,$C$133:$J$153,8,0)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VLOOKUP(C159,$C$133:$I$153,7,0)</f>
        <v>2400</v>
      </c>
      <c r="G159" s="155" t="n">
        <f aca="false">VLOOKUP(C159,$C$133:$J$153,8,0)</f>
        <v>1</v>
      </c>
      <c r="H159" s="160" t="n">
        <f aca="false">ROUNDUP(((F159*G159)+(F160*G160))/6400,0)</f>
        <v>1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VLOOKUP(C160,$C$133:$I$153,7,0)</f>
        <v>2400</v>
      </c>
      <c r="G160" s="155" t="n">
        <f aca="false">VLOOKUP(C160,$C$133:$J$153,8,0)</f>
        <v>1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VLOOKUP(C161,$C$133:$I$153,7,0)</f>
        <v>2304</v>
      </c>
      <c r="G161" s="155" t="n">
        <f aca="false">VLOOKUP(C161,$C$133:$J$153,8,0)</f>
        <v>1</v>
      </c>
      <c r="H161" s="160" t="n">
        <f aca="false">ROUNDUP(((F161*G161)+(F162*G162))/6400,0)</f>
        <v>1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155" t="n">
        <f aca="false">VLOOKUP(C162,$C$133:$H$153,3,0)</f>
        <v>0.235</v>
      </c>
      <c r="F162" s="263" t="n">
        <f aca="false">VLOOKUP(C162,$C$133:$I$153,7,0)</f>
        <v>2304</v>
      </c>
      <c r="G162" s="155" t="n">
        <f aca="false">VLOOKUP(C162,$C$133:$J$153,8,0)</f>
        <v>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155" t="n">
        <f aca="false">VLOOKUP(C163,$C$133:$H$153,3,0)</f>
        <v>1.106</v>
      </c>
      <c r="F163" s="267" t="n">
        <f aca="false">VLOOKUP(C163,$C$133:$I$153,7,0)</f>
        <v>635.333333333333</v>
      </c>
      <c r="G163" s="155" t="n">
        <f aca="false">VLOOKUP(C163,$C$133:$J$153,8,0)</f>
        <v>6</v>
      </c>
      <c r="H163" s="306" t="n">
        <f aca="false">ROUNDUP(((F163*G163)+(F164*G164)+(F165*G165)+(F166*G166)+(F167*G167))/6400,0)</f>
        <v>6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155" t="n">
        <f aca="false">VLOOKUP(C164,$C$133:$H$153,3,0)</f>
        <v>1.106</v>
      </c>
      <c r="F164" s="267" t="n">
        <f aca="false">VLOOKUP(C164,$C$133:$I$153,7,0)</f>
        <v>635.333333333333</v>
      </c>
      <c r="G164" s="155" t="n">
        <f aca="false">VLOOKUP(C164,$C$133:$J$153,8,0)</f>
        <v>6</v>
      </c>
      <c r="H164" s="306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155" t="n">
        <f aca="false">VLOOKUP(C165,$C$133:$H$153,3,0)</f>
        <v>1.106</v>
      </c>
      <c r="F165" s="263" t="n">
        <f aca="false">VLOOKUP(C165,$C$133:$I$153,7,0)</f>
        <v>2308</v>
      </c>
      <c r="G165" s="155" t="n">
        <f aca="false">VLOOKUP(C165,$C$133:$J$153,8,0)</f>
        <v>9</v>
      </c>
      <c r="H165" s="306"/>
      <c r="I165" s="161"/>
      <c r="J165" s="161"/>
    </row>
    <row r="166" s="96" customFormat="true" ht="13.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155" t="n">
        <f aca="false">VLOOKUP(C166,$C$133:$H$153,3,0)</f>
        <v>1.106</v>
      </c>
      <c r="F166" s="263" t="n">
        <f aca="false">VLOOKUP(C166,$C$133:$I$153,7,0)</f>
        <v>2308</v>
      </c>
      <c r="G166" s="155" t="n">
        <f aca="false">VLOOKUP(C166,$C$133:$J$153,8,0)</f>
        <v>2</v>
      </c>
      <c r="H166" s="306"/>
      <c r="I166" s="161"/>
      <c r="J166" s="161"/>
    </row>
    <row r="167" s="96" customFormat="true" ht="15" hidden="false" customHeight="true" outlineLevel="1" collapsed="false">
      <c r="A167" s="158" t="n">
        <f aca="false">IF(B167="","",+A166+1)</f>
        <v>13</v>
      </c>
      <c r="B167" s="153" t="str">
        <f aca="false">B145</f>
        <v>เสากุญแจมือจับ</v>
      </c>
      <c r="C167" s="153" t="str">
        <f aca="false">C145</f>
        <v>SASH (Ver) LOCK HANDLE</v>
      </c>
      <c r="D167" s="159"/>
      <c r="E167" s="155" t="n">
        <f aca="false">VLOOKUP(C167,$C$133:$H$153,3,0)</f>
        <v>1.106</v>
      </c>
      <c r="F167" s="263" t="n">
        <f aca="false">VLOOKUP(C167,$C$133:$I$153,7,0)</f>
        <v>2308</v>
      </c>
      <c r="G167" s="155" t="n">
        <f aca="false">VLOOKUP(C167,$C$133:$J$153,8,0)</f>
        <v>1</v>
      </c>
      <c r="H167" s="306"/>
      <c r="I167" s="161"/>
      <c r="J167" s="161"/>
    </row>
    <row r="168" s="96" customFormat="true" ht="13.5" hidden="false" customHeight="true" outlineLevel="1" collapsed="false">
      <c r="A168" s="158" t="n">
        <f aca="false">IF(B168="","",+A167+1)</f>
        <v>14</v>
      </c>
      <c r="B168" s="153" t="str">
        <f aca="false">B146</f>
        <v>5-6mm คิ้วตบกระจกแนวนอน</v>
      </c>
      <c r="C168" s="153" t="str">
        <f aca="false">C146</f>
        <v>5-6mm GLAZING BEAD HORIZONTAL</v>
      </c>
      <c r="D168" s="159" t="str">
        <f aca="false">VLOOKUP(C168,$C$133:$H$153,2,0)</f>
        <v>B24008</v>
      </c>
      <c r="E168" s="155" t="n">
        <f aca="false">VLOOKUP(C168,$C$133:$H$153,3,0)</f>
        <v>0.231</v>
      </c>
      <c r="F168" s="267" t="n">
        <f aca="false">VLOOKUP(C168,$C$133:$I$153,7,0)</f>
        <v>524.791666666667</v>
      </c>
      <c r="G168" s="155" t="n">
        <f aca="false">VLOOKUP(C168,$C$133:$J$153,8,0)</f>
        <v>12</v>
      </c>
      <c r="H168" s="160" t="n">
        <f aca="false">ROUNDUP(((F168*G168)+(F169*G169))/6400,0)</f>
        <v>6</v>
      </c>
      <c r="I168" s="265"/>
      <c r="J168" s="265"/>
    </row>
    <row r="169" s="96" customFormat="true" ht="15" hidden="false" customHeight="true" outlineLevel="1" collapsed="false">
      <c r="A169" s="158" t="n">
        <f aca="false">IF(B169="","",+A168+1)</f>
        <v>15</v>
      </c>
      <c r="B169" s="153" t="str">
        <f aca="false">B147</f>
        <v>5-6mm คิ้วตบกระจกแนวตั้ง</v>
      </c>
      <c r="C169" s="153" t="str">
        <f aca="false">C147</f>
        <v>5-6mm GLAZING BEAD VERTICAL</v>
      </c>
      <c r="D169" s="159"/>
      <c r="E169" s="155" t="n">
        <f aca="false">VLOOKUP(C169,$C$133:$H$153,3,0)</f>
        <v>0.231</v>
      </c>
      <c r="F169" s="263" t="n">
        <f aca="false">VLOOKUP(C169,$C$133:$I$153,7,0)</f>
        <v>2158</v>
      </c>
      <c r="G169" s="155" t="n">
        <f aca="false">VLOOKUP(C169,$C$133:$J$153,8,0)</f>
        <v>12</v>
      </c>
      <c r="H169" s="160"/>
      <c r="I169" s="196"/>
      <c r="J169" s="196"/>
    </row>
    <row r="170" s="96" customFormat="true" ht="13.5" hidden="false" customHeight="true" outlineLevel="1" collapsed="false">
      <c r="A170" s="158" t="n">
        <f aca="false">IF(B170="","",+A169+1)</f>
        <v>16</v>
      </c>
      <c r="B170" s="153" t="str">
        <f aca="false">B148</f>
        <v>บังใบ</v>
      </c>
      <c r="C170" s="153" t="str">
        <f aca="false">C148</f>
        <v>SASH STOP</v>
      </c>
      <c r="D170" s="163" t="str">
        <f aca="false">VLOOKUP(C170,$C$133:$H$153,2,0)</f>
        <v>B24009</v>
      </c>
      <c r="E170" s="155" t="n">
        <f aca="false">VLOOKUP(C170,$C$133:$H$153,3,0)</f>
        <v>0</v>
      </c>
      <c r="F170" s="263" t="n">
        <f aca="false">VLOOKUP(C170,$C$133:$I$153,7,0)</f>
        <v>2308</v>
      </c>
      <c r="G170" s="155" t="n">
        <f aca="false">VLOOKUP(C170,$C$133:$J$153,8,0)</f>
        <v>1</v>
      </c>
      <c r="H170" s="160" t="n">
        <f aca="false">ROUNDUP(((F170*G170)+(F171*G171))/6400,0)</f>
        <v>1</v>
      </c>
      <c r="I170" s="196"/>
      <c r="J170" s="196"/>
    </row>
    <row r="171" s="96" customFormat="true" ht="14.25" hidden="false" customHeight="false" outlineLevel="1" collapsed="false">
      <c r="A171" s="158" t="n">
        <f aca="false">IF(B171="","",+A170+1)</f>
        <v>17</v>
      </c>
      <c r="B171" s="153" t="str">
        <f aca="false">B149</f>
        <v>บังใบ</v>
      </c>
      <c r="C171" s="153" t="str">
        <f aca="false">C149</f>
        <v>SASH STOP</v>
      </c>
      <c r="D171" s="163"/>
      <c r="E171" s="155" t="n">
        <f aca="false">VLOOKUP(C171,$C$133:$H$153,3,0)</f>
        <v>0</v>
      </c>
      <c r="F171" s="263" t="n">
        <f aca="false">VLOOKUP(C171,$C$133:$I$153,7,0)</f>
        <v>2308</v>
      </c>
      <c r="G171" s="155" t="n">
        <f aca="false">VLOOKUP(C171,$C$133:$J$153,8,0)</f>
        <v>1</v>
      </c>
      <c r="H171" s="160"/>
      <c r="I171" s="196"/>
      <c r="J171" s="196"/>
    </row>
    <row r="172" s="96" customFormat="true" ht="24.75" hidden="false" customHeight="true" outlineLevel="0" collapsed="false">
      <c r="A172" s="113" t="s">
        <v>396</v>
      </c>
      <c r="B172" s="113"/>
      <c r="C172" s="113"/>
      <c r="D172" s="113"/>
      <c r="E172" s="113"/>
      <c r="F172" s="113"/>
      <c r="G172" s="113"/>
      <c r="H172" s="113"/>
      <c r="I172" s="113"/>
      <c r="J172" s="113"/>
    </row>
    <row r="173" s="96" customFormat="true" ht="34.5" hidden="false" customHeight="true" outlineLevel="0" collapsed="false">
      <c r="A173" s="114" t="s">
        <v>319</v>
      </c>
      <c r="B173" s="115" t="s">
        <v>320</v>
      </c>
      <c r="C173" s="115" t="s">
        <v>168</v>
      </c>
      <c r="D173" s="115" t="s">
        <v>397</v>
      </c>
      <c r="E173" s="115" t="s">
        <v>321</v>
      </c>
      <c r="F173" s="116" t="s">
        <v>398</v>
      </c>
      <c r="G173" s="115" t="s">
        <v>399</v>
      </c>
      <c r="H173" s="116" t="s">
        <v>400</v>
      </c>
      <c r="I173" s="116" t="s">
        <v>401</v>
      </c>
      <c r="J173" s="117" t="s">
        <v>402</v>
      </c>
      <c r="N173" s="107" t="s">
        <v>288</v>
      </c>
      <c r="O173" s="165" t="s">
        <v>320</v>
      </c>
      <c r="P173" s="165" t="s">
        <v>168</v>
      </c>
      <c r="Q173" s="165" t="s">
        <v>397</v>
      </c>
      <c r="R173" s="165" t="s">
        <v>321</v>
      </c>
      <c r="S173" s="165" t="s">
        <v>398</v>
      </c>
      <c r="T173" s="165" t="s">
        <v>399</v>
      </c>
      <c r="U173" s="165" t="s">
        <v>400</v>
      </c>
      <c r="V173" s="165" t="s">
        <v>401</v>
      </c>
      <c r="W173" s="165" t="s">
        <v>402</v>
      </c>
    </row>
    <row r="174" s="96" customFormat="true" ht="18" hidden="false" customHeight="true" outlineLevel="0" collapsed="false">
      <c r="A174" s="166" t="n">
        <f aca="false">IF(B174="","",1)</f>
        <v>1</v>
      </c>
      <c r="B174" s="131" t="s">
        <v>410</v>
      </c>
      <c r="C174" s="131" t="s">
        <v>411</v>
      </c>
      <c r="D174" s="132" t="s">
        <v>267</v>
      </c>
      <c r="E174" s="130"/>
      <c r="F174" s="130" t="s">
        <v>267</v>
      </c>
      <c r="G174" s="130" t="s">
        <v>405</v>
      </c>
      <c r="H174" s="130" t="n">
        <v>12</v>
      </c>
      <c r="I174" s="133"/>
      <c r="J174" s="134" t="n">
        <f aca="false">$J$120*H174</f>
        <v>12</v>
      </c>
      <c r="N174" s="107" t="s">
        <v>406</v>
      </c>
      <c r="O174" s="55" t="s">
        <v>407</v>
      </c>
      <c r="P174" s="62" t="s">
        <v>408</v>
      </c>
      <c r="Q174" s="55" t="s">
        <v>227</v>
      </c>
      <c r="R174" s="158"/>
      <c r="S174" s="158" t="s">
        <v>227</v>
      </c>
      <c r="T174" s="158" t="s">
        <v>409</v>
      </c>
      <c r="U174" s="168" t="n">
        <f aca="false">((($I$141*$G$141)+($I$142*$G$142)+($I$143*$G$143)+($I$144*$G$144)+($I$145*$G$145))/1000)*$J$120</f>
        <v>35.32</v>
      </c>
      <c r="V174" s="168" t="n">
        <v>100</v>
      </c>
      <c r="W174" s="169" t="n">
        <f aca="false">ROUNDUP((U174)/100,0)</f>
        <v>1</v>
      </c>
    </row>
    <row r="175" s="96" customFormat="true" ht="18" hidden="false" customHeight="true" outlineLevel="0" collapsed="false">
      <c r="A175" s="170" t="n">
        <f aca="false">IF(B175="","",+A174+1)</f>
        <v>2</v>
      </c>
      <c r="B175" s="131" t="s">
        <v>415</v>
      </c>
      <c r="C175" s="131" t="s">
        <v>416</v>
      </c>
      <c r="D175" s="132" t="s">
        <v>222</v>
      </c>
      <c r="E175" s="130"/>
      <c r="F175" s="130" t="s">
        <v>222</v>
      </c>
      <c r="G175" s="130" t="s">
        <v>405</v>
      </c>
      <c r="H175" s="130" t="n">
        <v>2</v>
      </c>
      <c r="I175" s="133"/>
      <c r="J175" s="134" t="n">
        <f aca="false">$J$120*H175</f>
        <v>2</v>
      </c>
      <c r="N175" s="107" t="s">
        <v>412</v>
      </c>
      <c r="O175" s="55" t="s">
        <v>413</v>
      </c>
      <c r="P175" s="62" t="s">
        <v>414</v>
      </c>
      <c r="Q175" s="55" t="s">
        <v>234</v>
      </c>
      <c r="R175" s="158"/>
      <c r="S175" s="158" t="s">
        <v>234</v>
      </c>
      <c r="T175" s="158" t="s">
        <v>409</v>
      </c>
      <c r="U175" s="168" t="n">
        <f aca="false">((($I$141*$G$141)+($I$142*$G$142)+($I$143*$G$143)+($I$144*$G$144)+($I$145*$G$145))/1000)*$J$120</f>
        <v>35.32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3</v>
      </c>
      <c r="B176" s="131" t="s">
        <v>420</v>
      </c>
      <c r="C176" s="131" t="s">
        <v>421</v>
      </c>
      <c r="D176" s="132" t="s">
        <v>225</v>
      </c>
      <c r="E176" s="130"/>
      <c r="F176" s="130" t="s">
        <v>225</v>
      </c>
      <c r="G176" s="130" t="s">
        <v>405</v>
      </c>
      <c r="H176" s="130" t="n">
        <v>2</v>
      </c>
      <c r="I176" s="133"/>
      <c r="J176" s="134" t="n">
        <f aca="false">$J$120*H176</f>
        <v>2</v>
      </c>
      <c r="N176" s="107" t="s">
        <v>417</v>
      </c>
      <c r="O176" s="62" t="s">
        <v>418</v>
      </c>
      <c r="P176" s="62" t="s">
        <v>419</v>
      </c>
      <c r="Q176" s="55" t="s">
        <v>236</v>
      </c>
      <c r="R176" s="158"/>
      <c r="S176" s="158" t="s">
        <v>236</v>
      </c>
      <c r="T176" s="158" t="s">
        <v>409</v>
      </c>
      <c r="U176" s="168" t="n">
        <f aca="false">((($I$141*$G$141)+($I$142*$G$142)+($I$143*$G$143)+($I$144*$G$144)+($I$145*$G$145))/1000)*$J$120</f>
        <v>35.32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4</v>
      </c>
      <c r="B177" s="131" t="s">
        <v>425</v>
      </c>
      <c r="C177" s="131" t="s">
        <v>426</v>
      </c>
      <c r="D177" s="132" t="n">
        <v>9</v>
      </c>
      <c r="E177" s="130"/>
      <c r="F177" s="130" t="n">
        <v>9</v>
      </c>
      <c r="G177" s="130" t="s">
        <v>405</v>
      </c>
      <c r="H177" s="130" t="n">
        <v>8</v>
      </c>
      <c r="I177" s="133"/>
      <c r="J177" s="134" t="n">
        <f aca="false">$J$120*H177</f>
        <v>8</v>
      </c>
      <c r="N177" s="107" t="s">
        <v>422</v>
      </c>
      <c r="O177" s="62" t="s">
        <v>423</v>
      </c>
      <c r="P177" s="62" t="s">
        <v>424</v>
      </c>
      <c r="Q177" s="55" t="s">
        <v>238</v>
      </c>
      <c r="R177" s="158"/>
      <c r="S177" s="158" t="s">
        <v>238</v>
      </c>
      <c r="T177" s="158" t="s">
        <v>409</v>
      </c>
      <c r="U177" s="168" t="n">
        <f aca="false">((($I$141*$G$141)+($I$142*$G$142)+($I$143*$G$143)+($I$144*$G$144)+($I$145*$G$145))/1000)*$J$120</f>
        <v>35.32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5</v>
      </c>
      <c r="B178" s="131" t="s">
        <v>430</v>
      </c>
      <c r="C178" s="131" t="s">
        <v>431</v>
      </c>
      <c r="D178" s="132" t="n">
        <v>9</v>
      </c>
      <c r="E178" s="130"/>
      <c r="F178" s="130" t="n">
        <v>9</v>
      </c>
      <c r="G178" s="130" t="s">
        <v>405</v>
      </c>
      <c r="H178" s="130" t="n">
        <v>110</v>
      </c>
      <c r="I178" s="133"/>
      <c r="J178" s="134" t="n">
        <f aca="false">$J$120*H178</f>
        <v>110</v>
      </c>
      <c r="N178" s="107" t="s">
        <v>427</v>
      </c>
      <c r="O178" s="62" t="s">
        <v>428</v>
      </c>
      <c r="P178" s="62" t="s">
        <v>429</v>
      </c>
      <c r="Q178" s="55" t="s">
        <v>240</v>
      </c>
      <c r="R178" s="158"/>
      <c r="S178" s="158" t="s">
        <v>240</v>
      </c>
      <c r="T178" s="158" t="s">
        <v>409</v>
      </c>
      <c r="U178" s="168" t="n">
        <f aca="false">((($I$141*$G$141)+($I$142*$G$142)+($I$143*$G$143)+($I$144*$G$144)+($I$145*$G$145))/1000)*$J$120</f>
        <v>35.32</v>
      </c>
      <c r="V178" s="168" t="n">
        <v>100</v>
      </c>
      <c r="W178" s="169" t="n">
        <f aca="false">ROUNDUP((U178)/100,0)</f>
        <v>1</v>
      </c>
    </row>
    <row r="179" s="96" customFormat="true" ht="18" hidden="false" customHeight="true" outlineLevel="0" collapsed="false">
      <c r="A179" s="170" t="n">
        <f aca="false">IF(B179="","",+A178+1)</f>
        <v>6</v>
      </c>
      <c r="B179" s="131" t="s">
        <v>603</v>
      </c>
      <c r="C179" s="131" t="s">
        <v>438</v>
      </c>
      <c r="D179" s="132" t="s">
        <v>4</v>
      </c>
      <c r="E179" s="130"/>
      <c r="F179" s="130" t="s">
        <v>4</v>
      </c>
      <c r="G179" s="130" t="s">
        <v>434</v>
      </c>
      <c r="H179" s="130" t="n">
        <v>1</v>
      </c>
      <c r="I179" s="133"/>
      <c r="J179" s="134" t="n">
        <f aca="false">$J$120*H179</f>
        <v>1</v>
      </c>
    </row>
    <row r="180" s="96" customFormat="true" ht="18" hidden="false" customHeight="true" outlineLevel="0" collapsed="false">
      <c r="A180" s="170" t="n">
        <f aca="false">IF(B180="","",+A179+1)</f>
        <v>7</v>
      </c>
      <c r="B180" s="131" t="s">
        <v>556</v>
      </c>
      <c r="C180" s="131" t="s">
        <v>557</v>
      </c>
      <c r="D180" s="132" t="s">
        <v>5</v>
      </c>
      <c r="E180" s="130"/>
      <c r="F180" s="130" t="s">
        <v>5</v>
      </c>
      <c r="G180" s="130" t="s">
        <v>434</v>
      </c>
      <c r="H180" s="130" t="n">
        <v>1</v>
      </c>
      <c r="I180" s="142"/>
      <c r="J180" s="134" t="n">
        <f aca="false">$J$120*H180</f>
        <v>1</v>
      </c>
    </row>
    <row r="181" s="96" customFormat="true" ht="18" hidden="false" customHeight="true" outlineLevel="0" collapsed="false">
      <c r="A181" s="170" t="n">
        <f aca="false">IF(B181="","",+A180+1)</f>
        <v>8</v>
      </c>
      <c r="B181" s="131" t="s">
        <v>432</v>
      </c>
      <c r="C181" s="131" t="s">
        <v>433</v>
      </c>
      <c r="D181" s="132" t="s">
        <v>6</v>
      </c>
      <c r="E181" s="130"/>
      <c r="F181" s="130" t="s">
        <v>6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9</v>
      </c>
      <c r="B182" s="131" t="s">
        <v>512</v>
      </c>
      <c r="C182" s="131" t="s">
        <v>513</v>
      </c>
      <c r="D182" s="132" t="s">
        <v>7</v>
      </c>
      <c r="E182" s="130"/>
      <c r="F182" s="130" t="s">
        <v>7</v>
      </c>
      <c r="G182" s="130" t="s">
        <v>434</v>
      </c>
      <c r="H182" s="130" t="n">
        <v>1</v>
      </c>
      <c r="I182" s="133"/>
      <c r="J182" s="134" t="n">
        <f aca="false">$J$120*H182</f>
        <v>1</v>
      </c>
    </row>
    <row r="183" s="96" customFormat="true" ht="18" hidden="false" customHeight="true" outlineLevel="0" collapsed="false">
      <c r="A183" s="170" t="n">
        <f aca="false">IF(B183="","",+A182+1)</f>
        <v>10</v>
      </c>
      <c r="B183" s="131" t="s">
        <v>554</v>
      </c>
      <c r="C183" s="131" t="s">
        <v>555</v>
      </c>
      <c r="D183" s="132" t="s">
        <v>11</v>
      </c>
      <c r="E183" s="130"/>
      <c r="F183" s="130" t="s">
        <v>11</v>
      </c>
      <c r="G183" s="130" t="s">
        <v>434</v>
      </c>
      <c r="H183" s="130" t="n">
        <v>2</v>
      </c>
      <c r="I183" s="142"/>
      <c r="J183" s="134" t="n">
        <f aca="false">$J$120*H183</f>
        <v>2</v>
      </c>
      <c r="Q183" s="172"/>
      <c r="R183" s="172"/>
      <c r="S183" s="172"/>
      <c r="T183" s="97"/>
      <c r="U183" s="97"/>
      <c r="V183" s="97"/>
    </row>
    <row r="184" s="96" customFormat="true" ht="18" hidden="false" customHeight="true" outlineLevel="0" collapsed="false">
      <c r="A184" s="170" t="n">
        <f aca="false">IF(B184="","",+A183+1)</f>
        <v>11</v>
      </c>
      <c r="B184" s="131" t="s">
        <v>439</v>
      </c>
      <c r="C184" s="131" t="s">
        <v>440</v>
      </c>
      <c r="D184" s="132" t="s">
        <v>12</v>
      </c>
      <c r="E184" s="130"/>
      <c r="F184" s="130" t="s">
        <v>12</v>
      </c>
      <c r="G184" s="130" t="s">
        <v>434</v>
      </c>
      <c r="H184" s="130" t="n">
        <v>2</v>
      </c>
      <c r="I184" s="142"/>
      <c r="J184" s="134" t="n">
        <f aca="false">$J$120*H184</f>
        <v>2</v>
      </c>
      <c r="N184" s="107" t="s">
        <v>289</v>
      </c>
      <c r="O184" s="165" t="s">
        <v>320</v>
      </c>
      <c r="P184" s="165" t="s">
        <v>168</v>
      </c>
      <c r="Q184" s="165" t="s">
        <v>397</v>
      </c>
      <c r="R184" s="165" t="s">
        <v>321</v>
      </c>
      <c r="S184" s="165" t="s">
        <v>398</v>
      </c>
      <c r="T184" s="165" t="s">
        <v>399</v>
      </c>
      <c r="U184" s="165" t="s">
        <v>400</v>
      </c>
      <c r="V184" s="165" t="s">
        <v>401</v>
      </c>
      <c r="W184" s="165" t="s">
        <v>402</v>
      </c>
    </row>
    <row r="185" s="96" customFormat="true" ht="18" hidden="false" customHeight="true" outlineLevel="0" collapsed="false">
      <c r="A185" s="170" t="n">
        <f aca="false">IF(B185="","",+A184+1)</f>
        <v>12</v>
      </c>
      <c r="B185" s="131" t="s">
        <v>540</v>
      </c>
      <c r="C185" s="131" t="s">
        <v>541</v>
      </c>
      <c r="D185" s="132" t="s">
        <v>542</v>
      </c>
      <c r="E185" s="130"/>
      <c r="F185" s="130" t="s">
        <v>542</v>
      </c>
      <c r="G185" s="130" t="s">
        <v>434</v>
      </c>
      <c r="H185" s="130" t="n">
        <v>1</v>
      </c>
      <c r="I185" s="142"/>
      <c r="J185" s="134" t="n">
        <f aca="false">$J$120*H185</f>
        <v>1</v>
      </c>
      <c r="N185" s="107" t="s">
        <v>445</v>
      </c>
      <c r="O185" s="62" t="s">
        <v>446</v>
      </c>
      <c r="P185" s="62" t="s">
        <v>447</v>
      </c>
      <c r="Q185" s="55" t="s">
        <v>230</v>
      </c>
      <c r="R185" s="158"/>
      <c r="S185" s="158" t="s">
        <v>230</v>
      </c>
      <c r="T185" s="158" t="s">
        <v>409</v>
      </c>
      <c r="U185" s="168" t="n">
        <f aca="false">((($I$134*$G$134)+($I$136*$G$136)+($I$139*$G$139))/1000)*$J$120</f>
        <v>9.958</v>
      </c>
      <c r="V185" s="168" t="n">
        <v>300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13</v>
      </c>
      <c r="B186" s="131" t="s">
        <v>441</v>
      </c>
      <c r="C186" s="131" t="s">
        <v>442</v>
      </c>
      <c r="D186" s="132" t="s">
        <v>274</v>
      </c>
      <c r="E186" s="130"/>
      <c r="F186" s="130" t="s">
        <v>274</v>
      </c>
      <c r="G186" s="130" t="s">
        <v>405</v>
      </c>
      <c r="H186" s="130" t="n">
        <v>4</v>
      </c>
      <c r="I186" s="133"/>
      <c r="J186" s="134" t="n">
        <f aca="false">$J$120*H186</f>
        <v>4</v>
      </c>
      <c r="N186" s="107" t="s">
        <v>448</v>
      </c>
      <c r="O186" s="62" t="s">
        <v>449</v>
      </c>
      <c r="P186" s="62" t="s">
        <v>450</v>
      </c>
      <c r="Q186" s="55" t="s">
        <v>451</v>
      </c>
      <c r="R186" s="158"/>
      <c r="S186" s="158" t="s">
        <v>451</v>
      </c>
      <c r="T186" s="158" t="s">
        <v>409</v>
      </c>
      <c r="U186" s="168" t="n">
        <f aca="false">((($I$134*$G$134)+($I$136*$G$136)+($I$139*$G$139))/1000)*$J$120</f>
        <v>9.958</v>
      </c>
      <c r="V186" s="168" t="n">
        <v>100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14</v>
      </c>
      <c r="B187" s="131" t="s">
        <v>443</v>
      </c>
      <c r="C187" s="131" t="s">
        <v>444</v>
      </c>
      <c r="D187" s="132" t="s">
        <v>272</v>
      </c>
      <c r="E187" s="130"/>
      <c r="F187" s="130" t="s">
        <v>272</v>
      </c>
      <c r="G187" s="130" t="s">
        <v>405</v>
      </c>
      <c r="H187" s="130" t="n">
        <v>1</v>
      </c>
      <c r="I187" s="133"/>
      <c r="J187" s="134" t="n">
        <f aca="false">$J$120*H187</f>
        <v>1</v>
      </c>
      <c r="N187" s="107" t="s">
        <v>445</v>
      </c>
      <c r="O187" s="62" t="s">
        <v>452</v>
      </c>
      <c r="P187" s="62" t="s">
        <v>453</v>
      </c>
      <c r="Q187" s="55" t="s">
        <v>232</v>
      </c>
      <c r="R187" s="158"/>
      <c r="S187" s="158" t="s">
        <v>232</v>
      </c>
      <c r="T187" s="158" t="s">
        <v>409</v>
      </c>
      <c r="U187" s="168" t="n">
        <f aca="false">((($I$141*$G$141*2)+($I$143*$G$143*2)+($I$144*$G$144))/1000)*$J$120</f>
        <v>53.784</v>
      </c>
      <c r="V187" s="168" t="n">
        <v>350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15</v>
      </c>
      <c r="B188" s="131" t="s">
        <v>403</v>
      </c>
      <c r="C188" s="131" t="s">
        <v>404</v>
      </c>
      <c r="D188" s="132" t="s">
        <v>576</v>
      </c>
      <c r="E188" s="130"/>
      <c r="F188" s="130" t="s">
        <v>576</v>
      </c>
      <c r="G188" s="130" t="s">
        <v>405</v>
      </c>
      <c r="H188" s="130" t="n">
        <v>1</v>
      </c>
      <c r="I188" s="133"/>
      <c r="J188" s="134" t="n">
        <f aca="false">$J$120*H188</f>
        <v>1</v>
      </c>
      <c r="N188" s="107" t="s">
        <v>448</v>
      </c>
      <c r="O188" s="62" t="s">
        <v>454</v>
      </c>
      <c r="P188" s="62" t="s">
        <v>455</v>
      </c>
      <c r="Q188" s="55" t="s">
        <v>456</v>
      </c>
      <c r="R188" s="158"/>
      <c r="S188" s="158" t="s">
        <v>456</v>
      </c>
      <c r="T188" s="158" t="s">
        <v>409</v>
      </c>
      <c r="U188" s="168" t="n">
        <f aca="false">((($I$141*$G$141*2)+($I$143*$G$143*2)+($I$144*$G$144))/1000)*$J$120</f>
        <v>53.784</v>
      </c>
      <c r="V188" s="168" t="n">
        <v>100</v>
      </c>
      <c r="W188" s="169" t="n">
        <f aca="false">ROUNDUP((U188)/V188,0)</f>
        <v>1</v>
      </c>
    </row>
    <row r="189" s="96" customFormat="true" ht="18" hidden="false" customHeight="true" outlineLevel="0" collapsed="false">
      <c r="A189" s="170" t="n">
        <f aca="false">IF(B189="","",+A188+1)</f>
        <v>16</v>
      </c>
      <c r="B189" s="131" t="s">
        <v>403</v>
      </c>
      <c r="C189" s="131" t="s">
        <v>404</v>
      </c>
      <c r="D189" s="132" t="s">
        <v>276</v>
      </c>
      <c r="E189" s="130"/>
      <c r="F189" s="130" t="s">
        <v>276</v>
      </c>
      <c r="G189" s="130" t="s">
        <v>405</v>
      </c>
      <c r="H189" s="130" t="n">
        <v>2</v>
      </c>
      <c r="I189" s="133"/>
      <c r="J189" s="134" t="n">
        <f aca="false">$J$120*H189</f>
        <v>2</v>
      </c>
    </row>
    <row r="190" s="96" customFormat="true" ht="18" hidden="false" customHeight="true" outlineLevel="0" collapsed="false">
      <c r="A190" s="170" t="n">
        <f aca="false">IF(B190="","",+A189+1)</f>
        <v>17</v>
      </c>
      <c r="B190" s="131" t="s">
        <v>577</v>
      </c>
      <c r="C190" s="131" t="s">
        <v>578</v>
      </c>
      <c r="D190" s="132" t="s">
        <v>215</v>
      </c>
      <c r="E190" s="130"/>
      <c r="F190" s="130" t="s">
        <v>215</v>
      </c>
      <c r="G190" s="130" t="s">
        <v>434</v>
      </c>
      <c r="H190" s="130" t="n">
        <v>1</v>
      </c>
      <c r="I190" s="133"/>
      <c r="J190" s="134" t="n">
        <f aca="false">$J$120*H190</f>
        <v>1</v>
      </c>
    </row>
    <row r="191" s="96" customFormat="true" ht="18" hidden="false" customHeight="true" outlineLevel="0" collapsed="false">
      <c r="A191" s="170" t="n">
        <f aca="false">IF(B191="","",+A190+1)</f>
        <v>18</v>
      </c>
      <c r="B191" s="131" t="s">
        <v>579</v>
      </c>
      <c r="C191" s="131" t="s">
        <v>578</v>
      </c>
      <c r="D191" s="132" t="s">
        <v>220</v>
      </c>
      <c r="E191" s="130"/>
      <c r="F191" s="130" t="s">
        <v>220</v>
      </c>
      <c r="G191" s="130" t="s">
        <v>434</v>
      </c>
      <c r="H191" s="130" t="n">
        <v>1</v>
      </c>
      <c r="I191" s="133"/>
      <c r="J191" s="134" t="n">
        <f aca="false">$J$120*H191</f>
        <v>1</v>
      </c>
    </row>
    <row r="192" s="96" customFormat="true" ht="18" hidden="false" customHeight="true" outlineLevel="0" collapsed="false">
      <c r="A192" s="170" t="n">
        <f aca="false">IF(B192="","",+A191+1)</f>
        <v>19</v>
      </c>
      <c r="B192" s="131" t="s">
        <v>580</v>
      </c>
      <c r="C192" s="131" t="s">
        <v>581</v>
      </c>
      <c r="D192" s="132" t="s">
        <v>582</v>
      </c>
      <c r="E192" s="130"/>
      <c r="F192" s="130" t="s">
        <v>582</v>
      </c>
      <c r="G192" s="130" t="s">
        <v>409</v>
      </c>
      <c r="H192" s="173" t="n">
        <f aca="false">((($I$148*$G$148)+($I$149*$G$149))/1000)*$J$120</f>
        <v>4.616</v>
      </c>
      <c r="I192" s="174" t="n">
        <v>100</v>
      </c>
      <c r="J192" s="175" t="n">
        <f aca="false">ROUNDUP((H192)/100,0)</f>
        <v>1</v>
      </c>
    </row>
    <row r="193" s="96" customFormat="true" ht="18" hidden="false" customHeight="true" outlineLevel="0" collapsed="false">
      <c r="A193" s="170" t="n">
        <f aca="false">IF(B193="","",+A192+1)</f>
        <v>20</v>
      </c>
      <c r="B193" s="131" t="s">
        <v>583</v>
      </c>
      <c r="C193" s="131" t="s">
        <v>584</v>
      </c>
      <c r="D193" s="132" t="s">
        <v>585</v>
      </c>
      <c r="E193" s="130"/>
      <c r="F193" s="130" t="s">
        <v>585</v>
      </c>
      <c r="G193" s="130" t="s">
        <v>409</v>
      </c>
      <c r="H193" s="173" t="n">
        <f aca="false">((($I$145*$G$145)+($I$145*$G$145))/1000)*$J$120</f>
        <v>4.616</v>
      </c>
      <c r="I193" s="174" t="n">
        <v>100</v>
      </c>
      <c r="J193" s="175" t="n">
        <f aca="false">ROUNDUP((H193)/100,0)</f>
        <v>1</v>
      </c>
    </row>
    <row r="194" customFormat="false" ht="18" hidden="false" customHeight="true" outlineLevel="0" collapsed="false">
      <c r="A194" s="170" t="n">
        <f aca="false">IF(B194="","",+A193+1)</f>
        <v>21</v>
      </c>
      <c r="B194" s="132" t="str">
        <f aca="false">IF($D$129="Standard",$O$185,IF($D$129="Soumdproof",$O$186,))</f>
        <v>ยางเฟรมกันน้ำ (ธรรมดา)</v>
      </c>
      <c r="C194" s="132" t="str">
        <f aca="false">IF($D$129="Standard",$P$185,IF($D$129="Soumdproof",$P$186,))</f>
        <v>FRAME SEAL (Standard)</v>
      </c>
      <c r="D194" s="132" t="str">
        <f aca="false">IF($D$129="Standard",$Q$185,IF($D$129="Soumdproof",$Q$186,))</f>
        <v>02-026</v>
      </c>
      <c r="E194" s="130" t="n">
        <f aca="false">IF($D$129="Standard",R190,IF($D$129="Soumdproof",R191,))</f>
        <v>0</v>
      </c>
      <c r="F194" s="130" t="str">
        <f aca="false">IF($D$129="Standard",$S$185,IF($D$129="Soumdproof",$S$186,))</f>
        <v>02-026</v>
      </c>
      <c r="G194" s="130" t="str">
        <f aca="false">IF($D$129="Standard",$T$185,IF($D$129="Soumdproof",$T$186,))</f>
        <v>M</v>
      </c>
      <c r="H194" s="173" t="n">
        <f aca="false">IF($D$129="Standard",$U$185,IF($D$129="Soumdproof",$U$186,))</f>
        <v>9.958</v>
      </c>
      <c r="I194" s="174" t="n">
        <f aca="false">IF($D$129="Standard",$V$185,IF($D$129="Soumdproof",$V$186,))</f>
        <v>300</v>
      </c>
      <c r="J194" s="175" t="n">
        <f aca="false">ROUNDUP((H194)/100,0)</f>
        <v>1</v>
      </c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</row>
    <row r="195" s="96" customFormat="true" ht="18" hidden="false" customHeight="true" outlineLevel="0" collapsed="false">
      <c r="A195" s="170" t="n">
        <f aca="false">IF(B195="","",+A194+1)</f>
        <v>22</v>
      </c>
      <c r="B195" s="132" t="str">
        <f aca="false">IF($D$129="Standard",$O$187,IF($D$129="Soumdproof",$O$188,))</f>
        <v>ยางแซชกันน้ำ (ธรรมดา)</v>
      </c>
      <c r="C195" s="132" t="str">
        <f aca="false">IF($D$129="Standard",$P$187,IF($D$129="Soumdproof",$P$188,))</f>
        <v>SASH SEAL FOAM (Standard)</v>
      </c>
      <c r="D195" s="132" t="str">
        <f aca="false">IF($D$129="Standard",$Q$187,IF($D$129="Soumdproof",$Q$188,))</f>
        <v>02-031</v>
      </c>
      <c r="E195" s="130" t="n">
        <f aca="false">IF($D$129="Standard",R192,IF($D$129="Soumdproof",R193,))</f>
        <v>0</v>
      </c>
      <c r="F195" s="130" t="str">
        <f aca="false">IF($D$129="Standard",$S$187,IF($D$129="Soumdproof",$S$188,))</f>
        <v>02-031</v>
      </c>
      <c r="G195" s="130" t="str">
        <f aca="false">IF($D$129="Standard",$T$187,IF($D$129="Soumdproof",$T$188,))</f>
        <v>M</v>
      </c>
      <c r="H195" s="173" t="n">
        <f aca="false">IF($D$129="Standard",$U$187,IF($D$129="Soumdproof",$U$188,))</f>
        <v>53.784</v>
      </c>
      <c r="I195" s="174" t="n">
        <f aca="false">IF($D$129="Standard",$V$187,IF($D$129="Soumdproof",$V$188,))</f>
        <v>350</v>
      </c>
      <c r="J195" s="175" t="n">
        <f aca="false">ROUNDUP((H195)/100,0)</f>
        <v>1</v>
      </c>
    </row>
    <row r="196" s="96" customFormat="true" ht="18" hidden="false" customHeight="true" outlineLevel="0" collapsed="false">
      <c r="A196" s="170" t="n">
        <f aca="false">IF(B196="","",+A195+1)</f>
        <v>23</v>
      </c>
      <c r="B196" s="176" t="str">
        <f aca="false">IF($D$127=5,$O$176,IF($D$127=6,$O$177,IF($D$127=8,$O$178,IF($D$127=10,$O$176,IF($D$127=12,$O$176,IF($D$127=14,$O$178,IF($D$127=18,$O$176,IF($D$127=20,$O$177,IF($D$127=22,"")))))))))</f>
        <v>5,8,10,12,18 mmยางอัดกระจก</v>
      </c>
      <c r="C196" s="176" t="str">
        <f aca="false">IF($D$127=5,$P$176,IF($D$127=6,$P$177,IF($D$127=8,$P$178,IF($D$127=10,$P$176,IF($D$127=12,$P$176,IF($D$127=14,$P$178,IF($D$127=18,$P$176,IF($D$127=20,$P$177,IF($D$127=22,"")))))))))</f>
        <v>5,8,10,12,18 mm ROLL IN WEDGE</v>
      </c>
      <c r="D196" s="176" t="str">
        <f aca="false">IF($D$127=5,$Q$176,IF($D$127=6,$Q$177,IF($D$127=8,$Q$178,IF($D$127=10,$Q$176,IF($D$127=12,$Q$176,IF($D$127=14,$Q$178,IF($D$127=18,$Q$176,IF($D$127=20,$Q$177,IF($D$127=22,"")))))))))</f>
        <v>02-033</v>
      </c>
      <c r="E196" s="176" t="n">
        <f aca="false">IF($D$127=5,R181,IF($D$127=6,R182,IF($D$127=8,R183,IF($D$127=10,R181,IF($D$127=12,R181,IF($D$127=14,R183,IF($D$127=18,R181,IF($D$127=20,R182,IF($D$127=22,"",)))))))))</f>
        <v>0</v>
      </c>
      <c r="F196" s="167" t="str">
        <f aca="false">IF($D$127=5,$S$176,IF($D$127=6,$S$177,IF($D$127=8,$S$178,IF($D$127=10,$S$176,IF($D$127=12,$S$176,IF($D$127=14,$S$178,IF($D$127=18,$S$176,IF($D$127=20,$S$177,IF($D$127=22,"")))))))))</f>
        <v>02-033</v>
      </c>
      <c r="G196" s="167" t="str">
        <f aca="false">IF($D$127=5,$T$176,IF($D$127=6,$T$177,IF($D$127=8,$T$178,IF($D$127=10,$T$176,IF($D$127=12,$T$176,IF($D$127=14,$T$178,IF($D$127=18,$T$176,IF($D$127=20,$T$177,IF($D$127=22,"")))))))))</f>
        <v>M</v>
      </c>
      <c r="H196" s="173" t="n">
        <f aca="false">IF($D$127=5,$U$176,IF($D$127=6,$U$177,IF($D$127=8,$U$178,IF($D$127=10,$U$176*2,IF($D$127=12,$U$176,IF($D$127=14,$U$178*2,IF($D$127=18,$U$176,IF($D$127=20,$U$177,IF($D$127=22,"")))))))))</f>
        <v>35.32</v>
      </c>
      <c r="I196" s="174" t="n">
        <f aca="false">IF($D$127=5,$V$176,IF($D$127=6,$V$177,IF($D$127=8,$V$178,IF($D$127=10,$V$176,IF($D$127=12,$V$176,IF($D$127=14,$V$178,IF($D$127=18,$V$176,IF($D$127=20,$V$177,IF($D$127=22,"")))))))))</f>
        <v>100</v>
      </c>
      <c r="J196" s="175" t="n">
        <f aca="false">ROUNDUP((H196)/100,0)</f>
        <v>1</v>
      </c>
    </row>
    <row r="197" s="96" customFormat="true" ht="18" hidden="false" customHeight="true" outlineLevel="0" collapsed="false">
      <c r="A197" s="170" t="n">
        <f aca="false">IF(B197="","",+A196+1)</f>
        <v>24</v>
      </c>
      <c r="B197" s="176" t="str">
        <f aca="false">IF($D$127=5,$O$174,IF($D$127=6,$O$174,IF($D$127=8,$O$176,IF($D$127=10,"",IF($D$127=12,$O$175,IF($D$127=14,"",IF($D$127=18,$O$174,IF($D$127=20,$O$175,IF($D$127=22,"",)))))))))</f>
        <v>5,6,18 mm ยางรองกระจก</v>
      </c>
      <c r="C197" s="176" t="str">
        <f aca="false">IF($D$127=5,$P$174,IF($D$127=6,$P$174,IF($D$127=8,$P$176,IF($D$127=10,"",IF($D$127=12,$P$175,IF($D$127=14,"",IF($D$127=18,$P$174,IF($D$127=20,$P$175,IF($D$127=22,"",)))))))))</f>
        <v>5,6,18 mm CAPTIVE WEDGE</v>
      </c>
      <c r="D197" s="176" t="str">
        <f aca="false">IF($D$127=5,$Q$174,IF($D$127=6,$Q$174,IF($D$127=8,$Q$176,IF($D$127=10,"",IF($D$127=12,$Q$175,IF($D$127=14,"",IF($D$127=18,$Q$174,IF($D$127=20,$Q$175,IF($D$127=22,"",)))))))))</f>
        <v>02-022</v>
      </c>
      <c r="E197" s="176" t="n">
        <f aca="false">IF($D$127=5,R179,IF($D$127=6,R179,IF($D$127=8,R181,IF($D$127=10,"",IF($D$127=12,R180,IF($D$127=14,"",IF($D$127=18,R179,IF($D$127=20,R180,IF($D$127=22,"",)))))))))</f>
        <v>0</v>
      </c>
      <c r="F197" s="167" t="str">
        <f aca="false">IF($D$127=5,$S$174,IF($D$127=6,$S$174,IF($D$127=8,$S$176,IF($D$127=10,"",IF($D$127=12,$S$175,IF($D$127=14,"",IF($D$127=18,$S$174,IF($D$127=20,$S$175,IF($D$127=22,"",)))))))))</f>
        <v>02-022</v>
      </c>
      <c r="G197" s="167" t="str">
        <f aca="false">IF($D$127=5,$T$174,IF($D$127=6,$T$174,IF($D$127=8,$T$176,IF($D$127=10,"",IF($D$127=12,$T$175,IF($D$127=14,"",IF($D$127=18,$T$174,IF($D$127=20,$T$175,IF($D$127=22,"",)))))))))</f>
        <v>M</v>
      </c>
      <c r="H197" s="173" t="n">
        <f aca="false">IF($D$127=5,$U$174,IF($D$127=6,$U$174,IF($D$127=8,$U$176,IF($D$127=10,"",IF($D$127=12,$U$175,IF($D$127=14,"",IF($D$127=18,$U$174,IF($D$127=20,$U$175,IF($D$127=22,"")))))))))</f>
        <v>35.32</v>
      </c>
      <c r="I197" s="174" t="n">
        <f aca="false">IF($D$127=5,$V$174,IF($D$127=6,$V$174,IF($D$127=8,$V$176,IF($D$127=10,"",IF($D$127=12,$V$175,IF($D$127=14,"",IF($D$127=18,$V$174,IF($D$127=20,$V$175,IF($D$127=22,"",)))))))))</f>
        <v>100</v>
      </c>
      <c r="J197" s="175" t="n">
        <f aca="false">ROUNDUP((H197)/100,0)</f>
        <v>1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/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$J$120*H204</f>
        <v>0</v>
      </c>
    </row>
    <row r="205" s="96" customFormat="true" ht="18" hidden="false" customHeight="true" outlineLevel="0" collapsed="false">
      <c r="A205" s="179" t="str">
        <f aca="false">IF(B205="","",+A204+1)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$J$120*G205</f>
        <v>0</v>
      </c>
    </row>
    <row r="206" s="96" customFormat="true" ht="18" hidden="false" customHeight="true" outlineLevel="0" collapsed="false">
      <c r="A206" s="200"/>
      <c r="B206" s="98"/>
      <c r="D206" s="98"/>
      <c r="E206" s="97"/>
      <c r="F206" s="98"/>
      <c r="G206" s="98"/>
      <c r="H206" s="98"/>
      <c r="I206" s="196"/>
      <c r="J206" s="196"/>
    </row>
    <row r="207" customFormat="false" ht="18" hidden="false" customHeight="true" outlineLevel="0" collapsed="false">
      <c r="A207" s="97"/>
      <c r="J207" s="92" t="str">
        <f aca="false">LEFT($J$111,13)&amp;"-02"</f>
        <v>FG-240-6P1L5R-02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516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3840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566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3814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519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3840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97"/>
      <c r="H252" s="97"/>
      <c r="I252" s="196"/>
      <c r="J252" s="196"/>
    </row>
    <row r="253" s="96" customFormat="true" ht="15.75" hidden="false" customHeight="true" outlineLevel="0" collapsed="false">
      <c r="A253" s="191"/>
      <c r="B253" s="191"/>
      <c r="D253" s="192"/>
      <c r="E253" s="191"/>
      <c r="F253" s="191"/>
      <c r="G253" s="97"/>
      <c r="H253" s="97"/>
      <c r="I253" s="196"/>
      <c r="J253" s="196"/>
    </row>
    <row r="254" s="96" customFormat="true" ht="15.75" hidden="false" customHeight="true" outlineLevel="0" collapsed="false">
      <c r="A254" s="190"/>
      <c r="B254" s="190"/>
      <c r="C254" s="184" t="s">
        <v>567</v>
      </c>
      <c r="D254" s="194"/>
      <c r="E254" s="190"/>
      <c r="F254" s="189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459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460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5" t="n">
        <f aca="false">$I$136</f>
        <v>3840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7" t="n">
        <f aca="false">$J$136</f>
        <v>1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C262" s="98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184" t="s">
        <v>521</v>
      </c>
      <c r="D264" s="98"/>
      <c r="E264" s="97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522</v>
      </c>
      <c r="D265" s="181"/>
      <c r="E265" s="181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468</v>
      </c>
      <c r="D266" s="181"/>
      <c r="E266" s="181"/>
      <c r="F266" s="97"/>
      <c r="G266" s="97"/>
      <c r="H266" s="97"/>
      <c r="J266" s="97"/>
    </row>
    <row r="267" s="96" customFormat="true" ht="15.75" hidden="false" customHeight="true" outlineLevel="0" collapsed="false">
      <c r="A267" s="200"/>
      <c r="C267" s="185" t="n">
        <f aca="false">$I$137</f>
        <v>2400</v>
      </c>
      <c r="D267" s="98"/>
      <c r="E267" s="97"/>
      <c r="F267" s="97"/>
      <c r="J267" s="97"/>
    </row>
    <row r="268" s="96" customFormat="true" ht="15.75" hidden="false" customHeight="true" outlineLevel="0" collapsed="false">
      <c r="A268" s="200"/>
      <c r="C268" s="187" t="n">
        <f aca="false">$J$137+$J$138</f>
        <v>2</v>
      </c>
      <c r="D268" s="98"/>
      <c r="E268" s="97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I272" s="196"/>
      <c r="J272" s="196"/>
    </row>
    <row r="273" s="96" customFormat="true" ht="15.75" hidden="false" customHeight="true" outlineLevel="0" collapsed="false">
      <c r="A273" s="200"/>
      <c r="D273" s="98"/>
      <c r="E273" s="97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C274" s="184" t="s">
        <v>523</v>
      </c>
      <c r="D274" s="201"/>
      <c r="E274" s="196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1" t="s">
        <v>470</v>
      </c>
      <c r="D275" s="181"/>
      <c r="E275" s="181"/>
      <c r="F275" s="97"/>
      <c r="G275" s="97"/>
      <c r="I275" s="97"/>
      <c r="J275" s="196"/>
    </row>
    <row r="276" s="96" customFormat="true" ht="15.75" hidden="false" customHeight="true" outlineLevel="0" collapsed="false">
      <c r="A276" s="200"/>
      <c r="C276" s="181" t="s">
        <v>471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5" t="n">
        <f aca="false">$I$139</f>
        <v>2304</v>
      </c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7" t="n">
        <f aca="false">$J$139+$J$140</f>
        <v>2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F279" s="97"/>
      <c r="G279" s="97"/>
      <c r="H279" s="97"/>
      <c r="J279" s="97"/>
    </row>
    <row r="280" s="96" customFormat="true" ht="15.75" hidden="false" customHeight="true" outlineLevel="0" collapsed="false">
      <c r="A280" s="200"/>
      <c r="D280" s="98"/>
      <c r="E280" s="97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I282" s="201"/>
      <c r="J282" s="196"/>
    </row>
    <row r="283" s="96" customFormat="true" ht="15.75" hidden="false" customHeight="true" outlineLevel="0" collapsed="false">
      <c r="A283" s="200"/>
      <c r="C283" s="184" t="s">
        <v>676</v>
      </c>
      <c r="F283" s="97"/>
      <c r="G283" s="97"/>
      <c r="H283" s="97"/>
      <c r="I283" s="97"/>
      <c r="J283" s="196"/>
    </row>
    <row r="284" s="96" customFormat="true" ht="15.75" hidden="false" customHeight="true" outlineLevel="0" collapsed="false">
      <c r="A284" s="200"/>
      <c r="C284" s="83" t="s">
        <v>677</v>
      </c>
      <c r="D284" s="98"/>
      <c r="E284" s="97"/>
      <c r="F284" s="97"/>
      <c r="G284" s="97"/>
      <c r="H284" s="97"/>
      <c r="I284" s="196"/>
      <c r="J284" s="196"/>
    </row>
    <row r="285" s="96" customFormat="true" ht="15.75" hidden="false" customHeight="true" outlineLevel="0" collapsed="false">
      <c r="A285" s="200"/>
      <c r="C285" s="181" t="s">
        <v>678</v>
      </c>
      <c r="D285" s="98"/>
      <c r="E285" s="97"/>
      <c r="F285" s="97"/>
      <c r="G285" s="97"/>
      <c r="H285" s="97"/>
      <c r="I285" s="196"/>
      <c r="J285" s="196"/>
    </row>
    <row r="286" s="96" customFormat="true" ht="15.75" hidden="false" customHeight="true" outlineLevel="0" collapsed="false">
      <c r="A286" s="200"/>
      <c r="C286" s="181" t="s">
        <v>475</v>
      </c>
      <c r="D286" s="181"/>
      <c r="E286" s="181"/>
      <c r="F286" s="97"/>
      <c r="G286" s="97"/>
      <c r="I286" s="196"/>
      <c r="J286" s="196"/>
    </row>
    <row r="287" s="202" customFormat="true" ht="15.75" hidden="false" customHeight="true" outlineLevel="0" collapsed="false">
      <c r="A287" s="200"/>
      <c r="B287" s="96"/>
      <c r="C287" s="181" t="s">
        <v>476</v>
      </c>
      <c r="D287" s="181"/>
      <c r="E287" s="181"/>
      <c r="F287" s="97"/>
      <c r="G287" s="97"/>
      <c r="H287" s="96"/>
      <c r="I287" s="97"/>
      <c r="J287" s="97"/>
    </row>
    <row r="288" s="96" customFormat="true" ht="15.75" hidden="false" customHeight="true" outlineLevel="0" collapsed="false">
      <c r="A288" s="200"/>
      <c r="C288" s="185" t="n">
        <f aca="false">$I$141</f>
        <v>635.333333333333</v>
      </c>
      <c r="F288" s="97"/>
      <c r="G288" s="97"/>
      <c r="I288" s="191"/>
      <c r="J288" s="199"/>
    </row>
    <row r="289" s="96" customFormat="true" ht="15.75" hidden="false" customHeight="true" outlineLevel="0" collapsed="false">
      <c r="A289" s="200"/>
      <c r="C289" s="187" t="n">
        <f aca="false">$J$141+$J$142</f>
        <v>12</v>
      </c>
      <c r="D289" s="98"/>
      <c r="E289" s="97"/>
      <c r="F289" s="97"/>
      <c r="G289" s="97"/>
      <c r="H289" s="98"/>
      <c r="I289" s="189"/>
      <c r="J289" s="190"/>
    </row>
    <row r="290" s="96" customFormat="true" ht="15.75" hidden="false" customHeight="true" outlineLevel="0" collapsed="false">
      <c r="A290" s="200"/>
      <c r="C290" s="185" t="n">
        <f aca="false">$I$143</f>
        <v>2308</v>
      </c>
      <c r="D290" s="98"/>
      <c r="E290" s="97"/>
      <c r="F290" s="97"/>
      <c r="G290" s="97"/>
      <c r="H290" s="97"/>
      <c r="I290" s="196"/>
      <c r="J290" s="196"/>
    </row>
    <row r="291" s="96" customFormat="true" ht="15.75" hidden="false" customHeight="true" outlineLevel="0" collapsed="false">
      <c r="A291" s="200"/>
      <c r="C291" s="187" t="n">
        <f aca="false">$J$143+$J$144+$J$145</f>
        <v>12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D292" s="98"/>
      <c r="E292" s="97"/>
      <c r="F292" s="97"/>
      <c r="G292" s="97"/>
      <c r="H292" s="97"/>
      <c r="I292" s="97"/>
      <c r="J292" s="196"/>
    </row>
    <row r="293" s="96" customFormat="true" ht="15.75" hidden="false" customHeight="true" outlineLevel="0" collapsed="false">
      <c r="A293" s="200"/>
      <c r="C293" s="202"/>
      <c r="D293" s="98"/>
      <c r="E293" s="97"/>
      <c r="F293" s="97"/>
      <c r="G293" s="97"/>
      <c r="H293" s="97"/>
      <c r="I293" s="97"/>
      <c r="J293" s="196"/>
    </row>
    <row r="294" s="96" customFormat="true" ht="15.75" hidden="false" customHeight="true" outlineLevel="0" collapsed="false">
      <c r="A294" s="200"/>
      <c r="C294" s="184" t="s">
        <v>630</v>
      </c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83" t="s">
        <v>677</v>
      </c>
      <c r="D295" s="98"/>
      <c r="E295" s="97"/>
      <c r="F295" s="97"/>
      <c r="G295" s="191"/>
      <c r="H295" s="191"/>
      <c r="I295" s="97"/>
      <c r="J295" s="196"/>
    </row>
    <row r="296" s="96" customFormat="true" ht="15.75" hidden="false" customHeight="true" outlineLevel="0" collapsed="false">
      <c r="A296" s="200"/>
      <c r="C296" s="181" t="s">
        <v>678</v>
      </c>
      <c r="D296" s="181"/>
      <c r="E296" s="181"/>
      <c r="F296" s="97"/>
      <c r="G296" s="190"/>
      <c r="H296" s="189"/>
      <c r="I296" s="97"/>
      <c r="J296" s="196"/>
    </row>
    <row r="297" s="96" customFormat="true" ht="15.75" hidden="false" customHeight="true" outlineLevel="0" collapsed="false">
      <c r="A297" s="107"/>
      <c r="C297" s="181" t="s">
        <v>478</v>
      </c>
      <c r="D297" s="181"/>
      <c r="E297" s="181"/>
      <c r="F297" s="97"/>
      <c r="G297" s="97"/>
      <c r="H297" s="97"/>
      <c r="I297" s="97"/>
      <c r="J297" s="196"/>
    </row>
    <row r="298" s="96" customFormat="true" ht="15.75" hidden="false" customHeight="true" outlineLevel="0" collapsed="false">
      <c r="A298" s="191"/>
      <c r="B298" s="191"/>
      <c r="C298" s="181" t="s">
        <v>479</v>
      </c>
      <c r="D298" s="203"/>
      <c r="E298" s="204"/>
      <c r="F298" s="191"/>
      <c r="G298" s="97"/>
      <c r="H298" s="97"/>
      <c r="I298" s="97"/>
      <c r="J298" s="196"/>
    </row>
    <row r="299" s="96" customFormat="true" ht="15.75" hidden="false" customHeight="true" outlineLevel="0" collapsed="false">
      <c r="A299" s="190"/>
      <c r="B299" s="190"/>
      <c r="C299" s="185" t="n">
        <f aca="false">$I$146</f>
        <v>524.791666666667</v>
      </c>
      <c r="D299" s="205"/>
      <c r="E299" s="206"/>
      <c r="F299" s="189"/>
      <c r="G299" s="97"/>
      <c r="H299" s="97"/>
      <c r="I299" s="97"/>
      <c r="J299" s="196"/>
    </row>
    <row r="300" s="96" customFormat="true" ht="15.75" hidden="false" customHeight="true" outlineLevel="0" collapsed="false">
      <c r="A300" s="97"/>
      <c r="C300" s="187" t="n">
        <f aca="false">$J$146</f>
        <v>12</v>
      </c>
      <c r="D300" s="98"/>
      <c r="F300" s="97"/>
      <c r="G300" s="97"/>
      <c r="H300" s="97"/>
      <c r="I300" s="97"/>
      <c r="J300" s="196"/>
    </row>
    <row r="301" s="96" customFormat="true" ht="15.75" hidden="false" customHeight="true" outlineLevel="0" collapsed="false">
      <c r="A301" s="97"/>
      <c r="C301" s="185" t="n">
        <f aca="false">$I$147</f>
        <v>2158</v>
      </c>
      <c r="D301" s="98"/>
      <c r="F301" s="97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7" t="n">
        <f aca="false">$J$147</f>
        <v>12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C305" s="184" t="s">
        <v>679</v>
      </c>
      <c r="D305" s="98"/>
      <c r="E305" s="97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C306" s="181" t="s">
        <v>475</v>
      </c>
      <c r="D306" s="181"/>
      <c r="E306" s="181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249" t="s">
        <v>476</v>
      </c>
      <c r="D307" s="249"/>
      <c r="E307" s="249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185" t="n">
        <f aca="false">$I$148</f>
        <v>2308</v>
      </c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7" t="n">
        <f aca="false">$J$148+$J$149</f>
        <v>2</v>
      </c>
      <c r="D309" s="181"/>
      <c r="E309" s="181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D310" s="98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LEFT($J$111,13)&amp;"-03"</f>
        <v>FG-240-6P1L5R-03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A316" s="97"/>
      <c r="B316" s="49"/>
      <c r="C316" s="49"/>
      <c r="D316" s="207"/>
      <c r="E316" s="200"/>
      <c r="F316" s="200"/>
      <c r="G316" s="200"/>
      <c r="H316" s="200"/>
      <c r="I316" s="208"/>
      <c r="J316" s="77" t="str">
        <f aca="false">$J$2</f>
        <v>HOMELIFE</v>
      </c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188"/>
      <c r="D323" s="73"/>
      <c r="I323" s="183"/>
      <c r="J323" s="99"/>
    </row>
    <row r="324" s="96" customFormat="true" ht="15" hidden="false" customHeight="true" outlineLevel="0" collapsed="false">
      <c r="A324" s="97"/>
      <c r="B324" s="81"/>
      <c r="D324" s="98"/>
      <c r="E324" s="83"/>
      <c r="F324" s="183"/>
      <c r="G324" s="183"/>
      <c r="H324" s="183"/>
      <c r="I324" s="83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240-6 Panel (1L5R)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195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91"/>
      <c r="D405" s="98"/>
      <c r="E405" s="97"/>
      <c r="F405" s="97"/>
      <c r="G405" s="97"/>
      <c r="H405" s="97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LEFT($J$111,13)&amp;"-04"</f>
        <v>FG-240-6P1L5R-04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77" t="str">
        <f aca="false">$J$2</f>
        <v>HOMELIFE</v>
      </c>
      <c r="K423" s="78"/>
      <c r="L423" s="78"/>
      <c r="M423" s="79"/>
      <c r="N423" s="79"/>
    </row>
    <row r="424" customFormat="false" ht="24.75" hidden="false" customHeight="true" outlineLevel="0" collapsed="false">
      <c r="A424" s="97"/>
      <c r="B424" s="96"/>
      <c r="C424" s="96"/>
      <c r="D424" s="98"/>
      <c r="E424" s="97"/>
      <c r="F424" s="97"/>
      <c r="G424" s="97"/>
      <c r="H424" s="97"/>
      <c r="I424" s="97"/>
      <c r="J424" s="80" t="str">
        <f aca="false">$J$3</f>
        <v>Fabricators Guide</v>
      </c>
      <c r="K424" s="78"/>
      <c r="L424" s="78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$J$4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240-6 Panel (1L5R)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81"/>
      <c r="C442" s="98"/>
      <c r="D442" s="98"/>
      <c r="E442" s="97"/>
      <c r="F442" s="78"/>
      <c r="H442" s="191"/>
      <c r="I442" s="191"/>
      <c r="J442" s="199"/>
    </row>
    <row r="443" s="96" customFormat="true" ht="15.75" hidden="false" customHeight="true" outlineLevel="0" collapsed="false">
      <c r="A443" s="81"/>
      <c r="C443" s="98"/>
      <c r="D443" s="98"/>
      <c r="E443" s="97"/>
      <c r="F443" s="78"/>
      <c r="H443" s="191"/>
      <c r="I443" s="191"/>
      <c r="J443" s="199"/>
    </row>
    <row r="444" s="96" customFormat="true" ht="15.75" hidden="false" customHeight="true" outlineLevel="0" collapsed="false">
      <c r="A444" s="191"/>
      <c r="C444" s="212"/>
      <c r="D444" s="98"/>
      <c r="E444" s="97"/>
      <c r="F444" s="97"/>
      <c r="H444" s="191"/>
      <c r="I444" s="191"/>
      <c r="J444" s="199"/>
    </row>
    <row r="445" s="96" customFormat="true" ht="15.75" hidden="false" customHeight="true" outlineLevel="0" collapsed="false">
      <c r="A445" s="190"/>
      <c r="C445" s="191"/>
      <c r="D445" s="192"/>
      <c r="E445" s="191"/>
      <c r="F445" s="191"/>
      <c r="H445" s="191"/>
      <c r="I445" s="191"/>
      <c r="J445" s="199"/>
    </row>
    <row r="446" customFormat="false" ht="15" hidden="false" customHeight="true" outlineLevel="0" collapsed="false">
      <c r="B446" s="211"/>
      <c r="C446" s="98"/>
      <c r="D446" s="98"/>
      <c r="E446" s="97"/>
      <c r="F446" s="98"/>
      <c r="G446" s="97"/>
      <c r="H446" s="97"/>
    </row>
    <row r="451" s="96" customFormat="true" ht="15.75" hidden="false" customHeight="true" outlineLevel="0" collapsed="false">
      <c r="A451" s="97"/>
      <c r="D451" s="73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191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196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97"/>
      <c r="J457" s="196"/>
    </row>
    <row r="458" s="96" customFormat="true" ht="15.75" hidden="false" customHeight="true" outlineLevel="0" collapsed="false">
      <c r="A458" s="97"/>
      <c r="C458" s="98"/>
      <c r="D458" s="98"/>
      <c r="E458" s="97"/>
      <c r="F458" s="98"/>
      <c r="G458" s="97"/>
      <c r="H458" s="97"/>
      <c r="I458" s="196"/>
      <c r="J458" s="196"/>
    </row>
    <row r="459" s="96" customFormat="true" ht="15.75" hidden="false" customHeight="true" outlineLevel="0" collapsed="false">
      <c r="A459" s="97"/>
      <c r="D459" s="98"/>
      <c r="E459" s="97"/>
      <c r="F459" s="97"/>
      <c r="G459" s="97"/>
      <c r="H459" s="97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195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96" customFormat="true" ht="15" hidden="false" customHeight="true" outlineLevel="0" collapsed="false">
      <c r="A477" s="97"/>
      <c r="D477" s="98"/>
      <c r="E477" s="97"/>
      <c r="F477" s="97"/>
      <c r="G477" s="97"/>
      <c r="H477" s="97"/>
      <c r="I477" s="196"/>
      <c r="J477" s="196"/>
    </row>
    <row r="478" s="202" customFormat="true" ht="15.75" hidden="false" customHeight="true" outlineLevel="0" collapsed="false">
      <c r="A478" s="97"/>
      <c r="B478" s="96"/>
      <c r="C478" s="96"/>
      <c r="D478" s="98"/>
      <c r="E478" s="97"/>
      <c r="F478" s="97"/>
      <c r="G478" s="97"/>
      <c r="H478" s="97"/>
      <c r="I478" s="97"/>
      <c r="J478" s="97"/>
    </row>
    <row r="479" s="96" customFormat="true" ht="15.75" hidden="false" customHeight="true" outlineLevel="0" collapsed="false">
      <c r="A479" s="191"/>
      <c r="D479" s="98"/>
      <c r="E479" s="97"/>
      <c r="F479" s="97"/>
      <c r="G479" s="97"/>
      <c r="H479" s="97"/>
      <c r="I479" s="191"/>
      <c r="J479" s="199"/>
    </row>
    <row r="480" s="96" customFormat="true" ht="15.75" hidden="false" customHeight="true" outlineLevel="0" collapsed="false">
      <c r="A480" s="190"/>
      <c r="B480" s="191"/>
      <c r="C480" s="191"/>
      <c r="D480" s="192"/>
      <c r="E480" s="191"/>
      <c r="F480" s="191"/>
      <c r="G480" s="191"/>
      <c r="H480" s="191"/>
      <c r="I480" s="189"/>
      <c r="J480" s="190"/>
    </row>
    <row r="481" s="96" customFormat="true" ht="15.75" hidden="false" customHeight="true" outlineLevel="0" collapsed="false">
      <c r="A481" s="200"/>
      <c r="B481" s="190"/>
      <c r="C481" s="191"/>
      <c r="D481" s="194"/>
      <c r="E481" s="190"/>
      <c r="F481" s="189"/>
      <c r="G481" s="190"/>
      <c r="H481" s="189"/>
      <c r="I481" s="196"/>
      <c r="J481" s="196"/>
    </row>
    <row r="482" s="96" customFormat="true" ht="15.75" hidden="false" customHeight="true" outlineLevel="0" collapsed="false">
      <c r="A482" s="200"/>
      <c r="C482" s="182"/>
      <c r="D482" s="98"/>
      <c r="E482" s="97"/>
      <c r="F482" s="97"/>
      <c r="G482" s="97"/>
      <c r="H482" s="182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J483" s="97"/>
    </row>
    <row r="484" s="96" customFormat="true" ht="15.75" hidden="false" customHeight="true" outlineLevel="0" collapsed="false">
      <c r="A484" s="200"/>
      <c r="C484" s="98"/>
      <c r="D484" s="98"/>
      <c r="E484" s="97"/>
      <c r="F484" s="97"/>
      <c r="G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C488" s="98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G495" s="97"/>
      <c r="H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97"/>
      <c r="I499" s="196"/>
      <c r="J499" s="196"/>
    </row>
    <row r="500" s="96" customFormat="true" ht="15.75" hidden="false" customHeight="true" outlineLevel="0" collapsed="false">
      <c r="A500" s="200"/>
      <c r="D500" s="98"/>
      <c r="E500" s="97"/>
      <c r="F500" s="97"/>
      <c r="G500" s="97"/>
      <c r="H500" s="182"/>
      <c r="J500" s="97"/>
    </row>
    <row r="501" s="96" customFormat="true" ht="15.75" hidden="false" customHeight="true" outlineLevel="0" collapsed="false">
      <c r="A501" s="200"/>
      <c r="C501" s="188"/>
      <c r="D501" s="98"/>
      <c r="E501" s="97"/>
      <c r="F501" s="97"/>
      <c r="G501" s="97"/>
      <c r="J501" s="97"/>
    </row>
    <row r="502" s="96" customFormat="true" ht="15.75" hidden="false" customHeight="true" outlineLevel="0" collapsed="false">
      <c r="A502" s="200"/>
      <c r="D502" s="98"/>
      <c r="E502" s="97"/>
      <c r="F502" s="97"/>
      <c r="G502" s="97"/>
      <c r="I502" s="196"/>
      <c r="J502" s="196"/>
    </row>
    <row r="503" s="96" customFormat="true" ht="15.75" hidden="false" customHeight="true" outlineLevel="0" collapsed="false">
      <c r="A503" s="200"/>
      <c r="C503" s="98"/>
      <c r="D503" s="98"/>
      <c r="E503" s="97"/>
      <c r="F503" s="97"/>
      <c r="G503" s="97"/>
      <c r="H503" s="182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J504" s="97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196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97"/>
      <c r="J513" s="196"/>
    </row>
    <row r="514" s="96" customFormat="true" ht="15.75" hidden="false" customHeight="true" outlineLevel="0" collapsed="false">
      <c r="A514" s="200"/>
      <c r="D514" s="98"/>
      <c r="E514" s="97"/>
      <c r="F514" s="97"/>
      <c r="G514" s="97"/>
      <c r="H514" s="97"/>
      <c r="I514" s="212"/>
      <c r="J514" s="195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A516" s="191"/>
      <c r="B516" s="191"/>
      <c r="C516" s="191"/>
      <c r="D516" s="192"/>
      <c r="E516" s="191"/>
      <c r="F516" s="191"/>
      <c r="G516" s="191"/>
      <c r="H516" s="191"/>
      <c r="I516" s="191"/>
      <c r="J516" s="199"/>
    </row>
    <row r="517" s="96" customFormat="true" ht="15.75" hidden="false" customHeight="true" outlineLevel="0" collapsed="false">
      <c r="B517" s="191"/>
      <c r="C517" s="191"/>
      <c r="D517" s="192"/>
      <c r="E517" s="191"/>
      <c r="F517" s="191"/>
      <c r="G517" s="191"/>
      <c r="H517" s="191"/>
    </row>
    <row r="518" s="96" customFormat="true" ht="15.75" hidden="false" customHeight="true" outlineLevel="0" collapsed="false"/>
    <row r="519" s="96" customFormat="true" ht="24.75" hidden="false" customHeight="true" outlineLevel="0" collapsed="false">
      <c r="A519" s="88" t="s">
        <v>482</v>
      </c>
      <c r="B519" s="88"/>
      <c r="C519" s="88"/>
      <c r="D519" s="88"/>
      <c r="E519" s="88"/>
      <c r="F519" s="88"/>
      <c r="G519" s="88"/>
      <c r="H519" s="88"/>
      <c r="I519" s="88"/>
      <c r="J519" s="88"/>
    </row>
    <row r="520" s="96" customFormat="true" ht="34.5" hidden="false" customHeight="true" outlineLevel="0" collapsed="false">
      <c r="A520" s="114" t="s">
        <v>319</v>
      </c>
      <c r="B520" s="115" t="s">
        <v>168</v>
      </c>
      <c r="C520" s="115" t="s">
        <v>168</v>
      </c>
      <c r="D520" s="116" t="s">
        <v>483</v>
      </c>
      <c r="E520" s="115" t="s">
        <v>321</v>
      </c>
      <c r="F520" s="239" t="s">
        <v>484</v>
      </c>
      <c r="G520" s="240"/>
      <c r="H520" s="116" t="s">
        <v>484</v>
      </c>
      <c r="I520" s="116" t="s">
        <v>485</v>
      </c>
      <c r="J520" s="117" t="s">
        <v>323</v>
      </c>
      <c r="N520" s="118" t="s">
        <v>168</v>
      </c>
      <c r="O520" s="118" t="s">
        <v>168</v>
      </c>
    </row>
    <row r="521" s="96" customFormat="true" ht="15.75" hidden="false" customHeight="true" outlineLevel="0" collapsed="false">
      <c r="A521" s="120" t="n">
        <f aca="false">IF(C521="","",1)</f>
        <v>1</v>
      </c>
      <c r="B521" s="121" t="str">
        <f aca="false">IF($D$127=5,N521,IF($D$127=6,N522,IF($D$127=8,N523,IF($D$127=10,N524,IF($D$127=12,N525,IF($D$127=14,N526,IF($D$127=18,N527,IF($D$127=20,N528,IF($D$127=22,N529,)))))))))</f>
        <v>กระจก 5 mm (สูง) (กว้าง)</v>
      </c>
      <c r="C521" s="121" t="str">
        <f aca="false">IF($D$127=5,O521,IF($D$127=6,O522,IF($D$127=8,O523,IF($D$127=10,O524,IF($D$127=12,O525,IF($D$127=14,O526,IF($D$127=18,O527,IF($D$127=20,O528,IF($D$127=22,O529,)))))))))</f>
        <v>GLASS thk.5 mm (H) (W)</v>
      </c>
      <c r="D521" s="123" t="n">
        <f aca="false">$J$123-215</f>
        <v>2185</v>
      </c>
      <c r="E521" s="120" t="s">
        <v>486</v>
      </c>
      <c r="F521" s="224" t="s">
        <v>487</v>
      </c>
      <c r="G521" s="224"/>
      <c r="H521" s="120" t="s">
        <v>680</v>
      </c>
      <c r="I521" s="225" t="n">
        <f aca="false">(($J$126-185-(113.25*5))/6)-13</f>
        <v>511.791666666667</v>
      </c>
      <c r="J521" s="226" t="n">
        <f aca="false">$J$120*6</f>
        <v>6</v>
      </c>
      <c r="M521" s="96" t="n">
        <f aca="false">ROW()</f>
        <v>521</v>
      </c>
      <c r="N521" s="62" t="s">
        <v>489</v>
      </c>
      <c r="O521" s="62" t="s">
        <v>490</v>
      </c>
    </row>
    <row r="522" s="96" customFormat="true" ht="15.75" hidden="false" customHeight="true" outlineLevel="0" collapsed="false">
      <c r="A522" s="269"/>
      <c r="B522" s="228"/>
      <c r="C522" s="228"/>
      <c r="D522" s="176"/>
      <c r="E522" s="167"/>
      <c r="F522" s="229"/>
      <c r="G522" s="230"/>
      <c r="H522" s="167"/>
      <c r="I522" s="231"/>
      <c r="J522" s="232"/>
      <c r="M522" s="96" t="n">
        <f aca="false">ROW()</f>
        <v>522</v>
      </c>
      <c r="N522" s="62" t="s">
        <v>491</v>
      </c>
      <c r="O522" s="62" t="s">
        <v>492</v>
      </c>
    </row>
    <row r="523" s="96" customFormat="true" ht="15.75" hidden="false" customHeight="true" outlineLevel="0" collapsed="false">
      <c r="A523" s="269"/>
      <c r="B523" s="228"/>
      <c r="C523" s="228"/>
      <c r="D523" s="176"/>
      <c r="E523" s="167"/>
      <c r="F523" s="229"/>
      <c r="G523" s="230"/>
      <c r="H523" s="167"/>
      <c r="I523" s="231"/>
      <c r="J523" s="232"/>
      <c r="M523" s="96" t="n">
        <f aca="false">ROW()</f>
        <v>523</v>
      </c>
      <c r="N523" s="62" t="s">
        <v>493</v>
      </c>
      <c r="O523" s="62" t="s">
        <v>494</v>
      </c>
    </row>
    <row r="524" s="96" customFormat="true" ht="15.75" hidden="false" customHeight="true" outlineLevel="0" collapsed="false">
      <c r="A524" s="130" t="str">
        <f aca="false">IF(B524="","",+""+1)</f>
        <v/>
      </c>
      <c r="B524" s="131"/>
      <c r="C524" s="131"/>
      <c r="D524" s="132"/>
      <c r="E524" s="130"/>
      <c r="F524" s="233"/>
      <c r="G524" s="270"/>
      <c r="H524" s="130"/>
      <c r="I524" s="142"/>
      <c r="J524" s="133"/>
      <c r="M524" s="96" t="n">
        <f aca="false">ROW()</f>
        <v>524</v>
      </c>
      <c r="N524" s="62" t="s">
        <v>495</v>
      </c>
      <c r="O524" s="62" t="s">
        <v>496</v>
      </c>
    </row>
    <row r="525" s="96" customFormat="true" ht="15.75" hidden="false" customHeight="true" outlineLevel="0" collapsed="false">
      <c r="A525" s="136" t="str">
        <f aca="false">IF(B525="","",+A524+1)</f>
        <v/>
      </c>
      <c r="B525" s="135"/>
      <c r="C525" s="135"/>
      <c r="D525" s="139"/>
      <c r="E525" s="136"/>
      <c r="F525" s="236"/>
      <c r="G525" s="237"/>
      <c r="H525" s="136"/>
      <c r="I525" s="180"/>
      <c r="J525" s="140"/>
      <c r="M525" s="96" t="n">
        <f aca="false">ROW()</f>
        <v>525</v>
      </c>
      <c r="N525" s="62" t="s">
        <v>497</v>
      </c>
      <c r="O525" s="62" t="s">
        <v>498</v>
      </c>
    </row>
    <row r="526" s="96" customFormat="true" ht="15.75" hidden="false" customHeight="true" outlineLevel="0" collapsed="false">
      <c r="A526" s="97"/>
      <c r="D526" s="98"/>
      <c r="E526" s="97"/>
      <c r="F526" s="97"/>
      <c r="G526" s="97"/>
      <c r="H526" s="97"/>
      <c r="I526" s="97"/>
      <c r="J526" s="196"/>
      <c r="M526" s="96" t="n">
        <f aca="false">ROW()</f>
        <v>526</v>
      </c>
      <c r="N526" s="62" t="s">
        <v>499</v>
      </c>
      <c r="O526" s="62" t="s">
        <v>500</v>
      </c>
    </row>
    <row r="527" customFormat="false" ht="14.25" hidden="false" customHeight="false" outlineLevel="0" collapsed="false">
      <c r="J527" s="92" t="str">
        <f aca="false">LEFT($J$111,13)&amp;"-05"</f>
        <v>FG-240-6P1L5R-05</v>
      </c>
      <c r="M527" s="96" t="n">
        <f aca="false">ROW()</f>
        <v>527</v>
      </c>
      <c r="N527" s="62" t="s">
        <v>501</v>
      </c>
      <c r="O527" s="62" t="s">
        <v>502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503</v>
      </c>
      <c r="O528" s="62" t="s">
        <v>504</v>
      </c>
    </row>
    <row r="529" customFormat="false" ht="14.25" hidden="false" customHeight="false" outlineLevel="0" collapsed="false">
      <c r="M529" s="96" t="n">
        <f aca="false">ROW()</f>
        <v>529</v>
      </c>
      <c r="N529" s="62" t="s">
        <v>505</v>
      </c>
      <c r="O529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7"/>
    <mergeCell ref="H163:H167"/>
    <mergeCell ref="I166:J167"/>
    <mergeCell ref="D168:D169"/>
    <mergeCell ref="H168:H169"/>
    <mergeCell ref="I168:J168"/>
    <mergeCell ref="D170:D171"/>
    <mergeCell ref="H170:H171"/>
    <mergeCell ref="A172:J172"/>
    <mergeCell ref="A213:J213"/>
    <mergeCell ref="C307:E307"/>
    <mergeCell ref="A320:J320"/>
    <mergeCell ref="F330:G330"/>
    <mergeCell ref="F331:G331"/>
    <mergeCell ref="F334:G334"/>
    <mergeCell ref="A427:J427"/>
    <mergeCell ref="A519:J519"/>
    <mergeCell ref="F521:G521"/>
  </mergeCells>
  <dataValidations count="4">
    <dataValidation allowBlank="true" errorStyle="stop" operator="between" showDropDown="false" showErrorMessage="true" showInputMessage="true" sqref="D127:G127" type="list">
      <formula1>$N$120:$N$128</formula1>
      <formula2>0</formula2>
    </dataValidation>
    <dataValidation allowBlank="true" errorStyle="stop" operator="between" showDropDown="false" showErrorMessage="true" showInputMessage="true" sqref="C206" type="list">
      <formula1>$O$174:$O$192</formula1>
      <formula2>0</formula2>
    </dataValidation>
    <dataValidation allowBlank="true" errorStyle="stop" operator="between" showDropDown="false" showErrorMessage="true" showInputMessage="true" sqref="D129:G129" type="list">
      <formula1>$O$120</formula1>
      <formula2>0</formula2>
    </dataValidation>
    <dataValidation allowBlank="true" errorStyle="stop" operator="between" showDropDown="false" showErrorMessage="true" showInputMessage="true" sqref="D123:G123" type="list">
      <formula1>$P$119:$P$128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528"/>
  <sheetViews>
    <sheetView showFormulas="false" showGridLines="false" showRowColHeaders="true" showZeros="true" rightToLeft="false" tabSelected="false" showOutlineSymbols="true" defaultGridColor="true" view="pageBreakPreview" topLeftCell="A115" colorId="64" zoomScale="75" zoomScaleNormal="75" zoomScalePageLayoutView="75" workbookViewId="0">
      <selection pane="topLeft" activeCell="J128" activeCellId="0" sqref="J128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34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7.88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3.44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681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>
      <c r="G45" s="91"/>
    </row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682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5" hidden="false" customHeight="true" outlineLevel="0" collapsed="false">
      <c r="A118" s="97"/>
      <c r="C118" s="81"/>
      <c r="D118" s="98"/>
      <c r="E118" s="83"/>
      <c r="J118" s="99"/>
      <c r="K118" s="83"/>
    </row>
    <row r="119" s="96" customFormat="true" ht="18" hidden="false" customHeight="true" outlineLevel="0" collapsed="false">
      <c r="A119" s="97"/>
      <c r="C119" s="100" t="s">
        <v>286</v>
      </c>
      <c r="D119" s="101" t="s">
        <v>683</v>
      </c>
      <c r="E119" s="101"/>
      <c r="F119" s="101"/>
      <c r="G119" s="101"/>
      <c r="I119" s="83"/>
      <c r="J119" s="97"/>
      <c r="N119" s="258" t="s">
        <v>288</v>
      </c>
      <c r="O119" s="97" t="s">
        <v>289</v>
      </c>
      <c r="P119" s="102" t="s">
        <v>290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5</v>
      </c>
      <c r="O120" s="97" t="s">
        <v>509</v>
      </c>
      <c r="P120" s="106" t="s">
        <v>294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6</v>
      </c>
      <c r="O121" s="97" t="s">
        <v>296</v>
      </c>
      <c r="P121" s="106" t="s">
        <v>297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8</v>
      </c>
      <c r="P122" s="106" t="s">
        <v>299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308</v>
      </c>
      <c r="E123" s="101"/>
      <c r="F123" s="101"/>
      <c r="G123" s="101"/>
      <c r="H123" s="104" t="s">
        <v>302</v>
      </c>
      <c r="I123" s="104"/>
      <c r="J123" s="105" t="n">
        <v>2500</v>
      </c>
      <c r="N123" s="259" t="n">
        <v>10</v>
      </c>
      <c r="P123" s="106" t="s">
        <v>303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12</v>
      </c>
      <c r="P124" s="106" t="s">
        <v>305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14</v>
      </c>
      <c r="P125" s="106" t="s">
        <v>308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4000</v>
      </c>
      <c r="K126" s="110"/>
      <c r="L126" s="110"/>
      <c r="N126" s="259" t="n">
        <v>18</v>
      </c>
      <c r="P126" s="106" t="s">
        <v>311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259" t="n">
        <v>20</v>
      </c>
      <c r="P127" s="106" t="s">
        <v>313</v>
      </c>
    </row>
    <row r="128" s="96" customFormat="true" ht="18.75" hidden="false" customHeight="true" outlineLevel="0" collapsed="false">
      <c r="C128" s="108" t="s">
        <v>314</v>
      </c>
      <c r="I128" s="97"/>
      <c r="J128" s="97"/>
      <c r="N128" s="259" t="n">
        <v>22</v>
      </c>
      <c r="P128" s="106" t="s">
        <v>315</v>
      </c>
    </row>
    <row r="129" s="96" customFormat="true" ht="15" hidden="false" customHeight="true" outlineLevel="0" collapsed="false">
      <c r="A129" s="89" t="str">
        <f aca="false">A18</f>
        <v>240-6 Panel (3L3R)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  <c r="P129" s="96" t="s">
        <v>486</v>
      </c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3940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12</v>
      </c>
      <c r="U133" s="127" t="s">
        <v>674</v>
      </c>
      <c r="V133" s="247" t="n">
        <f aca="false">($J$126-185-(113.25*5))/6</f>
        <v>541.458333333333</v>
      </c>
      <c r="W133" s="129" t="n">
        <f aca="false">$J$121*T133</f>
        <v>0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3914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12</v>
      </c>
      <c r="U134" s="130" t="s">
        <v>674</v>
      </c>
      <c r="V134" s="247" t="n">
        <f aca="false">($J$126-185-(113.25*5))/6</f>
        <v>541.458333333333</v>
      </c>
      <c r="W134" s="134" t="n">
        <f aca="false">$J$121*T134</f>
        <v>0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3940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12</v>
      </c>
      <c r="U135" s="136" t="s">
        <v>674</v>
      </c>
      <c r="V135" s="247" t="n">
        <f aca="false">($J$126-185-(113.25*5))/6</f>
        <v>541.458333333333</v>
      </c>
      <c r="W135" s="137" t="n">
        <f aca="false">$J$121*T135</f>
        <v>0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3940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12</v>
      </c>
      <c r="U136" s="127" t="s">
        <v>360</v>
      </c>
      <c r="V136" s="138" t="n">
        <f aca="false">$J$123-242</f>
        <v>2258</v>
      </c>
      <c r="W136" s="129" t="n">
        <f aca="false">$J$121*T136</f>
        <v>0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2500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12</v>
      </c>
      <c r="U137" s="130" t="s">
        <v>360</v>
      </c>
      <c r="V137" s="133" t="n">
        <f aca="false">$J$123-242</f>
        <v>2258</v>
      </c>
      <c r="W137" s="134" t="n">
        <f aca="false">$J$121*T137</f>
        <v>0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2500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12</v>
      </c>
      <c r="U138" s="136" t="s">
        <v>360</v>
      </c>
      <c r="V138" s="140" t="n">
        <f aca="false">$J$123-242</f>
        <v>2258</v>
      </c>
      <c r="W138" s="137" t="n">
        <f aca="false">$J$121*T138</f>
        <v>0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2404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2404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6</v>
      </c>
      <c r="H141" s="130" t="s">
        <v>684</v>
      </c>
      <c r="I141" s="141" t="n">
        <f aca="false">(($J$126/2)-60-(3+1)*4)/3</f>
        <v>641.333333333333</v>
      </c>
      <c r="J141" s="134" t="n">
        <f aca="false">$J$120*G141</f>
        <v>6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6</v>
      </c>
      <c r="H142" s="130" t="s">
        <v>684</v>
      </c>
      <c r="I142" s="141" t="n">
        <f aca="false">(($J$126/2)-60-(3+1)*4)/3</f>
        <v>641.333333333333</v>
      </c>
      <c r="J142" s="134" t="n">
        <f aca="false">$J$120*G142</f>
        <v>6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9</v>
      </c>
      <c r="H143" s="130" t="s">
        <v>389</v>
      </c>
      <c r="I143" s="133" t="n">
        <f aca="false">$J$123-92</f>
        <v>2408</v>
      </c>
      <c r="J143" s="134" t="n">
        <f aca="false">$J$120*G143</f>
        <v>9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1</v>
      </c>
      <c r="H144" s="130" t="s">
        <v>389</v>
      </c>
      <c r="I144" s="133" t="n">
        <f aca="false">$J$123-92</f>
        <v>2408</v>
      </c>
      <c r="J144" s="134" t="n">
        <f aca="false">$J$120*G144</f>
        <v>1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531</v>
      </c>
      <c r="C145" s="131" t="s">
        <v>391</v>
      </c>
      <c r="D145" s="132" t="s">
        <v>74</v>
      </c>
      <c r="E145" s="130" t="n">
        <v>1.106</v>
      </c>
      <c r="F145" s="132" t="s">
        <v>563</v>
      </c>
      <c r="G145" s="130" t="n">
        <v>1</v>
      </c>
      <c r="H145" s="130" t="s">
        <v>389</v>
      </c>
      <c r="I145" s="133" t="n">
        <f aca="false">$J$123-92</f>
        <v>2408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">
        <v>531</v>
      </c>
      <c r="C146" s="131" t="s">
        <v>532</v>
      </c>
      <c r="D146" s="132" t="s">
        <v>74</v>
      </c>
      <c r="E146" s="130" t="n">
        <v>1.106</v>
      </c>
      <c r="F146" s="132" t="s">
        <v>533</v>
      </c>
      <c r="G146" s="130" t="n">
        <v>1</v>
      </c>
      <c r="H146" s="130" t="s">
        <v>389</v>
      </c>
      <c r="I146" s="133" t="n">
        <f aca="false">$J$123-92</f>
        <v>2408</v>
      </c>
      <c r="J146" s="134" t="n">
        <f aca="false">$J$120*G146</f>
        <v>1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7" s="131" t="str">
        <f aca="false">IF($D$127=5,Q133,IF($D$127=6,Q133,IF($D$127=8,Q134,IF($D$127=10,Q134,IF($D$127=12,Q134,IF($D$127=14,Q135,IF($D$127=18,Q135,IF($D$127=20,Q135,IF($D$127=22,Q135,)))))))))</f>
        <v>B24008</v>
      </c>
      <c r="E147" s="131" t="n">
        <f aca="false">IF($D$127=5,R133,IF($D$127=6,R133,IF($D$127=8,R134,IF($D$127=10,R134,IF($D$127=12,R134,IF($D$127=14,R135,IF($D$127=18,R135,IF($D$127=20,R135,IF($D$127=22,R135,)))))))))</f>
        <v>0.231</v>
      </c>
      <c r="F147" s="131" t="str">
        <f aca="false">IF($D$127=5,S133,IF($D$127=6,S133,IF($D$127=8,S134,IF($D$127=10,S134,IF($D$127=12,S134,IF($D$127=14,S135,IF($D$127=18,S135,IF($D$127=20,S135,IF($D$127=22,S135,)))))))))</f>
        <v>B24008-001</v>
      </c>
      <c r="G147" s="130" t="n">
        <f aca="false">IF($D$127=5,T133,IF($D$127=6,T133,IF($D$127=8,T134,IF($D$127=10,T134,IF($D$127=12,T134,IF($D$127=14,T135,IF($D$127=18,T135,IF($D$127=20,T135,IF($D$127=22,T135,)))))))))</f>
        <v>12</v>
      </c>
      <c r="H147" s="130" t="str">
        <f aca="false">IF($D$127=5,U133,IF($D$127=6,U133,IF($D$127=8,U134,IF($D$127=10,U134,IF($D$127=12,U134,IF($D$127=14,U135,IF($D$127=18,U135,IF($D$127=20,U135,IF($D$127=22,U135,)))))))))</f>
        <v>(W-185-(113.25 × 5))/6</v>
      </c>
      <c r="I147" s="141" t="n">
        <f aca="false">IF($D$127=5,V133,IF($D$127=6,V133,IF($D$127=8,V134,IF($D$127=10,V134,IF($D$127=12,V134,IF($D$127=14,V135,IF($D$127=18,V135,IF($D$127=20,V135,IF($D$127=22,V135,)))))))))</f>
        <v>541.458333333333</v>
      </c>
      <c r="J147" s="134" t="n">
        <f aca="false">$J$120*G147</f>
        <v>12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8" s="131" t="str">
        <f aca="false">IF($D$127=5,Q136,IF($D$127=6,Q136,IF($D$127=8,Q137,IF($D$127=10,Q137,IF($D$127=12,Q137,IF($D$127=14,Q138,IF($D$127=18,Q138,IF($D$127=20,Q138,IF($D$127=22,Q138,)))))))))</f>
        <v>B24008</v>
      </c>
      <c r="E148" s="131" t="n">
        <f aca="false">IF($D$127=5,R136,IF($D$127=6,R136,IF($D$127=8,R137,IF($D$127=10,R137,IF($D$127=12,R137,IF($D$127=14,R138,IF($D$127=18,R138,IF($D$127=20,R138,IF($D$127=22,R138,)))))))))</f>
        <v>0.231</v>
      </c>
      <c r="F148" s="131" t="str">
        <f aca="false">IF($D$127=5,S136,IF($D$127=6,S136,IF($D$127=8,S137,IF($D$127=10,S137,IF($D$127=12,S137,IF($D$127=14,S138,IF($D$127=18,S138,IF($D$127=20,S138,IF($D$127=22,S138,)))))))))</f>
        <v>B24008-002</v>
      </c>
      <c r="G148" s="130" t="n">
        <f aca="false">IF($D$127=5,T136,IF($D$127=6,T136,IF($D$127=8,T137,IF($D$127=10,T137,IF($D$127=12,T137,IF($D$127=14,T138,IF($D$127=18,T138,IF($D$127=20,T138,IF($D$127=22,T138,)))))))))</f>
        <v>12</v>
      </c>
      <c r="H148" s="130" t="str">
        <f aca="false">IF($D$127=5,U136,IF($D$127=6,U136,IF($D$127=8,U137,IF($D$127=10,U137,IF($D$127=12,U137,IF($D$127=14,U138,IF($D$127=18,U138,IF($D$127=20,U138,IF($D$127=22,U138,)))))))))</f>
        <v>H-242</v>
      </c>
      <c r="I148" s="133" t="n">
        <f aca="false">IF($D$127=5,V136,IF($D$127=6,V136,IF($D$127=8,V137,IF($D$127=10,V137,IF($D$127=12,V137,IF($D$127=14,V138,IF($D$127=18,V138,IF($D$127=20,V138,IF($D$127=22,V138,)))))))))</f>
        <v>2258</v>
      </c>
      <c r="J148" s="134" t="n">
        <f aca="false">$J$120*G148</f>
        <v>12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535</v>
      </c>
      <c r="D149" s="132" t="s">
        <v>536</v>
      </c>
      <c r="E149" s="130"/>
      <c r="F149" s="132" t="s">
        <v>537</v>
      </c>
      <c r="G149" s="130" t="n">
        <v>1</v>
      </c>
      <c r="H149" s="130" t="s">
        <v>389</v>
      </c>
      <c r="I149" s="133" t="n">
        <f aca="false">$J$123-92</f>
        <v>2408</v>
      </c>
      <c r="J149" s="134" t="n">
        <f aca="false">$J$120*G149</f>
        <v>1</v>
      </c>
    </row>
    <row r="150" s="96" customFormat="true" ht="18" hidden="false" customHeight="true" outlineLevel="0" collapsed="false">
      <c r="A150" s="130" t="n">
        <f aca="false">IF(B150="","",+A149+1)</f>
        <v>18</v>
      </c>
      <c r="B150" s="131" t="s">
        <v>534</v>
      </c>
      <c r="C150" s="131" t="s">
        <v>535</v>
      </c>
      <c r="D150" s="132" t="s">
        <v>536</v>
      </c>
      <c r="E150" s="130"/>
      <c r="F150" s="132" t="s">
        <v>539</v>
      </c>
      <c r="G150" s="130" t="n">
        <v>1</v>
      </c>
      <c r="H150" s="130" t="s">
        <v>389</v>
      </c>
      <c r="I150" s="133" t="n">
        <f aca="false">$J$123-92</f>
        <v>2408</v>
      </c>
      <c r="J150" s="134" t="n">
        <f aca="false">$J$120*G150</f>
        <v>1</v>
      </c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33"/>
      <c r="J151" s="134"/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3940</v>
      </c>
      <c r="G155" s="155" t="n">
        <f aca="false">VLOOKUP(C155,$C$133:$J$153,8,0)</f>
        <v>1</v>
      </c>
      <c r="H155" s="264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VLOOKUP(C156,$C$133:$I$153,7,0)</f>
        <v>3914</v>
      </c>
      <c r="G156" s="155" t="n">
        <f aca="false">VLOOKUP(C156,$C$133:$J$153,8,0)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VLOOKUP(C157,$C$133:$I$153,7,0)</f>
        <v>3940</v>
      </c>
      <c r="G157" s="155" t="n">
        <f aca="false">VLOOKUP(C157,$C$133:$J$153,8,0)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VLOOKUP(C158,$C$133:$I$153,7,0)</f>
        <v>3940</v>
      </c>
      <c r="G158" s="155" t="n">
        <f aca="false">VLOOKUP(C158,$C$133:$J$153,8,0)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VLOOKUP(C159,$C$133:$I$153,7,0)</f>
        <v>2500</v>
      </c>
      <c r="G159" s="155" t="n">
        <f aca="false">VLOOKUP(C159,$C$133:$J$153,8,0)</f>
        <v>1</v>
      </c>
      <c r="H159" s="160" t="n">
        <f aca="false">ROUNDUP(((F159*G159)+(F160*G160))/6400,0)</f>
        <v>1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VLOOKUP(C160,$C$133:$I$153,7,0)</f>
        <v>2500</v>
      </c>
      <c r="G160" s="155" t="n">
        <f aca="false">VLOOKUP(C160,$C$133:$J$153,8,0)</f>
        <v>1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VLOOKUP(C161,$C$133:$I$153,7,0)</f>
        <v>2404</v>
      </c>
      <c r="G161" s="155" t="n">
        <f aca="false">VLOOKUP(C161,$C$133:$J$153,8,0)</f>
        <v>1</v>
      </c>
      <c r="H161" s="160" t="n">
        <f aca="false">ROUNDUP(((F161*G161)+(F162*G162))/6400,0)</f>
        <v>1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155" t="n">
        <f aca="false">VLOOKUP(C162,$C$133:$H$153,3,0)</f>
        <v>0.235</v>
      </c>
      <c r="F162" s="263" t="n">
        <f aca="false">VLOOKUP(C162,$C$133:$I$153,7,0)</f>
        <v>2404</v>
      </c>
      <c r="G162" s="155" t="n">
        <f aca="false">VLOOKUP(C162,$C$133:$J$153,8,0)</f>
        <v>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155" t="n">
        <f aca="false">VLOOKUP(C163,$C$133:$H$153,3,0)</f>
        <v>1.106</v>
      </c>
      <c r="F163" s="267" t="n">
        <f aca="false">VLOOKUP(C163,$C$133:$I$153,7,0)</f>
        <v>641.333333333333</v>
      </c>
      <c r="G163" s="155" t="n">
        <f aca="false">VLOOKUP(C163,$C$133:$J$153,8,0)</f>
        <v>6</v>
      </c>
      <c r="H163" s="160" t="n">
        <f aca="false">ROUNDUP(((F163*G163)+(F164*G164)+(F165*G165)+(F166*G166)+(F167*G167)+(F168*G168))/6400,0)</f>
        <v>6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155" t="n">
        <f aca="false">VLOOKUP(C164,$C$133:$H$153,3,0)</f>
        <v>1.106</v>
      </c>
      <c r="F164" s="267" t="n">
        <f aca="false">VLOOKUP(C164,$C$133:$I$153,7,0)</f>
        <v>641.333333333333</v>
      </c>
      <c r="G164" s="155" t="n">
        <f aca="false">VLOOKUP(C164,$C$133:$J$153,8,0)</f>
        <v>6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155" t="n">
        <f aca="false">VLOOKUP(C165,$C$133:$H$153,3,0)</f>
        <v>1.106</v>
      </c>
      <c r="F165" s="263" t="n">
        <f aca="false">VLOOKUP(C165,$C$133:$I$153,7,0)</f>
        <v>2408</v>
      </c>
      <c r="G165" s="155" t="n">
        <f aca="false">VLOOKUP(C165,$C$133:$J$153,8,0)</f>
        <v>9</v>
      </c>
      <c r="H165" s="160"/>
      <c r="I165" s="161"/>
      <c r="J165" s="161"/>
    </row>
    <row r="166" s="96" customFormat="true" ht="13.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155" t="n">
        <f aca="false">VLOOKUP(C166,$C$133:$H$153,3,0)</f>
        <v>1.106</v>
      </c>
      <c r="F166" s="263" t="n">
        <f aca="false">VLOOKUP(C166,$C$133:$I$153,7,0)</f>
        <v>2408</v>
      </c>
      <c r="G166" s="155" t="n">
        <f aca="false">VLOOKUP(C166,$C$133:$J$153,8,0)</f>
        <v>1</v>
      </c>
      <c r="H166" s="160"/>
      <c r="I166" s="161"/>
      <c r="J166" s="161"/>
    </row>
    <row r="167" s="96" customFormat="true" ht="13.5" hidden="false" customHeight="true" outlineLevel="1" collapsed="false">
      <c r="A167" s="158" t="n">
        <f aca="false">IF(B167="","",+A166+1)</f>
        <v>13</v>
      </c>
      <c r="B167" s="153" t="str">
        <f aca="false">B145</f>
        <v>เสากุญแจมือจับ</v>
      </c>
      <c r="C167" s="153" t="str">
        <f aca="false">C145</f>
        <v>SASH (Ver) LOCK </v>
      </c>
      <c r="D167" s="159"/>
      <c r="E167" s="155" t="n">
        <f aca="false">VLOOKUP(C167,$C$133:$H$153,3,0)</f>
        <v>1.106</v>
      </c>
      <c r="F167" s="263" t="n">
        <f aca="false">VLOOKUP(C167,$C$133:$I$153,7,0)</f>
        <v>2408</v>
      </c>
      <c r="G167" s="155" t="n">
        <f aca="false">VLOOKUP(C167,$C$133:$J$153,8,0)</f>
        <v>1</v>
      </c>
      <c r="H167" s="160"/>
      <c r="I167" s="161"/>
      <c r="J167" s="161"/>
    </row>
    <row r="168" s="96" customFormat="true" ht="13.5" hidden="false" customHeight="true" outlineLevel="1" collapsed="false">
      <c r="A168" s="158" t="n">
        <f aca="false">IF(B168="","",+A167+1)</f>
        <v>14</v>
      </c>
      <c r="B168" s="153" t="str">
        <f aca="false">B146</f>
        <v>เสากุญแจมือจับ</v>
      </c>
      <c r="C168" s="153" t="str">
        <f aca="false">C146</f>
        <v>SASH (Ver) LOCK HANDLE</v>
      </c>
      <c r="D168" s="159"/>
      <c r="E168" s="155" t="n">
        <f aca="false">VLOOKUP(C168,$C$133:$H$153,3,0)</f>
        <v>1.106</v>
      </c>
      <c r="F168" s="263" t="n">
        <f aca="false">VLOOKUP(C168,$C$133:$I$153,7,0)</f>
        <v>2408</v>
      </c>
      <c r="G168" s="155" t="n">
        <f aca="false">VLOOKUP(C168,$C$133:$J$153,8,0)</f>
        <v>1</v>
      </c>
      <c r="H168" s="160"/>
      <c r="I168" s="265"/>
      <c r="J168" s="265"/>
    </row>
    <row r="169" s="96" customFormat="true" ht="13.5" hidden="false" customHeight="true" outlineLevel="1" collapsed="false">
      <c r="A169" s="158" t="n">
        <f aca="false">IF(B169="","",+A168+1)</f>
        <v>15</v>
      </c>
      <c r="B169" s="153" t="str">
        <f aca="false">B147</f>
        <v>5-6mm คิ้วตบกระจกแนวนอน</v>
      </c>
      <c r="C169" s="153" t="str">
        <f aca="false">C147</f>
        <v>5-6mm GLAZING BEAD HORIZONTAL</v>
      </c>
      <c r="D169" s="159" t="str">
        <f aca="false">VLOOKUP(C169,$C$133:$H$153,2,0)</f>
        <v>B24008</v>
      </c>
      <c r="E169" s="155" t="n">
        <f aca="false">VLOOKUP(C169,$C$133:$H$153,3,0)</f>
        <v>0.231</v>
      </c>
      <c r="F169" s="267" t="n">
        <f aca="false">VLOOKUP(C169,$C$133:$I$153,7,0)</f>
        <v>541.458333333333</v>
      </c>
      <c r="G169" s="155" t="n">
        <f aca="false">VLOOKUP(C169,$C$133:$J$153,8,0)</f>
        <v>12</v>
      </c>
      <c r="H169" s="160" t="n">
        <f aca="false">ROUNDUP(((F169*G169)+(F170*G170))/6400,0)</f>
        <v>6</v>
      </c>
      <c r="I169" s="196"/>
      <c r="J169" s="196"/>
    </row>
    <row r="170" s="96" customFormat="true" ht="13.5" hidden="false" customHeight="true" outlineLevel="1" collapsed="false">
      <c r="A170" s="158" t="n">
        <f aca="false">IF(B170="","",+A169+1)</f>
        <v>16</v>
      </c>
      <c r="B170" s="153" t="str">
        <f aca="false">B148</f>
        <v>5-6mm คิ้วตบกระจกแนวตั้ง</v>
      </c>
      <c r="C170" s="153" t="str">
        <f aca="false">C148</f>
        <v>5-6mm GLAZING BEAD VERTICAL</v>
      </c>
      <c r="D170" s="159"/>
      <c r="E170" s="155" t="n">
        <f aca="false">VLOOKUP(C170,$C$133:$H$153,3,0)</f>
        <v>0.231</v>
      </c>
      <c r="F170" s="263" t="n">
        <f aca="false">VLOOKUP(C170,$C$133:$I$153,7,0)</f>
        <v>2258</v>
      </c>
      <c r="G170" s="155" t="n">
        <f aca="false">VLOOKUP(C170,$C$133:$J$153,8,0)</f>
        <v>12</v>
      </c>
      <c r="H170" s="160"/>
      <c r="I170" s="196"/>
      <c r="J170" s="196"/>
    </row>
    <row r="171" s="96" customFormat="true" ht="13.5" hidden="false" customHeight="true" outlineLevel="1" collapsed="false">
      <c r="A171" s="158" t="n">
        <f aca="false">IF(B171="","",+A170+1)</f>
        <v>17</v>
      </c>
      <c r="B171" s="153" t="str">
        <f aca="false">B149</f>
        <v>บังใบ</v>
      </c>
      <c r="C171" s="153" t="str">
        <f aca="false">C149</f>
        <v>SASH STOP</v>
      </c>
      <c r="D171" s="163" t="str">
        <f aca="false">VLOOKUP(C171,$C$133:$H$153,2,0)</f>
        <v>B24009</v>
      </c>
      <c r="E171" s="155" t="n">
        <f aca="false">VLOOKUP(C171,$C$133:$H$153,3,0)</f>
        <v>0</v>
      </c>
      <c r="F171" s="263" t="n">
        <f aca="false">VLOOKUP(C171,$C$133:$I$153,7,0)</f>
        <v>2408</v>
      </c>
      <c r="G171" s="155" t="n">
        <f aca="false">VLOOKUP(C171,$C$133:$J$153,8,0)</f>
        <v>1</v>
      </c>
      <c r="H171" s="160" t="n">
        <f aca="false">ROUNDUP(((F171*G171)+(F172*G172))/6400,0)</f>
        <v>1</v>
      </c>
      <c r="I171" s="196"/>
      <c r="J171" s="196"/>
    </row>
    <row r="172" s="96" customFormat="true" ht="14.25" hidden="false" customHeight="false" outlineLevel="1" collapsed="false">
      <c r="A172" s="158" t="n">
        <f aca="false">IF(B172="","",+A171+1)</f>
        <v>18</v>
      </c>
      <c r="B172" s="153" t="str">
        <f aca="false">B150</f>
        <v>บังใบ</v>
      </c>
      <c r="C172" s="153" t="str">
        <f aca="false">C150</f>
        <v>SASH STOP</v>
      </c>
      <c r="D172" s="163"/>
      <c r="E172" s="155" t="n">
        <f aca="false">VLOOKUP(C172,$C$133:$H$153,3,0)</f>
        <v>0</v>
      </c>
      <c r="F172" s="263" t="n">
        <f aca="false">VLOOKUP(C172,$C$133:$I$153,7,0)</f>
        <v>2408</v>
      </c>
      <c r="G172" s="155" t="n">
        <f aca="false">VLOOKUP(C172,$C$133:$J$153,8,0)</f>
        <v>1</v>
      </c>
      <c r="H172" s="160"/>
      <c r="I172" s="196"/>
      <c r="J172" s="196"/>
    </row>
    <row r="173" s="96" customFormat="true" ht="24.75" hidden="false" customHeight="true" outlineLevel="0" collapsed="false">
      <c r="A173" s="113" t="s">
        <v>396</v>
      </c>
      <c r="B173" s="113"/>
      <c r="C173" s="113"/>
      <c r="D173" s="113"/>
      <c r="E173" s="113"/>
      <c r="F173" s="113"/>
      <c r="G173" s="113"/>
      <c r="H173" s="113"/>
      <c r="I173" s="113"/>
      <c r="J173" s="113"/>
    </row>
    <row r="174" s="96" customFormat="true" ht="34.5" hidden="false" customHeight="true" outlineLevel="0" collapsed="false">
      <c r="A174" s="114" t="s">
        <v>319</v>
      </c>
      <c r="B174" s="115" t="s">
        <v>320</v>
      </c>
      <c r="C174" s="115" t="s">
        <v>168</v>
      </c>
      <c r="D174" s="115" t="s">
        <v>397</v>
      </c>
      <c r="E174" s="115" t="s">
        <v>321</v>
      </c>
      <c r="F174" s="116" t="s">
        <v>398</v>
      </c>
      <c r="G174" s="115" t="s">
        <v>399</v>
      </c>
      <c r="H174" s="116" t="s">
        <v>400</v>
      </c>
      <c r="I174" s="116" t="s">
        <v>401</v>
      </c>
      <c r="J174" s="117" t="s">
        <v>402</v>
      </c>
      <c r="N174" s="107" t="s">
        <v>288</v>
      </c>
      <c r="O174" s="165" t="s">
        <v>320</v>
      </c>
      <c r="P174" s="165" t="s">
        <v>168</v>
      </c>
      <c r="Q174" s="165" t="s">
        <v>397</v>
      </c>
      <c r="R174" s="165" t="s">
        <v>321</v>
      </c>
      <c r="S174" s="165" t="s">
        <v>398</v>
      </c>
      <c r="T174" s="165" t="s">
        <v>399</v>
      </c>
      <c r="U174" s="165" t="s">
        <v>400</v>
      </c>
      <c r="V174" s="165" t="s">
        <v>401</v>
      </c>
      <c r="W174" s="165" t="s">
        <v>402</v>
      </c>
    </row>
    <row r="175" s="96" customFormat="true" ht="18" hidden="false" customHeight="true" outlineLevel="0" collapsed="false">
      <c r="A175" s="166" t="n">
        <f aca="false">IF(B175="","",1)</f>
        <v>1</v>
      </c>
      <c r="B175" s="131" t="s">
        <v>410</v>
      </c>
      <c r="C175" s="131" t="s">
        <v>411</v>
      </c>
      <c r="D175" s="132" t="s">
        <v>267</v>
      </c>
      <c r="E175" s="130"/>
      <c r="F175" s="130" t="s">
        <v>267</v>
      </c>
      <c r="G175" s="130" t="s">
        <v>405</v>
      </c>
      <c r="H175" s="130" t="n">
        <v>12</v>
      </c>
      <c r="I175" s="133"/>
      <c r="J175" s="134" t="n">
        <f aca="false">$J$120*H175</f>
        <v>12</v>
      </c>
      <c r="N175" s="107" t="s">
        <v>406</v>
      </c>
      <c r="O175" s="55" t="s">
        <v>407</v>
      </c>
      <c r="P175" s="62" t="s">
        <v>408</v>
      </c>
      <c r="Q175" s="55" t="s">
        <v>227</v>
      </c>
      <c r="R175" s="158"/>
      <c r="S175" s="158" t="s">
        <v>227</v>
      </c>
      <c r="T175" s="158" t="s">
        <v>409</v>
      </c>
      <c r="U175" s="168" t="n">
        <f aca="false">((($I$141*$G$141)+($I$142*$G$142)+($I$143*$G$143)+($I$144*$G$144)+($I$145*$G$145)+($I$147*$G$146))/1000)*$J$120</f>
        <v>34.7254583333333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2</v>
      </c>
      <c r="B176" s="131" t="s">
        <v>415</v>
      </c>
      <c r="C176" s="131" t="s">
        <v>416</v>
      </c>
      <c r="D176" s="132" t="s">
        <v>222</v>
      </c>
      <c r="E176" s="130"/>
      <c r="F176" s="130" t="s">
        <v>222</v>
      </c>
      <c r="G176" s="130" t="s">
        <v>405</v>
      </c>
      <c r="H176" s="130" t="n">
        <v>2</v>
      </c>
      <c r="I176" s="133"/>
      <c r="J176" s="134" t="n">
        <f aca="false">$J$120*H176</f>
        <v>2</v>
      </c>
      <c r="N176" s="107" t="s">
        <v>412</v>
      </c>
      <c r="O176" s="55" t="s">
        <v>413</v>
      </c>
      <c r="P176" s="62" t="s">
        <v>414</v>
      </c>
      <c r="Q176" s="55" t="s">
        <v>234</v>
      </c>
      <c r="R176" s="158"/>
      <c r="S176" s="158" t="s">
        <v>234</v>
      </c>
      <c r="T176" s="158" t="s">
        <v>409</v>
      </c>
      <c r="U176" s="168" t="n">
        <f aca="false">((($I$141*$G$141)+($I$142*$G$142)+($I$143*$G$143)+($I$144*$G$144)+($I$145*$G$145)+($I$147*$G$146))/1000)*$J$120</f>
        <v>34.7254583333333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3</v>
      </c>
      <c r="B177" s="131" t="s">
        <v>420</v>
      </c>
      <c r="C177" s="131" t="s">
        <v>421</v>
      </c>
      <c r="D177" s="132" t="s">
        <v>225</v>
      </c>
      <c r="E177" s="130"/>
      <c r="F177" s="130" t="s">
        <v>225</v>
      </c>
      <c r="G177" s="130" t="s">
        <v>405</v>
      </c>
      <c r="H177" s="130" t="n">
        <v>2</v>
      </c>
      <c r="I177" s="133"/>
      <c r="J177" s="134" t="n">
        <f aca="false">$J$120*H177</f>
        <v>2</v>
      </c>
      <c r="N177" s="107" t="s">
        <v>417</v>
      </c>
      <c r="O177" s="62" t="s">
        <v>418</v>
      </c>
      <c r="P177" s="62" t="s">
        <v>419</v>
      </c>
      <c r="Q177" s="55" t="s">
        <v>236</v>
      </c>
      <c r="R177" s="158"/>
      <c r="S177" s="158" t="s">
        <v>236</v>
      </c>
      <c r="T177" s="158" t="s">
        <v>409</v>
      </c>
      <c r="U177" s="168" t="n">
        <f aca="false">((($I$141*$G$141)+($I$142*$G$142)+($I$143*$G$143)+($I$144*$G$144)+($I$145*$G$145)+($I$147*$G$146))/1000)*$J$120</f>
        <v>34.7254583333333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4</v>
      </c>
      <c r="B178" s="131" t="s">
        <v>425</v>
      </c>
      <c r="C178" s="131" t="s">
        <v>426</v>
      </c>
      <c r="D178" s="132" t="n">
        <v>9</v>
      </c>
      <c r="E178" s="130"/>
      <c r="F178" s="130" t="n">
        <v>9</v>
      </c>
      <c r="G178" s="130" t="s">
        <v>405</v>
      </c>
      <c r="H178" s="130" t="n">
        <v>8</v>
      </c>
      <c r="I178" s="133"/>
      <c r="J178" s="134" t="n">
        <f aca="false">$J$120*H178</f>
        <v>8</v>
      </c>
      <c r="N178" s="107" t="s">
        <v>422</v>
      </c>
      <c r="O178" s="62" t="s">
        <v>423</v>
      </c>
      <c r="P178" s="62" t="s">
        <v>424</v>
      </c>
      <c r="Q178" s="55" t="s">
        <v>238</v>
      </c>
      <c r="R178" s="158"/>
      <c r="S178" s="158" t="s">
        <v>238</v>
      </c>
      <c r="T178" s="158" t="s">
        <v>409</v>
      </c>
      <c r="U178" s="168" t="n">
        <f aca="false">((($I$141*$G$141)+($I$142*$G$142)+($I$143*$G$143)+($I$144*$G$144)+($I$145*$G$145)+($I$147*$G$146))/1000)*$J$120</f>
        <v>34.7254583333333</v>
      </c>
      <c r="V178" s="168" t="n">
        <v>100</v>
      </c>
      <c r="W178" s="169" t="n">
        <f aca="false">ROUNDUP((U178)/100,0)</f>
        <v>1</v>
      </c>
    </row>
    <row r="179" s="96" customFormat="true" ht="18" hidden="false" customHeight="true" outlineLevel="0" collapsed="false">
      <c r="A179" s="170" t="n">
        <f aca="false">IF(B179="","",+A178+1)</f>
        <v>5</v>
      </c>
      <c r="B179" s="131" t="s">
        <v>430</v>
      </c>
      <c r="C179" s="131" t="s">
        <v>431</v>
      </c>
      <c r="D179" s="132" t="n">
        <v>9</v>
      </c>
      <c r="E179" s="130"/>
      <c r="F179" s="130" t="n">
        <v>9</v>
      </c>
      <c r="G179" s="130" t="s">
        <v>405</v>
      </c>
      <c r="H179" s="130" t="n">
        <v>110</v>
      </c>
      <c r="I179" s="133"/>
      <c r="J179" s="134" t="n">
        <f aca="false">$J$120*H179</f>
        <v>110</v>
      </c>
      <c r="N179" s="107" t="s">
        <v>427</v>
      </c>
      <c r="O179" s="62" t="s">
        <v>428</v>
      </c>
      <c r="P179" s="62" t="s">
        <v>429</v>
      </c>
      <c r="Q179" s="55" t="s">
        <v>240</v>
      </c>
      <c r="R179" s="158"/>
      <c r="S179" s="158" t="s">
        <v>240</v>
      </c>
      <c r="T179" s="158" t="s">
        <v>409</v>
      </c>
      <c r="U179" s="168" t="n">
        <f aca="false">((($I$141*$G$141)+($I$142*$G$142)+($I$143*$G$143)+($I$144*$G$144)+($I$145*$G$145)+($I$147*$G$146))/1000)*$J$120</f>
        <v>34.7254583333333</v>
      </c>
      <c r="V179" s="168" t="n">
        <v>100</v>
      </c>
      <c r="W179" s="169" t="n">
        <f aca="false">ROUNDUP((U179)/100,0)</f>
        <v>1</v>
      </c>
    </row>
    <row r="180" s="96" customFormat="true" ht="18" hidden="false" customHeight="true" outlineLevel="0" collapsed="false">
      <c r="A180" s="170" t="n">
        <f aca="false">IF(B180="","",+A179+1)</f>
        <v>6</v>
      </c>
      <c r="B180" s="131" t="s">
        <v>556</v>
      </c>
      <c r="C180" s="131" t="s">
        <v>557</v>
      </c>
      <c r="D180" s="132" t="s">
        <v>5</v>
      </c>
      <c r="E180" s="130"/>
      <c r="F180" s="130" t="s">
        <v>5</v>
      </c>
      <c r="G180" s="130" t="s">
        <v>434</v>
      </c>
      <c r="H180" s="130" t="n">
        <v>2</v>
      </c>
      <c r="I180" s="133"/>
      <c r="J180" s="134" t="n">
        <f aca="false">$J$120*H180</f>
        <v>2</v>
      </c>
    </row>
    <row r="181" s="96" customFormat="true" ht="18" hidden="false" customHeight="true" outlineLevel="0" collapsed="false">
      <c r="A181" s="170" t="n">
        <f aca="false">IF(B181="","",+A180+1)</f>
        <v>7</v>
      </c>
      <c r="B181" s="131" t="s">
        <v>432</v>
      </c>
      <c r="C181" s="131" t="s">
        <v>433</v>
      </c>
      <c r="D181" s="132" t="s">
        <v>6</v>
      </c>
      <c r="E181" s="130"/>
      <c r="F181" s="130" t="s">
        <v>6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8</v>
      </c>
      <c r="B182" s="131" t="s">
        <v>512</v>
      </c>
      <c r="C182" s="131" t="s">
        <v>513</v>
      </c>
      <c r="D182" s="132" t="s">
        <v>7</v>
      </c>
      <c r="E182" s="130"/>
      <c r="F182" s="130" t="s">
        <v>7</v>
      </c>
      <c r="G182" s="130" t="s">
        <v>434</v>
      </c>
      <c r="H182" s="130" t="n">
        <v>1</v>
      </c>
      <c r="I182" s="133"/>
      <c r="J182" s="134" t="n">
        <f aca="false">$J$120*H182</f>
        <v>1</v>
      </c>
    </row>
    <row r="183" s="96" customFormat="true" ht="18" hidden="false" customHeight="true" outlineLevel="0" collapsed="false">
      <c r="A183" s="170" t="n">
        <f aca="false">IF(B183="","",+A182+1)</f>
        <v>9</v>
      </c>
      <c r="B183" s="131" t="s">
        <v>554</v>
      </c>
      <c r="C183" s="131" t="s">
        <v>555</v>
      </c>
      <c r="D183" s="132" t="s">
        <v>11</v>
      </c>
      <c r="E183" s="130"/>
      <c r="F183" s="130" t="s">
        <v>11</v>
      </c>
      <c r="G183" s="130" t="s">
        <v>434</v>
      </c>
      <c r="H183" s="130" t="n">
        <v>2</v>
      </c>
      <c r="I183" s="133"/>
      <c r="J183" s="134" t="n">
        <f aca="false">$J$120*H183</f>
        <v>2</v>
      </c>
    </row>
    <row r="184" s="96" customFormat="true" ht="18" hidden="false" customHeight="true" outlineLevel="0" collapsed="false">
      <c r="A184" s="170" t="n">
        <f aca="false">IF(B184="","",+A183+1)</f>
        <v>10</v>
      </c>
      <c r="B184" s="131" t="s">
        <v>439</v>
      </c>
      <c r="C184" s="131" t="s">
        <v>440</v>
      </c>
      <c r="D184" s="132" t="s">
        <v>12</v>
      </c>
      <c r="E184" s="130"/>
      <c r="F184" s="130" t="s">
        <v>12</v>
      </c>
      <c r="G184" s="130" t="s">
        <v>434</v>
      </c>
      <c r="H184" s="130" t="n">
        <v>2</v>
      </c>
      <c r="I184" s="142"/>
      <c r="J184" s="134" t="n">
        <f aca="false">$J$120*H184</f>
        <v>2</v>
      </c>
      <c r="Q184" s="172"/>
      <c r="R184" s="172"/>
      <c r="S184" s="172"/>
      <c r="T184" s="97"/>
      <c r="U184" s="97"/>
      <c r="V184" s="97"/>
    </row>
    <row r="185" s="96" customFormat="true" ht="18" hidden="false" customHeight="true" outlineLevel="0" collapsed="false">
      <c r="A185" s="170" t="n">
        <f aca="false">IF(B185="","",+A184+1)</f>
        <v>11</v>
      </c>
      <c r="B185" s="131" t="s">
        <v>540</v>
      </c>
      <c r="C185" s="131" t="s">
        <v>541</v>
      </c>
      <c r="D185" s="132" t="s">
        <v>542</v>
      </c>
      <c r="E185" s="130"/>
      <c r="F185" s="132" t="s">
        <v>542</v>
      </c>
      <c r="G185" s="130" t="s">
        <v>434</v>
      </c>
      <c r="H185" s="130" t="n">
        <v>1</v>
      </c>
      <c r="I185" s="142"/>
      <c r="J185" s="134" t="n">
        <f aca="false">$J$120*H185</f>
        <v>1</v>
      </c>
      <c r="N185" s="107" t="s">
        <v>289</v>
      </c>
      <c r="O185" s="165" t="s">
        <v>320</v>
      </c>
      <c r="P185" s="165" t="s">
        <v>168</v>
      </c>
      <c r="Q185" s="165" t="s">
        <v>397</v>
      </c>
      <c r="R185" s="165" t="s">
        <v>321</v>
      </c>
      <c r="S185" s="165" t="s">
        <v>398</v>
      </c>
      <c r="T185" s="165" t="s">
        <v>399</v>
      </c>
      <c r="U185" s="165" t="s">
        <v>400</v>
      </c>
      <c r="V185" s="165" t="s">
        <v>401</v>
      </c>
      <c r="W185" s="165" t="s">
        <v>402</v>
      </c>
    </row>
    <row r="186" s="96" customFormat="true" ht="18" hidden="false" customHeight="true" outlineLevel="0" collapsed="false">
      <c r="A186" s="170" t="n">
        <f aca="false">IF(B186="","",+A185+1)</f>
        <v>12</v>
      </c>
      <c r="B186" s="131" t="s">
        <v>441</v>
      </c>
      <c r="C186" s="131" t="s">
        <v>442</v>
      </c>
      <c r="D186" s="132" t="s">
        <v>274</v>
      </c>
      <c r="E186" s="130"/>
      <c r="F186" s="130" t="s">
        <v>274</v>
      </c>
      <c r="G186" s="130" t="s">
        <v>405</v>
      </c>
      <c r="H186" s="130" t="n">
        <v>4</v>
      </c>
      <c r="I186" s="142"/>
      <c r="J186" s="134" t="n">
        <f aca="false">$J$120*H186</f>
        <v>4</v>
      </c>
      <c r="N186" s="107" t="s">
        <v>445</v>
      </c>
      <c r="O186" s="62" t="s">
        <v>446</v>
      </c>
      <c r="P186" s="62" t="s">
        <v>447</v>
      </c>
      <c r="Q186" s="55" t="s">
        <v>230</v>
      </c>
      <c r="R186" s="158"/>
      <c r="S186" s="158" t="s">
        <v>230</v>
      </c>
      <c r="T186" s="158" t="s">
        <v>409</v>
      </c>
      <c r="U186" s="168" t="n">
        <f aca="false">((($I$134*$G$134)+($I$136*$G$136)+($I$139*$G$139))/1000)*$J$120</f>
        <v>10.258</v>
      </c>
      <c r="V186" s="168" t="n">
        <v>300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13</v>
      </c>
      <c r="B187" s="131" t="s">
        <v>443</v>
      </c>
      <c r="C187" s="131" t="s">
        <v>444</v>
      </c>
      <c r="D187" s="132" t="s">
        <v>272</v>
      </c>
      <c r="E187" s="130"/>
      <c r="F187" s="130" t="s">
        <v>272</v>
      </c>
      <c r="G187" s="130" t="s">
        <v>405</v>
      </c>
      <c r="H187" s="130" t="n">
        <v>1</v>
      </c>
      <c r="I187" s="133"/>
      <c r="J187" s="134" t="n">
        <f aca="false">$J$120*H187</f>
        <v>1</v>
      </c>
      <c r="N187" s="107" t="s">
        <v>448</v>
      </c>
      <c r="O187" s="62" t="s">
        <v>449</v>
      </c>
      <c r="P187" s="62" t="s">
        <v>450</v>
      </c>
      <c r="Q187" s="55" t="s">
        <v>451</v>
      </c>
      <c r="R187" s="158"/>
      <c r="S187" s="158" t="s">
        <v>451</v>
      </c>
      <c r="T187" s="158" t="s">
        <v>409</v>
      </c>
      <c r="U187" s="168" t="n">
        <f aca="false">((($I$134*$G$134)+($I$136*$G$136)+($I$139*$G$139))/1000)*$J$120</f>
        <v>10.258</v>
      </c>
      <c r="V187" s="168" t="n">
        <v>100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14</v>
      </c>
      <c r="B188" s="131" t="s">
        <v>403</v>
      </c>
      <c r="C188" s="131" t="s">
        <v>404</v>
      </c>
      <c r="D188" s="132" t="s">
        <v>576</v>
      </c>
      <c r="E188" s="130"/>
      <c r="F188" s="130" t="s">
        <v>576</v>
      </c>
      <c r="G188" s="130" t="s">
        <v>405</v>
      </c>
      <c r="H188" s="130" t="n">
        <v>1</v>
      </c>
      <c r="I188" s="133"/>
      <c r="J188" s="134" t="n">
        <f aca="false">$J$120*H188</f>
        <v>1</v>
      </c>
      <c r="N188" s="107" t="s">
        <v>445</v>
      </c>
      <c r="O188" s="62" t="s">
        <v>452</v>
      </c>
      <c r="P188" s="62" t="s">
        <v>453</v>
      </c>
      <c r="Q188" s="55" t="s">
        <v>232</v>
      </c>
      <c r="R188" s="158"/>
      <c r="S188" s="158" t="s">
        <v>232</v>
      </c>
      <c r="T188" s="158" t="s">
        <v>409</v>
      </c>
      <c r="U188" s="168" t="n">
        <f aca="false">((($I$141*$G$141*2)+($I$143*$G$143*2)+($I$144*$G$144*2))/1000)*$J$120</f>
        <v>55.856</v>
      </c>
      <c r="V188" s="168" t="n">
        <v>350</v>
      </c>
      <c r="W188" s="169" t="n">
        <f aca="false">ROUNDUP((U188)/V188,0)</f>
        <v>1</v>
      </c>
    </row>
    <row r="189" s="96" customFormat="true" ht="18" hidden="false" customHeight="true" outlineLevel="0" collapsed="false">
      <c r="A189" s="170" t="n">
        <f aca="false">IF(B189="","",+A188+1)</f>
        <v>15</v>
      </c>
      <c r="B189" s="131" t="s">
        <v>403</v>
      </c>
      <c r="C189" s="131" t="s">
        <v>404</v>
      </c>
      <c r="D189" s="132" t="s">
        <v>276</v>
      </c>
      <c r="E189" s="130"/>
      <c r="F189" s="130" t="s">
        <v>276</v>
      </c>
      <c r="G189" s="130" t="s">
        <v>405</v>
      </c>
      <c r="H189" s="130" t="n">
        <v>2</v>
      </c>
      <c r="I189" s="133"/>
      <c r="J189" s="134" t="n">
        <f aca="false">$J$120*H189</f>
        <v>2</v>
      </c>
      <c r="N189" s="107" t="s">
        <v>448</v>
      </c>
      <c r="O189" s="62" t="s">
        <v>454</v>
      </c>
      <c r="P189" s="62" t="s">
        <v>455</v>
      </c>
      <c r="Q189" s="55" t="s">
        <v>456</v>
      </c>
      <c r="R189" s="158"/>
      <c r="S189" s="158" t="s">
        <v>456</v>
      </c>
      <c r="T189" s="158" t="s">
        <v>409</v>
      </c>
      <c r="U189" s="168" t="n">
        <f aca="false">((($I$141*$G$141*2)+($I$143*$G$143*2)+($I$144*$G$144*2))/1000)*$J$120</f>
        <v>55.856</v>
      </c>
      <c r="V189" s="168" t="n">
        <v>100</v>
      </c>
      <c r="W189" s="169" t="n">
        <f aca="false">ROUNDUP((U189)/V189,0)</f>
        <v>1</v>
      </c>
    </row>
    <row r="190" s="96" customFormat="true" ht="18" hidden="false" customHeight="true" outlineLevel="0" collapsed="false">
      <c r="A190" s="170" t="n">
        <f aca="false">IF(B190="","",+A189+1)</f>
        <v>16</v>
      </c>
      <c r="B190" s="131" t="s">
        <v>577</v>
      </c>
      <c r="C190" s="131" t="s">
        <v>578</v>
      </c>
      <c r="D190" s="132" t="s">
        <v>215</v>
      </c>
      <c r="E190" s="130"/>
      <c r="F190" s="130" t="s">
        <v>215</v>
      </c>
      <c r="G190" s="130" t="s">
        <v>434</v>
      </c>
      <c r="H190" s="130" t="n">
        <v>1</v>
      </c>
      <c r="I190" s="133"/>
      <c r="J190" s="134" t="n">
        <f aca="false">$J$120*H190</f>
        <v>1</v>
      </c>
    </row>
    <row r="191" s="96" customFormat="true" ht="18" hidden="false" customHeight="true" outlineLevel="0" collapsed="false">
      <c r="A191" s="170" t="n">
        <f aca="false">IF(B191="","",+A190+1)</f>
        <v>17</v>
      </c>
      <c r="B191" s="131" t="s">
        <v>579</v>
      </c>
      <c r="C191" s="131" t="s">
        <v>578</v>
      </c>
      <c r="D191" s="132" t="s">
        <v>220</v>
      </c>
      <c r="E191" s="130"/>
      <c r="F191" s="130" t="s">
        <v>220</v>
      </c>
      <c r="G191" s="130" t="s">
        <v>434</v>
      </c>
      <c r="H191" s="130" t="n">
        <v>1</v>
      </c>
      <c r="I191" s="133"/>
      <c r="J191" s="134" t="n">
        <f aca="false">$J$120*H191</f>
        <v>1</v>
      </c>
    </row>
    <row r="192" s="96" customFormat="true" ht="18" hidden="false" customHeight="true" outlineLevel="0" collapsed="false">
      <c r="A192" s="170" t="n">
        <f aca="false">IF(B192="","",+A191+1)</f>
        <v>18</v>
      </c>
      <c r="B192" s="131" t="s">
        <v>580</v>
      </c>
      <c r="C192" s="131" t="s">
        <v>581</v>
      </c>
      <c r="D192" s="132" t="s">
        <v>582</v>
      </c>
      <c r="E192" s="130"/>
      <c r="F192" s="130" t="s">
        <v>582</v>
      </c>
      <c r="G192" s="130" t="s">
        <v>409</v>
      </c>
      <c r="H192" s="173" t="n">
        <f aca="false">((($I$149*$G$149)+($I$150*$G$150))/1000)*$J$120</f>
        <v>4.816</v>
      </c>
      <c r="I192" s="174" t="n">
        <v>100</v>
      </c>
      <c r="J192" s="175" t="n">
        <f aca="false">ROUNDUP((H192)/100,0)</f>
        <v>1</v>
      </c>
    </row>
    <row r="193" s="96" customFormat="true" ht="18" hidden="false" customHeight="true" outlineLevel="0" collapsed="false">
      <c r="A193" s="170" t="n">
        <f aca="false">IF(B193="","",+A192+1)</f>
        <v>19</v>
      </c>
      <c r="B193" s="131" t="s">
        <v>583</v>
      </c>
      <c r="C193" s="131" t="s">
        <v>584</v>
      </c>
      <c r="D193" s="132" t="s">
        <v>585</v>
      </c>
      <c r="E193" s="130"/>
      <c r="F193" s="130" t="s">
        <v>585</v>
      </c>
      <c r="G193" s="130" t="s">
        <v>409</v>
      </c>
      <c r="H193" s="173" t="n">
        <f aca="false">((($I$145*$G$145)+($I$146*$G$146))/1000)*$J$120</f>
        <v>4.816</v>
      </c>
      <c r="I193" s="174" t="n">
        <v>100</v>
      </c>
      <c r="J193" s="175" t="n">
        <f aca="false">ROUNDUP((H193)/100,0)</f>
        <v>1</v>
      </c>
    </row>
    <row r="194" s="96" customFormat="true" ht="18" hidden="false" customHeight="true" outlineLevel="0" collapsed="false">
      <c r="A194" s="170" t="n">
        <f aca="false">IF(B194="","",+A193+1)</f>
        <v>20</v>
      </c>
      <c r="B194" s="132" t="str">
        <f aca="false">IF($D$129="Standard",$O$186,IF($D$129="Soumdproof",$O$187,))</f>
        <v>ยางเฟรมกันน้ำ (ธรรมดา)</v>
      </c>
      <c r="C194" s="132" t="str">
        <f aca="false">IF($D$129="Standard",$P$186,IF($D$129="Soumdproof",$P$187,))</f>
        <v>FRAME SEAL (Standard)</v>
      </c>
      <c r="D194" s="132" t="str">
        <f aca="false">IF($D$129="Standard",$Q$186,IF($D$129="Soumdproof",$Q$187,))</f>
        <v>02-026</v>
      </c>
      <c r="E194" s="130" t="n">
        <f aca="false">IF($D$129="Standard",R190,IF($D$129="Soumdproof",R191,))</f>
        <v>0</v>
      </c>
      <c r="F194" s="130" t="str">
        <f aca="false">IF($D$129="Standard",$S$186,IF($D$129="Soumdproof",$S$187,))</f>
        <v>02-026</v>
      </c>
      <c r="G194" s="130" t="str">
        <f aca="false">IF($D$129="Standard",$T$186,IF($D$129="Soumdproof",$T$187,))</f>
        <v>M</v>
      </c>
      <c r="H194" s="173" t="n">
        <f aca="false">IF($D$129="Standard",$U$186,IF($D$129="Soumdproof",$U$187,))</f>
        <v>10.258</v>
      </c>
      <c r="I194" s="174" t="n">
        <f aca="false">IF($D$129="Standard",$V$186,IF($D$129="Soumdproof",$V$187,))</f>
        <v>300</v>
      </c>
      <c r="J194" s="175" t="n">
        <f aca="false">ROUNDUP((H194)/100,0)</f>
        <v>1</v>
      </c>
    </row>
    <row r="195" s="96" customFormat="true" ht="18" hidden="false" customHeight="true" outlineLevel="0" collapsed="false">
      <c r="A195" s="170" t="n">
        <f aca="false">IF(B195="","",+A194+1)</f>
        <v>21</v>
      </c>
      <c r="B195" s="132" t="str">
        <f aca="false">IF($D$129="Standard",$O$188,IF($D$129="Soumdproof",$O$189,))</f>
        <v>ยางแซชกันน้ำ (ธรรมดา)</v>
      </c>
      <c r="C195" s="132" t="str">
        <f aca="false">IF($D$129="Standard",$P$188,IF($D$129="Soumdproof",$P$189,))</f>
        <v>SASH SEAL FOAM (Standard)</v>
      </c>
      <c r="D195" s="132" t="str">
        <f aca="false">IF($D$129="Standard",$Q$188,IF($D$129="Soumdproof",$Q$189,))</f>
        <v>02-031</v>
      </c>
      <c r="E195" s="130" t="n">
        <f aca="false">IF($D$129="Standard",R193,IF($D$129="Soumdproof",R194,))</f>
        <v>0</v>
      </c>
      <c r="F195" s="130" t="str">
        <f aca="false">IF($D$129="Standard",$S$188,IF($D$129="Soumdproof",$S$189,))</f>
        <v>02-031</v>
      </c>
      <c r="G195" s="130" t="str">
        <f aca="false">IF($D$129="Standard",$T$188,IF($D$129="Soumdproof",$T$189,))</f>
        <v>M</v>
      </c>
      <c r="H195" s="173" t="n">
        <f aca="false">IF($D$129="Standard",$U$188,IF($D$129="Soumdproof",$U$189,))</f>
        <v>55.856</v>
      </c>
      <c r="I195" s="174" t="n">
        <f aca="false">IF($D$129="Standard",$V$188,IF($D$129="Soumdproof",$V$189,))</f>
        <v>350</v>
      </c>
      <c r="J195" s="175" t="n">
        <f aca="false">ROUNDUP((H195)/100,0)</f>
        <v>1</v>
      </c>
    </row>
    <row r="196" customFormat="false" ht="18" hidden="false" customHeight="true" outlineLevel="0" collapsed="false">
      <c r="A196" s="170" t="n">
        <f aca="false">IF(B196="","",+A195+1)</f>
        <v>22</v>
      </c>
      <c r="B196" s="176" t="str">
        <f aca="false">IF($D$127=5,$O$177,IF($D$127=6,$O$178,IF($D$127=8,$O$179,IF($D$127=10,$O$177,IF($D$127=12,$O$177,IF($D$127=14,$O$179,IF($D$127=18,$O$177,IF($D$127=20,$O$178,IF($D$127=22,"")))))))))</f>
        <v>6,20 mm ยางอัดกระจก</v>
      </c>
      <c r="C196" s="176" t="str">
        <f aca="false">IF($D$127=5,$P$177,IF($D$127=6,$P$178,IF($D$127=8,$P$179,IF($D$127=10,$P$177,IF($D$127=12,$P$177,IF($D$127=14,$P$179,IF($D$127=18,$P$177,IF($D$127=20,$P$178,IF($D$127=22,"")))))))))</f>
        <v>6,20 mm ROLL IN WEDGE</v>
      </c>
      <c r="D196" s="176" t="str">
        <f aca="false">IF($D$127=5,$Q$177,IF($D$127=6,$Q$178,IF($D$127=8,$Q$179,IF($D$127=10,$Q$177,IF($D$127=12,$Q$177,IF($D$127=14,$Q$179,IF($D$127=18,$Q$177,IF($D$127=20,$Q$178,IF($D$127=22,"")))))))))</f>
        <v>02-034</v>
      </c>
      <c r="E196" s="176" t="n">
        <f aca="false">IF($D$127=5,R181,IF($D$127=6,R182,IF($D$127=8,R183,IF($D$127=10,R181,IF($D$127=12,R181,IF($D$127=14,R183,IF($D$127=18,R181,IF($D$127=20,R182,IF($D$127=22,"",)))))))))</f>
        <v>0</v>
      </c>
      <c r="F196" s="167" t="str">
        <f aca="false">IF($D$127=5,$S$177,IF($D$127=6,$S$178,IF($D$127=8,$S$179,IF($D$127=10,$S$177,IF($D$127=12,$S$177,IF($D$127=14,$S$179,IF($D$127=18,$S$177,IF($D$127=20,$S$178,IF($D$127=22,"")))))))))</f>
        <v>02-034</v>
      </c>
      <c r="G196" s="167" t="str">
        <f aca="false">IF($D$127=5,$T$177,IF($D$127=6,$T$178,IF($D$127=8,$T$179,IF($D$127=10,$T$177,IF($D$127=12,$T$177,IF($D$127=14,$T$179,IF($D$127=18,$T$177,IF($D$127=20,$T$178,IF($D$127=22,"")))))))))</f>
        <v>M</v>
      </c>
      <c r="H196" s="173" t="n">
        <f aca="false">IF($D$127=5,$U$177,IF($D$127=6,$U$178,IF($D$127=8,$U$179,IF($D$127=10,$U$177*2,IF($D$127=12,$U$177,IF($D$127=14,$U$179*2,IF($D$127=18,$U$177,IF($D$127=20,$U$178,IF($D$127=22,"")))))))))</f>
        <v>34.7254583333333</v>
      </c>
      <c r="I196" s="174" t="n">
        <f aca="false">IF($D$127=5,$V$177,IF($D$127=6,$V$178,IF($D$127=8,$V$179,IF($D$127=10,$V$177,IF($D$127=12,$V$177,IF($D$127=14,$V$179,IF($D$127=18,$V$177,IF($D$127=20,$V$178,IF($D$127=22,"")))))))))</f>
        <v>100</v>
      </c>
      <c r="J196" s="175" t="n">
        <f aca="false">ROUNDUP((H196)/100,0)</f>
        <v>1</v>
      </c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</row>
    <row r="197" s="96" customFormat="true" ht="18" hidden="false" customHeight="true" outlineLevel="0" collapsed="false">
      <c r="A197" s="170" t="n">
        <f aca="false">IF(B197="","",+A196+1)</f>
        <v>23</v>
      </c>
      <c r="B197" s="176" t="str">
        <f aca="false">IF($D$127=5,$O$175,IF($D$127=6,$O$175,IF($D$127=8,$O$177,IF($D$127=10,"",IF($D$127=12,$O$176,IF($D$127=14,"",IF($D$127=18,$O$175,IF($D$127=20,$O$176,IF($D$127=22,"",)))))))))</f>
        <v>5,6,18 mm ยางรองกระจก</v>
      </c>
      <c r="C197" s="176" t="str">
        <f aca="false">IF($D$127=5,$P$175,IF($D$127=6,$P$175,IF($D$127=8,$P$177,IF($D$127=10,"",IF($D$127=12,$P$176,IF($D$127=14,"",IF($D$127=18,$P$175,IF($D$127=20,$P$176,IF($D$127=22,"",)))))))))</f>
        <v>5,6,18 mm CAPTIVE WEDGE</v>
      </c>
      <c r="D197" s="176" t="str">
        <f aca="false">IF($D$127=5,$Q$175,IF($D$127=6,$Q$175,IF($D$127=8,$Q$177,IF($D$127=10,"",IF($D$127=12,$Q$176,IF($D$127=14,"",IF($D$127=18,$Q$175,IF($D$127=20,$Q$176,IF($D$127=22,"",)))))))))</f>
        <v>02-022</v>
      </c>
      <c r="E197" s="176" t="n">
        <f aca="false">IF($D$127=5,R179,IF($D$127=6,R179,IF($D$127=8,R181,IF($D$127=10,"",IF($D$127=12,R180,IF($D$127=14,"",IF($D$127=18,R179,IF($D$127=20,R180,IF($D$127=22,"",)))))))))</f>
        <v>0</v>
      </c>
      <c r="F197" s="167" t="str">
        <f aca="false">IF($D$127=5,$S$175,IF($D$127=6,$S$175,IF($D$127=8,$S$177,IF($D$127=10,"",IF($D$127=12,$S$176,IF($D$127=14,"",IF($D$127=18,$S$175,IF($D$127=20,$S$176,IF($D$127=22,"",)))))))))</f>
        <v>02-022</v>
      </c>
      <c r="G197" s="167" t="str">
        <f aca="false">IF($D$127=5,$T$175,IF($D$127=6,$T$175,IF($D$127=8,$T$177,IF($D$127=10,"",IF($D$127=12,$T$176,IF($D$127=14,"",IF($D$127=18,$T$175,IF($D$127=20,$T$176,IF($D$127=22,"",)))))))))</f>
        <v>M</v>
      </c>
      <c r="H197" s="173" t="n">
        <f aca="false">IF($D$127=5,$U$175,IF($D$127=6,$U$175,IF($D$127=8,$U$177,IF($D$127=10,"",IF($D$127=12,$U$176,IF($D$127=14,"",IF($D$127=18,$U$175,IF($D$127=20,$U$176,IF($D$127=22,"")))))))))</f>
        <v>34.7254583333333</v>
      </c>
      <c r="I197" s="174" t="n">
        <f aca="false">IF($D$127=5,$V$175,IF($D$127=6,$V$175,IF($D$127=8,$V$177,IF($D$127=10,"",IF($D$127=12,$V$176,IF($D$127=14,"",IF($D$127=18,$V$175,IF($D$127=20,$V$176,IF($D$127=22,"",)))))))))</f>
        <v>100</v>
      </c>
      <c r="J197" s="175" t="n">
        <f aca="false">ROUNDUP((H197)/100,0)</f>
        <v>1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/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42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IF(B203="","",+""+1)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$J$120*H204</f>
        <v>0</v>
      </c>
    </row>
    <row r="205" s="96" customFormat="true" ht="18" hidden="false" customHeight="true" outlineLevel="0" collapsed="false">
      <c r="A205" s="179" t="str">
        <f aca="false">IF(B205="","",+""+1)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$J$120*H205</f>
        <v>0</v>
      </c>
    </row>
    <row r="206" s="96" customFormat="true" ht="18" hidden="false" customHeight="true" outlineLevel="0" collapsed="false">
      <c r="A206" s="200"/>
      <c r="B206" s="98"/>
      <c r="D206" s="98"/>
      <c r="E206" s="97"/>
      <c r="F206" s="98"/>
      <c r="G206" s="98"/>
      <c r="H206" s="98"/>
      <c r="I206" s="196"/>
      <c r="J206" s="196"/>
    </row>
    <row r="207" customFormat="false" ht="18" hidden="false" customHeight="true" outlineLevel="0" collapsed="false">
      <c r="A207" s="97"/>
      <c r="J207" s="92" t="str">
        <f aca="false">LEFT($J$111,13)&amp;"-02"</f>
        <v>FG-240-6P3L3R-02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516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3940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517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3914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519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3940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97"/>
      <c r="H252" s="97"/>
      <c r="I252" s="196"/>
      <c r="J252" s="196"/>
    </row>
    <row r="253" s="96" customFormat="true" ht="15.75" hidden="false" customHeight="true" outlineLevel="0" collapsed="false">
      <c r="A253" s="191"/>
      <c r="B253" s="191"/>
      <c r="D253" s="192"/>
      <c r="E253" s="191"/>
      <c r="F253" s="191"/>
      <c r="G253" s="97"/>
      <c r="H253" s="97"/>
      <c r="I253" s="196"/>
      <c r="J253" s="196"/>
    </row>
    <row r="254" s="96" customFormat="true" ht="15.75" hidden="false" customHeight="true" outlineLevel="0" collapsed="false">
      <c r="A254" s="190"/>
      <c r="B254" s="190"/>
      <c r="C254" s="184" t="s">
        <v>567</v>
      </c>
      <c r="D254" s="194"/>
      <c r="E254" s="190"/>
      <c r="F254" s="189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459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460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5" t="n">
        <f aca="false">$I$136</f>
        <v>3940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7" t="n">
        <f aca="false">$J$136</f>
        <v>1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C262" s="98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184" t="s">
        <v>586</v>
      </c>
      <c r="D264" s="98"/>
      <c r="E264" s="97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522</v>
      </c>
      <c r="D265" s="181"/>
      <c r="E265" s="181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468</v>
      </c>
      <c r="D266" s="181"/>
      <c r="E266" s="181"/>
      <c r="F266" s="97"/>
      <c r="G266" s="97"/>
      <c r="H266" s="97"/>
      <c r="J266" s="97"/>
    </row>
    <row r="267" s="96" customFormat="true" ht="15.75" hidden="false" customHeight="true" outlineLevel="0" collapsed="false">
      <c r="A267" s="200"/>
      <c r="C267" s="185" t="n">
        <f aca="false">$I$137</f>
        <v>2500</v>
      </c>
      <c r="D267" s="98"/>
      <c r="E267" s="97"/>
      <c r="F267" s="97"/>
      <c r="J267" s="97"/>
    </row>
    <row r="268" s="96" customFormat="true" ht="15.75" hidden="false" customHeight="true" outlineLevel="0" collapsed="false">
      <c r="A268" s="200"/>
      <c r="C268" s="187" t="n">
        <f aca="false">$J$137+$J$138</f>
        <v>2</v>
      </c>
      <c r="D268" s="98"/>
      <c r="E268" s="97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H272" s="97"/>
      <c r="J272" s="97"/>
    </row>
    <row r="273" s="96" customFormat="true" ht="15.75" hidden="false" customHeight="true" outlineLevel="0" collapsed="false">
      <c r="A273" s="200"/>
      <c r="D273" s="181"/>
      <c r="E273" s="181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D274" s="98"/>
      <c r="E274" s="97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4" t="s">
        <v>523</v>
      </c>
      <c r="D275" s="201"/>
      <c r="E275" s="196"/>
      <c r="F275" s="97"/>
      <c r="G275" s="97"/>
      <c r="I275" s="196"/>
      <c r="J275" s="196"/>
    </row>
    <row r="276" s="96" customFormat="true" ht="15.75" hidden="false" customHeight="true" outlineLevel="0" collapsed="false">
      <c r="A276" s="200"/>
      <c r="C276" s="181" t="s">
        <v>470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1" t="s">
        <v>471</v>
      </c>
      <c r="D277" s="181"/>
      <c r="E277" s="181"/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5" t="n">
        <f aca="false">$I$139</f>
        <v>2404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C279" s="187" t="n">
        <f aca="false">$J$139+$J$140</f>
        <v>2</v>
      </c>
      <c r="F279" s="97"/>
      <c r="G279" s="97"/>
      <c r="I279" s="97"/>
      <c r="J279" s="196"/>
    </row>
    <row r="280" s="96" customFormat="true" ht="15.75" hidden="false" customHeight="true" outlineLevel="0" collapsed="false">
      <c r="A280" s="200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D281" s="98"/>
      <c r="E281" s="97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J282" s="97"/>
    </row>
    <row r="283" s="96" customFormat="true" ht="15.75" hidden="false" customHeight="true" outlineLevel="0" collapsed="false">
      <c r="A283" s="200"/>
      <c r="F283" s="97"/>
      <c r="G283" s="97"/>
      <c r="H283" s="97"/>
      <c r="I283" s="201"/>
      <c r="J283" s="196"/>
    </row>
    <row r="284" s="96" customFormat="true" ht="15.75" hidden="false" customHeight="true" outlineLevel="0" collapsed="false">
      <c r="A284" s="200"/>
      <c r="C284" s="184" t="s">
        <v>524</v>
      </c>
      <c r="F284" s="97"/>
      <c r="G284" s="97"/>
      <c r="H284" s="97"/>
      <c r="I284" s="97"/>
      <c r="J284" s="196"/>
    </row>
    <row r="285" s="96" customFormat="true" ht="15.75" hidden="false" customHeight="true" outlineLevel="0" collapsed="false">
      <c r="A285" s="200"/>
      <c r="C285" s="83" t="s">
        <v>685</v>
      </c>
      <c r="D285" s="98"/>
      <c r="E285" s="97"/>
      <c r="F285" s="97"/>
      <c r="G285" s="97"/>
      <c r="H285" s="97"/>
      <c r="I285" s="196"/>
      <c r="J285" s="196"/>
    </row>
    <row r="286" s="96" customFormat="true" ht="15.75" hidden="false" customHeight="true" outlineLevel="0" collapsed="false">
      <c r="A286" s="200"/>
      <c r="C286" s="181" t="s">
        <v>686</v>
      </c>
      <c r="D286" s="98"/>
      <c r="E286" s="97"/>
      <c r="F286" s="97"/>
      <c r="G286" s="97"/>
      <c r="H286" s="97"/>
      <c r="I286" s="196"/>
      <c r="J286" s="196"/>
    </row>
    <row r="287" s="96" customFormat="true" ht="15.75" hidden="false" customHeight="true" outlineLevel="0" collapsed="false">
      <c r="A287" s="200"/>
      <c r="C287" s="181" t="s">
        <v>475</v>
      </c>
      <c r="D287" s="181"/>
      <c r="E287" s="181"/>
      <c r="F287" s="97"/>
      <c r="G287" s="97"/>
      <c r="I287" s="196"/>
      <c r="J287" s="196"/>
    </row>
    <row r="288" s="202" customFormat="true" ht="15.75" hidden="false" customHeight="true" outlineLevel="0" collapsed="false">
      <c r="A288" s="200"/>
      <c r="B288" s="96"/>
      <c r="C288" s="181" t="s">
        <v>476</v>
      </c>
      <c r="D288" s="181"/>
      <c r="E288" s="181"/>
      <c r="F288" s="97"/>
      <c r="G288" s="97"/>
      <c r="H288" s="96"/>
      <c r="I288" s="97"/>
      <c r="J288" s="97"/>
    </row>
    <row r="289" s="96" customFormat="true" ht="15.75" hidden="false" customHeight="true" outlineLevel="0" collapsed="false">
      <c r="A289" s="200"/>
      <c r="C289" s="185" t="n">
        <f aca="false">$I$141</f>
        <v>641.333333333333</v>
      </c>
      <c r="F289" s="97"/>
      <c r="G289" s="97"/>
      <c r="I289" s="191"/>
      <c r="J289" s="199"/>
    </row>
    <row r="290" s="96" customFormat="true" ht="15.75" hidden="false" customHeight="true" outlineLevel="0" collapsed="false">
      <c r="A290" s="200"/>
      <c r="C290" s="187" t="n">
        <f aca="false">$J$141+$J$142</f>
        <v>12</v>
      </c>
      <c r="D290" s="98"/>
      <c r="E290" s="97"/>
      <c r="F290" s="97"/>
      <c r="G290" s="97"/>
      <c r="H290" s="98"/>
      <c r="I290" s="189"/>
      <c r="J290" s="190"/>
    </row>
    <row r="291" s="96" customFormat="true" ht="15.75" hidden="false" customHeight="true" outlineLevel="0" collapsed="false">
      <c r="A291" s="200"/>
      <c r="C291" s="185" t="n">
        <f aca="false">$I$143</f>
        <v>2408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C292" s="187" t="n">
        <f aca="false">$J$143+$J$144+$J$145+$J$146</f>
        <v>12</v>
      </c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D293" s="98"/>
      <c r="E293" s="97"/>
      <c r="F293" s="97"/>
      <c r="G293" s="97"/>
      <c r="H293" s="97"/>
      <c r="I293" s="196"/>
      <c r="J293" s="196"/>
    </row>
    <row r="294" s="96" customFormat="true" ht="15.75" hidden="false" customHeight="true" outlineLevel="0" collapsed="false">
      <c r="A294" s="200"/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202"/>
      <c r="D295" s="98"/>
      <c r="E295" s="97"/>
      <c r="F295" s="97"/>
      <c r="G295" s="97"/>
      <c r="H295" s="97"/>
      <c r="I295" s="97"/>
      <c r="J295" s="196"/>
    </row>
    <row r="296" s="96" customFormat="true" ht="15.75" hidden="false" customHeight="true" outlineLevel="0" collapsed="false">
      <c r="A296" s="200"/>
      <c r="C296" s="184" t="s">
        <v>525</v>
      </c>
      <c r="D296" s="98"/>
      <c r="E296" s="97"/>
      <c r="F296" s="97"/>
      <c r="G296" s="97"/>
      <c r="H296" s="97"/>
      <c r="I296" s="97"/>
      <c r="J296" s="196"/>
    </row>
    <row r="297" s="96" customFormat="true" ht="15.75" hidden="false" customHeight="true" outlineLevel="0" collapsed="false">
      <c r="A297" s="200"/>
      <c r="C297" s="83" t="s">
        <v>687</v>
      </c>
      <c r="D297" s="98"/>
      <c r="E297" s="97"/>
      <c r="F297" s="97"/>
      <c r="G297" s="191"/>
      <c r="H297" s="191"/>
      <c r="I297" s="97"/>
      <c r="J297" s="196"/>
    </row>
    <row r="298" s="96" customFormat="true" ht="15.75" hidden="false" customHeight="true" outlineLevel="0" collapsed="false">
      <c r="A298" s="200"/>
      <c r="C298" s="181" t="s">
        <v>688</v>
      </c>
      <c r="D298" s="181"/>
      <c r="E298" s="181"/>
      <c r="F298" s="97"/>
      <c r="G298" s="190"/>
      <c r="H298" s="189"/>
      <c r="I298" s="97"/>
      <c r="J298" s="196"/>
    </row>
    <row r="299" s="96" customFormat="true" ht="15.75" hidden="false" customHeight="true" outlineLevel="0" collapsed="false">
      <c r="A299" s="107"/>
      <c r="C299" s="181" t="s">
        <v>478</v>
      </c>
      <c r="D299" s="181"/>
      <c r="E299" s="181"/>
      <c r="F299" s="97"/>
      <c r="G299" s="97"/>
      <c r="H299" s="97"/>
      <c r="I299" s="97"/>
      <c r="J299" s="196"/>
    </row>
    <row r="300" s="96" customFormat="true" ht="15.75" hidden="false" customHeight="true" outlineLevel="0" collapsed="false">
      <c r="A300" s="191"/>
      <c r="B300" s="191"/>
      <c r="C300" s="181" t="s">
        <v>479</v>
      </c>
      <c r="D300" s="203"/>
      <c r="E300" s="204"/>
      <c r="F300" s="191"/>
      <c r="G300" s="97"/>
      <c r="H300" s="97"/>
      <c r="I300" s="97"/>
      <c r="J300" s="196"/>
    </row>
    <row r="301" s="96" customFormat="true" ht="15.75" hidden="false" customHeight="true" outlineLevel="0" collapsed="false">
      <c r="A301" s="190"/>
      <c r="B301" s="190"/>
      <c r="C301" s="185" t="n">
        <f aca="false">$I$147</f>
        <v>541.458333333333</v>
      </c>
      <c r="D301" s="205"/>
      <c r="E301" s="206"/>
      <c r="F301" s="189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7" t="n">
        <f aca="false">$J$147</f>
        <v>12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5" t="n">
        <f aca="false">$I$148</f>
        <v>2258</v>
      </c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C304" s="187" t="n">
        <f aca="false">$J$148</f>
        <v>12</v>
      </c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C305" s="185"/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C306" s="187"/>
      <c r="D306" s="98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4" t="s">
        <v>591</v>
      </c>
      <c r="D307" s="98"/>
      <c r="E307" s="97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181" t="s">
        <v>475</v>
      </c>
      <c r="D308" s="181"/>
      <c r="E308" s="181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249" t="s">
        <v>476</v>
      </c>
      <c r="D309" s="249"/>
      <c r="E309" s="249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5" t="n">
        <f aca="false">$I$149</f>
        <v>2408</v>
      </c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C311" s="187" t="n">
        <f aca="false">$J$149+$J$150</f>
        <v>2</v>
      </c>
      <c r="D311" s="181"/>
      <c r="E311" s="181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LEFT($J$111,13)&amp;"-03"</f>
        <v>FG-240-6P3L3R-03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A316" s="97"/>
      <c r="B316" s="49"/>
      <c r="C316" s="49"/>
      <c r="D316" s="207"/>
      <c r="E316" s="200"/>
      <c r="F316" s="200"/>
      <c r="G316" s="200"/>
      <c r="H316" s="200"/>
      <c r="I316" s="208"/>
      <c r="J316" s="77" t="str">
        <f aca="false">$J$2</f>
        <v>HOMELIFE</v>
      </c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240-6 Panel (3L3R)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" hidden="false" customHeight="true" outlineLevel="0" collapsed="false">
      <c r="A334" s="90"/>
      <c r="B334" s="99"/>
      <c r="C334" s="98"/>
      <c r="D334" s="98"/>
      <c r="E334" s="97"/>
      <c r="F334" s="110"/>
      <c r="G334" s="110"/>
      <c r="H334" s="110"/>
      <c r="I334" s="97"/>
      <c r="J334" s="97"/>
    </row>
    <row r="335" s="96" customFormat="true" ht="15" hidden="false" customHeight="true" outlineLevel="0" collapsed="false">
      <c r="A335" s="90"/>
      <c r="B335" s="99"/>
      <c r="C335" s="98"/>
      <c r="D335" s="98"/>
      <c r="E335" s="97"/>
      <c r="F335" s="110"/>
      <c r="G335" s="110"/>
      <c r="H335" s="110"/>
      <c r="I335" s="97"/>
      <c r="J335" s="97"/>
    </row>
    <row r="336" s="96" customFormat="true" ht="15" hidden="false" customHeight="true" outlineLevel="0" collapsed="false">
      <c r="A336" s="90"/>
      <c r="B336" s="99"/>
      <c r="C336" s="98"/>
      <c r="D336" s="98"/>
      <c r="E336" s="97"/>
      <c r="F336" s="110"/>
      <c r="G336" s="110"/>
      <c r="H336" s="110"/>
      <c r="I336" s="97"/>
      <c r="J336" s="97"/>
    </row>
    <row r="337" s="96" customFormat="true" ht="15" hidden="false" customHeight="true" outlineLevel="0" collapsed="false">
      <c r="A337" s="90"/>
      <c r="B337" s="99"/>
      <c r="C337" s="98"/>
      <c r="D337" s="98"/>
      <c r="E337" s="97"/>
      <c r="F337" s="110"/>
      <c r="G337" s="110"/>
      <c r="H337" s="110"/>
      <c r="I337" s="97"/>
      <c r="J337" s="97"/>
    </row>
    <row r="338" s="96" customFormat="true" ht="15.75" hidden="false" customHeight="true" outlineLevel="0" collapsed="false">
      <c r="A338" s="97"/>
      <c r="B338" s="188"/>
      <c r="C338" s="182"/>
      <c r="D338" s="98"/>
      <c r="E338" s="97"/>
      <c r="F338" s="210"/>
      <c r="G338" s="210"/>
      <c r="H338" s="110"/>
      <c r="I338" s="97"/>
      <c r="J338" s="97"/>
    </row>
    <row r="339" s="96" customFormat="true" ht="15.75" hidden="false" customHeight="true" outlineLevel="0" collapsed="false">
      <c r="A339" s="81"/>
      <c r="B339" s="97"/>
      <c r="C339" s="98"/>
      <c r="D339" s="98"/>
      <c r="E339" s="97"/>
      <c r="F339" s="78"/>
      <c r="H339" s="97"/>
      <c r="I339" s="97"/>
      <c r="J339" s="97"/>
    </row>
    <row r="340" s="96" customFormat="true" ht="15.75" hidden="false" customHeight="true" outlineLevel="0" collapsed="false">
      <c r="A340" s="191"/>
      <c r="C340" s="212"/>
      <c r="D340" s="98"/>
      <c r="E340" s="97"/>
      <c r="F340" s="97"/>
      <c r="G340" s="97"/>
      <c r="H340" s="97"/>
      <c r="I340" s="191"/>
      <c r="J340" s="199"/>
    </row>
    <row r="341" s="96" customFormat="true" ht="15.75" hidden="false" customHeight="true" outlineLevel="0" collapsed="false">
      <c r="A341" s="190"/>
      <c r="C341" s="191"/>
      <c r="D341" s="192"/>
      <c r="E341" s="191"/>
      <c r="F341" s="191"/>
      <c r="G341" s="191"/>
      <c r="H341" s="191"/>
      <c r="I341" s="189"/>
      <c r="J341" s="190"/>
    </row>
    <row r="342" s="96" customFormat="true" ht="15.75" hidden="false" customHeight="true" outlineLevel="0" collapsed="false">
      <c r="A342" s="97"/>
      <c r="C342" s="98"/>
      <c r="D342" s="194"/>
      <c r="E342" s="190"/>
      <c r="F342" s="189"/>
      <c r="G342" s="190"/>
      <c r="H342" s="189"/>
      <c r="I342" s="196"/>
      <c r="J342" s="196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7"/>
      <c r="I343" s="196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201"/>
      <c r="J344" s="201"/>
    </row>
    <row r="345" s="96" customFormat="true" ht="15.75" hidden="false" customHeight="true" outlineLevel="0" collapsed="false">
      <c r="A345" s="97"/>
      <c r="C345" s="191"/>
      <c r="D345" s="98"/>
      <c r="E345" s="97"/>
      <c r="F345" s="98"/>
      <c r="G345" s="97"/>
      <c r="H345" s="201"/>
      <c r="I345" s="98"/>
      <c r="J345" s="98"/>
    </row>
    <row r="346" s="96" customFormat="true" ht="15.75" hidden="false" customHeight="true" outlineLevel="0" collapsed="false">
      <c r="A346" s="97"/>
      <c r="C346" s="182"/>
      <c r="D346" s="98"/>
      <c r="E346" s="97"/>
      <c r="F346" s="98"/>
      <c r="G346" s="97"/>
      <c r="H346" s="98"/>
      <c r="I346" s="98"/>
      <c r="J346" s="98"/>
    </row>
    <row r="347" s="96" customFormat="true" ht="15.75" hidden="false" customHeight="true" outlineLevel="0" collapsed="false">
      <c r="A347" s="97"/>
      <c r="C347" s="98"/>
      <c r="D347" s="98"/>
      <c r="E347" s="97"/>
      <c r="F347" s="98"/>
      <c r="G347" s="97"/>
      <c r="H347" s="98"/>
      <c r="I347" s="97"/>
      <c r="J347" s="196"/>
    </row>
    <row r="348" s="96" customFormat="true" ht="15.75" hidden="false" customHeight="true" outlineLevel="0" collapsed="false">
      <c r="A348" s="97"/>
      <c r="C348" s="98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D350" s="98"/>
      <c r="E350" s="97"/>
      <c r="F350" s="98"/>
      <c r="G350" s="97"/>
      <c r="H350" s="97"/>
      <c r="I350" s="196"/>
      <c r="J350" s="196"/>
    </row>
    <row r="351" s="96" customFormat="true" ht="15.75" hidden="false" customHeight="true" outlineLevel="0" collapsed="false">
      <c r="A351" s="97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C352" s="191"/>
      <c r="D352" s="98"/>
      <c r="E352" s="97"/>
      <c r="F352" s="98"/>
      <c r="G352" s="97"/>
      <c r="H352" s="97"/>
      <c r="I352" s="196"/>
      <c r="J352" s="196"/>
    </row>
    <row r="353" s="96" customFormat="true" ht="15.75" hidden="false" customHeight="true" outlineLevel="0" collapsed="false">
      <c r="A353" s="97"/>
      <c r="C353" s="98"/>
      <c r="D353" s="98"/>
      <c r="E353" s="97"/>
      <c r="F353" s="98"/>
      <c r="G353" s="97"/>
      <c r="H353" s="97"/>
      <c r="I353" s="196"/>
      <c r="J353" s="196"/>
    </row>
    <row r="354" s="96" customFormat="true" ht="15.75" hidden="false" customHeight="true" outlineLevel="0" collapsed="false">
      <c r="A354" s="97"/>
      <c r="C354" s="98"/>
      <c r="D354" s="98"/>
      <c r="E354" s="97"/>
      <c r="F354" s="98"/>
      <c r="G354" s="97"/>
      <c r="H354" s="97"/>
      <c r="I354" s="97"/>
      <c r="J354" s="196"/>
    </row>
    <row r="355" s="96" customFormat="true" ht="15.75" hidden="false" customHeight="true" outlineLevel="0" collapsed="false">
      <c r="A355" s="97"/>
      <c r="C355" s="98"/>
      <c r="D355" s="98"/>
      <c r="E355" s="97"/>
      <c r="F355" s="98"/>
      <c r="G355" s="97"/>
      <c r="H355" s="97"/>
      <c r="I355" s="196"/>
      <c r="J355" s="196"/>
    </row>
    <row r="356" s="96" customFormat="true" ht="15.75" hidden="false" customHeight="true" outlineLevel="0" collapsed="false">
      <c r="A356" s="97"/>
      <c r="D356" s="98"/>
      <c r="E356" s="97"/>
      <c r="F356" s="97"/>
      <c r="G356" s="97"/>
      <c r="H356" s="97"/>
      <c r="I356" s="196"/>
      <c r="J356" s="196"/>
    </row>
    <row r="357" s="96" customFormat="true" ht="15" hidden="false" customHeight="true" outlineLevel="0" collapsed="false">
      <c r="A357" s="97"/>
      <c r="D357" s="98"/>
      <c r="E357" s="97"/>
      <c r="F357" s="97"/>
      <c r="G357" s="97"/>
      <c r="H357" s="195"/>
      <c r="I357" s="196"/>
      <c r="J357" s="196"/>
    </row>
    <row r="358" s="202" customFormat="true" ht="15.75" hidden="false" customHeight="true" outlineLevel="0" collapsed="false">
      <c r="A358" s="97"/>
      <c r="B358" s="96"/>
      <c r="C358" s="96"/>
      <c r="D358" s="98"/>
      <c r="E358" s="97"/>
      <c r="F358" s="97"/>
      <c r="G358" s="97"/>
      <c r="H358" s="97"/>
      <c r="I358" s="97"/>
      <c r="J358" s="97"/>
    </row>
    <row r="359" s="96" customFormat="true" ht="15.75" hidden="false" customHeight="true" outlineLevel="0" collapsed="false">
      <c r="A359" s="191"/>
      <c r="D359" s="98"/>
      <c r="E359" s="97"/>
      <c r="F359" s="97"/>
      <c r="G359" s="97"/>
      <c r="H359" s="97"/>
      <c r="I359" s="191"/>
      <c r="J359" s="199"/>
    </row>
    <row r="360" s="96" customFormat="true" ht="15.75" hidden="false" customHeight="true" outlineLevel="0" collapsed="false">
      <c r="A360" s="190"/>
      <c r="B360" s="191"/>
      <c r="C360" s="191"/>
      <c r="D360" s="192"/>
      <c r="E360" s="191"/>
      <c r="F360" s="191"/>
      <c r="G360" s="191"/>
      <c r="H360" s="191"/>
      <c r="I360" s="189"/>
      <c r="J360" s="190"/>
    </row>
    <row r="361" s="96" customFormat="true" ht="15.75" hidden="false" customHeight="true" outlineLevel="0" collapsed="false">
      <c r="A361" s="200"/>
      <c r="B361" s="190"/>
      <c r="C361" s="191"/>
      <c r="D361" s="194"/>
      <c r="E361" s="190"/>
      <c r="F361" s="189"/>
      <c r="G361" s="190"/>
      <c r="H361" s="189"/>
      <c r="I361" s="196"/>
      <c r="J361" s="196"/>
    </row>
    <row r="362" s="96" customFormat="true" ht="15.75" hidden="false" customHeight="true" outlineLevel="0" collapsed="false">
      <c r="A362" s="200"/>
      <c r="C362" s="182"/>
      <c r="D362" s="98"/>
      <c r="E362" s="97"/>
      <c r="F362" s="97"/>
      <c r="G362" s="97"/>
      <c r="H362" s="182"/>
      <c r="I362" s="98"/>
      <c r="J362" s="98"/>
    </row>
    <row r="363" s="96" customFormat="true" ht="15.75" hidden="false" customHeight="true" outlineLevel="0" collapsed="false">
      <c r="A363" s="200"/>
      <c r="C363" s="98"/>
      <c r="D363" s="98"/>
      <c r="E363" s="97"/>
      <c r="F363" s="97"/>
      <c r="G363" s="97"/>
      <c r="H363" s="98"/>
      <c r="I363" s="98"/>
      <c r="J363" s="98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8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C368" s="98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G372" s="97"/>
      <c r="H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I376" s="196"/>
      <c r="J376" s="196"/>
    </row>
    <row r="377" s="96" customFormat="true" ht="15.75" hidden="false" customHeight="true" outlineLevel="0" collapsed="false">
      <c r="A377" s="200"/>
      <c r="D377" s="98"/>
      <c r="E377" s="97"/>
      <c r="F377" s="97"/>
      <c r="G377" s="97"/>
      <c r="H377" s="97"/>
      <c r="I377" s="196"/>
      <c r="J377" s="196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7"/>
      <c r="I378" s="196"/>
      <c r="J378" s="196"/>
    </row>
    <row r="379" s="96" customFormat="true" ht="15.75" hidden="false" customHeight="true" outlineLevel="0" collapsed="false">
      <c r="A379" s="200"/>
      <c r="D379" s="98"/>
      <c r="E379" s="97"/>
      <c r="F379" s="97"/>
      <c r="G379" s="97"/>
      <c r="H379" s="97"/>
      <c r="I379" s="196"/>
      <c r="J379" s="196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182"/>
      <c r="I380" s="98"/>
      <c r="J380" s="98"/>
    </row>
    <row r="381" s="96" customFormat="true" ht="15.75" hidden="false" customHeight="true" outlineLevel="0" collapsed="false">
      <c r="A381" s="200"/>
      <c r="C381" s="188"/>
      <c r="D381" s="98"/>
      <c r="E381" s="97"/>
      <c r="F381" s="97"/>
      <c r="G381" s="97"/>
      <c r="H381" s="98"/>
      <c r="I381" s="98"/>
      <c r="J381" s="98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8"/>
      <c r="I382" s="196"/>
      <c r="J382" s="196"/>
    </row>
    <row r="383" s="96" customFormat="true" ht="15.75" hidden="false" customHeight="true" outlineLevel="0" collapsed="false">
      <c r="A383" s="200"/>
      <c r="C383" s="98"/>
      <c r="D383" s="98"/>
      <c r="E383" s="97"/>
      <c r="F383" s="97"/>
      <c r="G383" s="97"/>
      <c r="H383" s="182"/>
      <c r="I383" s="98"/>
      <c r="J383" s="98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8"/>
      <c r="I384" s="98"/>
      <c r="J384" s="98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8"/>
      <c r="I385" s="196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196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196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97"/>
      <c r="J388" s="196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97"/>
      <c r="I389" s="97"/>
      <c r="J389" s="196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7"/>
      <c r="J390" s="196"/>
    </row>
    <row r="391" s="96" customFormat="true" ht="15.75" hidden="false" customHeight="true" outlineLevel="0" collapsed="false">
      <c r="A391" s="200"/>
      <c r="D391" s="98"/>
      <c r="E391" s="97"/>
      <c r="F391" s="97"/>
      <c r="G391" s="97"/>
      <c r="H391" s="97"/>
      <c r="I391" s="97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213"/>
      <c r="J392" s="213"/>
    </row>
    <row r="393" s="96" customFormat="true" ht="15.75" hidden="false" customHeight="true" outlineLevel="0" collapsed="false">
      <c r="A393" s="200"/>
      <c r="D393" s="98"/>
      <c r="E393" s="97"/>
      <c r="F393" s="97"/>
      <c r="G393" s="97"/>
      <c r="H393" s="213"/>
      <c r="I393" s="97"/>
      <c r="J393" s="97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98"/>
      <c r="J394" s="98"/>
    </row>
    <row r="395" s="96" customFormat="true" ht="15.75" hidden="false" customHeight="true" outlineLevel="0" collapsed="false">
      <c r="A395" s="200"/>
      <c r="C395" s="188"/>
      <c r="D395" s="98"/>
      <c r="E395" s="97"/>
      <c r="F395" s="97"/>
      <c r="G395" s="97"/>
      <c r="H395" s="98"/>
      <c r="I395" s="196"/>
      <c r="J395" s="196"/>
    </row>
    <row r="396" s="96" customFormat="true" ht="15.75" hidden="false" customHeight="true" outlineLevel="0" collapsed="false">
      <c r="A396" s="200"/>
      <c r="D396" s="98"/>
      <c r="E396" s="97"/>
      <c r="F396" s="97"/>
      <c r="G396" s="97"/>
      <c r="H396" s="97"/>
      <c r="I396" s="97"/>
      <c r="J396" s="196"/>
    </row>
    <row r="397" s="96" customFormat="true" ht="15.75" hidden="false" customHeight="true" outlineLevel="0" collapsed="false">
      <c r="A397" s="200"/>
      <c r="C397" s="98"/>
      <c r="D397" s="98"/>
      <c r="E397" s="97"/>
      <c r="F397" s="97"/>
      <c r="G397" s="97"/>
      <c r="H397" s="97"/>
      <c r="I397" s="196"/>
      <c r="J397" s="196"/>
    </row>
    <row r="398" s="96" customFormat="true" ht="15.75" hidden="false" customHeight="true" outlineLevel="0" collapsed="false">
      <c r="A398" s="200"/>
      <c r="D398" s="98"/>
      <c r="E398" s="97"/>
      <c r="F398" s="97"/>
      <c r="G398" s="97"/>
      <c r="H398" s="97"/>
      <c r="I398" s="196"/>
      <c r="J398" s="196"/>
    </row>
    <row r="399" s="96" customFormat="true" ht="15.75" hidden="false" customHeight="true" outlineLevel="0" collapsed="false">
      <c r="A399" s="200"/>
      <c r="D399" s="98"/>
      <c r="E399" s="97"/>
      <c r="F399" s="97"/>
      <c r="G399" s="97"/>
      <c r="H399" s="97"/>
      <c r="I399" s="196"/>
      <c r="J399" s="196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96" customFormat="true" ht="15.75" hidden="false" customHeight="true" outlineLevel="0" collapsed="false">
      <c r="A404" s="107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07"/>
      <c r="D405" s="98"/>
      <c r="E405" s="97"/>
      <c r="F405" s="97"/>
      <c r="G405" s="97"/>
      <c r="H405" s="97"/>
      <c r="I405" s="97"/>
      <c r="J405" s="97"/>
    </row>
    <row r="406" s="96" customFormat="true" ht="15.75" hidden="false" customHeight="true" outlineLevel="0" collapsed="false">
      <c r="A406" s="107"/>
      <c r="D406" s="98"/>
      <c r="E406" s="97"/>
      <c r="F406" s="97"/>
      <c r="G406" s="97"/>
      <c r="H406" s="97"/>
      <c r="I406" s="97"/>
      <c r="J406" s="97"/>
    </row>
    <row r="407" s="96" customFormat="true" ht="15.75" hidden="false" customHeight="true" outlineLevel="0" collapsed="false">
      <c r="A407" s="107"/>
      <c r="D407" s="98"/>
      <c r="E407" s="97"/>
      <c r="F407" s="97"/>
      <c r="G407" s="97"/>
      <c r="H407" s="97"/>
      <c r="I407" s="97"/>
      <c r="J407" s="97"/>
    </row>
    <row r="408" s="202" customFormat="true" ht="15.75" hidden="false" customHeight="true" outlineLevel="0" collapsed="false">
      <c r="A408" s="107"/>
      <c r="B408" s="96"/>
      <c r="C408" s="96"/>
      <c r="D408" s="98"/>
      <c r="E408" s="97"/>
      <c r="F408" s="97"/>
      <c r="G408" s="97"/>
      <c r="H408" s="97"/>
      <c r="I408" s="97"/>
      <c r="J408" s="97"/>
    </row>
    <row r="409" s="96" customFormat="true" ht="15.75" hidden="false" customHeight="true" outlineLevel="0" collapsed="false">
      <c r="A409" s="191"/>
      <c r="D409" s="98"/>
      <c r="E409" s="97"/>
      <c r="F409" s="97"/>
      <c r="G409" s="97"/>
      <c r="H409" s="97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LEFT($J$111,13)&amp;"-04"</f>
        <v>FG-240-6P3L3R-04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77" t="str">
        <f aca="false">$J$2</f>
        <v>HOMELIFE</v>
      </c>
      <c r="K423" s="78"/>
      <c r="L423" s="78"/>
      <c r="M423" s="79"/>
      <c r="N423" s="79"/>
    </row>
    <row r="424" customFormat="false" ht="24.75" hidden="false" customHeight="true" outlineLevel="0" collapsed="false">
      <c r="A424" s="97"/>
      <c r="B424" s="96"/>
      <c r="C424" s="96"/>
      <c r="D424" s="98"/>
      <c r="E424" s="97"/>
      <c r="F424" s="97"/>
      <c r="G424" s="97"/>
      <c r="H424" s="97"/>
      <c r="I424" s="97"/>
      <c r="J424" s="80" t="str">
        <f aca="false">$J$3</f>
        <v>Fabricators Guide</v>
      </c>
      <c r="K424" s="78"/>
      <c r="L424" s="78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$J$4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240-6 Panel (3L3R)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191"/>
      <c r="C442" s="212"/>
      <c r="D442" s="98"/>
      <c r="E442" s="97"/>
      <c r="F442" s="97"/>
      <c r="H442" s="191"/>
      <c r="I442" s="191"/>
      <c r="J442" s="199"/>
    </row>
    <row r="443" s="96" customFormat="true" ht="15.75" hidden="false" customHeight="true" outlineLevel="0" collapsed="false">
      <c r="A443" s="190"/>
      <c r="C443" s="191"/>
      <c r="D443" s="192"/>
      <c r="E443" s="191"/>
      <c r="F443" s="191"/>
      <c r="H443" s="191"/>
      <c r="I443" s="191"/>
      <c r="J443" s="199"/>
    </row>
    <row r="444" s="96" customFormat="true" ht="34.5" hidden="false" customHeight="true" outlineLevel="0" collapsed="false">
      <c r="A444" s="97"/>
      <c r="C444" s="98"/>
      <c r="D444" s="194"/>
      <c r="E444" s="190"/>
      <c r="F444" s="189"/>
      <c r="H444" s="191"/>
      <c r="I444" s="196"/>
      <c r="J444" s="196"/>
    </row>
    <row r="445" customFormat="false" ht="15" hidden="false" customHeight="true" outlineLevel="0" collapsed="false">
      <c r="B445" s="211"/>
      <c r="C445" s="98"/>
      <c r="D445" s="98"/>
      <c r="E445" s="97"/>
      <c r="F445" s="98"/>
      <c r="G445" s="97"/>
      <c r="H445" s="97"/>
    </row>
    <row r="450" s="96" customFormat="true" ht="15.75" hidden="false" customHeight="true" outlineLevel="0" collapsed="false">
      <c r="A450" s="97"/>
      <c r="D450" s="73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191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97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196"/>
      <c r="J457" s="196"/>
    </row>
    <row r="458" s="96" customFormat="true" ht="15.7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195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202" customFormat="true" ht="15.75" hidden="false" customHeight="true" outlineLevel="0" collapsed="false">
      <c r="A477" s="97"/>
      <c r="B477" s="96"/>
      <c r="C477" s="96"/>
      <c r="D477" s="98"/>
      <c r="E477" s="97"/>
      <c r="F477" s="97"/>
      <c r="G477" s="97"/>
      <c r="H477" s="97"/>
      <c r="I477" s="97"/>
      <c r="J477" s="97"/>
    </row>
    <row r="478" s="96" customFormat="true" ht="15.75" hidden="false" customHeight="true" outlineLevel="0" collapsed="false">
      <c r="A478" s="191"/>
      <c r="D478" s="98"/>
      <c r="E478" s="97"/>
      <c r="F478" s="97"/>
      <c r="G478" s="97"/>
      <c r="H478" s="97"/>
      <c r="I478" s="191"/>
      <c r="J478" s="199"/>
    </row>
    <row r="479" s="96" customFormat="true" ht="15.75" hidden="false" customHeight="true" outlineLevel="0" collapsed="false">
      <c r="A479" s="190"/>
      <c r="B479" s="191"/>
      <c r="C479" s="191"/>
      <c r="D479" s="192"/>
      <c r="E479" s="191"/>
      <c r="F479" s="191"/>
      <c r="G479" s="191"/>
      <c r="H479" s="191"/>
      <c r="I479" s="189"/>
      <c r="J479" s="190"/>
    </row>
    <row r="480" s="96" customFormat="true" ht="15.75" hidden="false" customHeight="true" outlineLevel="0" collapsed="false">
      <c r="A480" s="200"/>
      <c r="B480" s="190"/>
      <c r="C480" s="191"/>
      <c r="D480" s="194"/>
      <c r="E480" s="190"/>
      <c r="F480" s="189"/>
      <c r="G480" s="190"/>
      <c r="H480" s="189"/>
      <c r="I480" s="196"/>
      <c r="J480" s="196"/>
    </row>
    <row r="481" s="96" customFormat="true" ht="15.75" hidden="false" customHeight="true" outlineLevel="0" collapsed="false">
      <c r="A481" s="200"/>
      <c r="C481" s="182"/>
      <c r="D481" s="98"/>
      <c r="E481" s="97"/>
      <c r="F481" s="97"/>
      <c r="G481" s="97"/>
      <c r="H481" s="182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C487" s="98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182"/>
      <c r="J499" s="97"/>
    </row>
    <row r="500" s="96" customFormat="true" ht="15.75" hidden="false" customHeight="true" outlineLevel="0" collapsed="false">
      <c r="A500" s="200"/>
      <c r="C500" s="188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I501" s="196"/>
      <c r="J501" s="196"/>
    </row>
    <row r="502" s="96" customFormat="true" ht="15.75" hidden="false" customHeight="true" outlineLevel="0" collapsed="false">
      <c r="A502" s="200"/>
      <c r="C502" s="98"/>
      <c r="D502" s="98"/>
      <c r="E502" s="97"/>
      <c r="F502" s="97"/>
      <c r="G502" s="97"/>
      <c r="H502" s="182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212"/>
      <c r="J513" s="195"/>
    </row>
    <row r="514" s="96" customFormat="true" ht="15.75" hidden="false" customHeight="true" outlineLevel="0" collapsed="false">
      <c r="A514" s="200"/>
      <c r="D514" s="98"/>
      <c r="E514" s="97"/>
      <c r="F514" s="97"/>
      <c r="G514" s="97"/>
      <c r="H514" s="238"/>
      <c r="J514" s="97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B516" s="191"/>
      <c r="C516" s="191"/>
      <c r="D516" s="192"/>
      <c r="E516" s="191"/>
      <c r="F516" s="191"/>
      <c r="G516" s="191"/>
      <c r="H516" s="191"/>
    </row>
    <row r="517" s="96" customFormat="true" ht="15.75" hidden="false" customHeight="true" outlineLevel="0" collapsed="false"/>
    <row r="518" s="96" customFormat="true" ht="24.75" hidden="false" customHeight="true" outlineLevel="0" collapsed="false">
      <c r="A518" s="88" t="s">
        <v>482</v>
      </c>
      <c r="B518" s="88"/>
      <c r="C518" s="88"/>
      <c r="D518" s="88"/>
      <c r="E518" s="88"/>
      <c r="F518" s="88"/>
      <c r="G518" s="88"/>
      <c r="H518" s="88"/>
      <c r="I518" s="88"/>
      <c r="J518" s="88"/>
    </row>
    <row r="519" s="96" customFormat="true" ht="34.5" hidden="false" customHeight="true" outlineLevel="0" collapsed="false">
      <c r="A519" s="114" t="s">
        <v>319</v>
      </c>
      <c r="B519" s="115" t="s">
        <v>168</v>
      </c>
      <c r="C519" s="115" t="s">
        <v>168</v>
      </c>
      <c r="D519" s="116" t="s">
        <v>483</v>
      </c>
      <c r="E519" s="115" t="s">
        <v>321</v>
      </c>
      <c r="F519" s="239" t="s">
        <v>484</v>
      </c>
      <c r="G519" s="240"/>
      <c r="H519" s="116" t="s">
        <v>484</v>
      </c>
      <c r="I519" s="116" t="s">
        <v>485</v>
      </c>
      <c r="J519" s="117" t="s">
        <v>323</v>
      </c>
      <c r="N519" s="118" t="s">
        <v>168</v>
      </c>
      <c r="O519" s="118" t="s">
        <v>168</v>
      </c>
    </row>
    <row r="520" s="96" customFormat="true" ht="15.75" hidden="false" customHeight="true" outlineLevel="0" collapsed="false">
      <c r="A520" s="120" t="n">
        <f aca="false">IF(C520="","",1)</f>
        <v>1</v>
      </c>
      <c r="B520" s="121" t="str">
        <f aca="false"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 aca="false">IF($D$127=5,O520,IF($D$127=6,O521,IF($D$127=8,O522,IF($D$127=10,O523,IF($D$127=12,O524,IF($D$127=14,O525,IF($D$127=18,O526,IF($D$127=20,O527,IF($D$127=22,O528,)))))))))</f>
        <v>GLASS thk.6 mm (H) (W)</v>
      </c>
      <c r="D520" s="123" t="n">
        <f aca="false">$J$123-215</f>
        <v>2285</v>
      </c>
      <c r="E520" s="120" t="s">
        <v>486</v>
      </c>
      <c r="F520" s="224" t="s">
        <v>487</v>
      </c>
      <c r="G520" s="224"/>
      <c r="H520" s="120" t="s">
        <v>680</v>
      </c>
      <c r="I520" s="225" t="n">
        <f aca="false">(($J$126-185-(113.25*5))/6)-13</f>
        <v>528.458333333333</v>
      </c>
      <c r="J520" s="226" t="n">
        <f aca="false">$J$120*6</f>
        <v>6</v>
      </c>
      <c r="M520" s="96" t="n">
        <f aca="false">ROW()</f>
        <v>520</v>
      </c>
      <c r="N520" s="62" t="s">
        <v>489</v>
      </c>
      <c r="O520" s="62" t="s">
        <v>490</v>
      </c>
    </row>
    <row r="521" s="96" customFormat="true" ht="15.75" hidden="false" customHeight="true" outlineLevel="0" collapsed="false">
      <c r="A521" s="269"/>
      <c r="B521" s="228"/>
      <c r="C521" s="228"/>
      <c r="D521" s="176"/>
      <c r="E521" s="167"/>
      <c r="F521" s="229"/>
      <c r="G521" s="230"/>
      <c r="H521" s="167"/>
      <c r="I521" s="231"/>
      <c r="J521" s="232"/>
      <c r="M521" s="96" t="n">
        <f aca="false">ROW()</f>
        <v>521</v>
      </c>
      <c r="N521" s="62" t="s">
        <v>491</v>
      </c>
      <c r="O521" s="62" t="s">
        <v>492</v>
      </c>
    </row>
    <row r="522" s="96" customFormat="true" ht="15.75" hidden="false" customHeight="true" outlineLevel="0" collapsed="false">
      <c r="A522" s="269"/>
      <c r="B522" s="228"/>
      <c r="C522" s="228"/>
      <c r="D522" s="176"/>
      <c r="E522" s="167"/>
      <c r="F522" s="229"/>
      <c r="G522" s="230"/>
      <c r="H522" s="167"/>
      <c r="I522" s="231"/>
      <c r="J522" s="232"/>
      <c r="M522" s="96" t="n">
        <f aca="false">ROW()</f>
        <v>522</v>
      </c>
      <c r="N522" s="62" t="s">
        <v>493</v>
      </c>
      <c r="O522" s="62" t="s">
        <v>494</v>
      </c>
    </row>
    <row r="523" s="96" customFormat="true" ht="15.75" hidden="false" customHeight="true" outlineLevel="0" collapsed="false">
      <c r="A523" s="130" t="str">
        <f aca="false">IF(B523="","",+""+1)</f>
        <v/>
      </c>
      <c r="B523" s="131"/>
      <c r="C523" s="131"/>
      <c r="D523" s="132"/>
      <c r="E523" s="130"/>
      <c r="F523" s="233"/>
      <c r="G523" s="270"/>
      <c r="H523" s="130"/>
      <c r="I523" s="142"/>
      <c r="J523" s="133"/>
      <c r="M523" s="96" t="n">
        <f aca="false">ROW()</f>
        <v>523</v>
      </c>
      <c r="N523" s="62" t="s">
        <v>495</v>
      </c>
      <c r="O523" s="62" t="s">
        <v>496</v>
      </c>
    </row>
    <row r="524" s="96" customFormat="true" ht="15.75" hidden="false" customHeight="true" outlineLevel="0" collapsed="false">
      <c r="A524" s="136" t="str">
        <f aca="false">IF(B524="","",+A523+1)</f>
        <v/>
      </c>
      <c r="B524" s="135"/>
      <c r="C524" s="135"/>
      <c r="D524" s="139"/>
      <c r="E524" s="136"/>
      <c r="F524" s="236"/>
      <c r="G524" s="237"/>
      <c r="H524" s="136"/>
      <c r="I524" s="180"/>
      <c r="J524" s="140"/>
      <c r="M524" s="96" t="n">
        <f aca="false">ROW()</f>
        <v>524</v>
      </c>
      <c r="N524" s="62" t="s">
        <v>497</v>
      </c>
      <c r="O524" s="62" t="s">
        <v>498</v>
      </c>
    </row>
    <row r="525" s="96" customFormat="true" ht="15.75" hidden="false" customHeight="true" outlineLevel="0" collapsed="false">
      <c r="A525" s="97"/>
      <c r="D525" s="98"/>
      <c r="E525" s="97"/>
      <c r="F525" s="97"/>
      <c r="G525" s="97"/>
      <c r="H525" s="97"/>
      <c r="I525" s="97"/>
      <c r="J525" s="196"/>
      <c r="M525" s="96" t="n">
        <f aca="false">ROW()</f>
        <v>525</v>
      </c>
      <c r="N525" s="62" t="s">
        <v>499</v>
      </c>
      <c r="O525" s="62" t="s">
        <v>500</v>
      </c>
    </row>
    <row r="526" customFormat="false" ht="14.25" hidden="false" customHeight="false" outlineLevel="0" collapsed="false">
      <c r="J526" s="92" t="str">
        <f aca="false">LEFT($J$111,13)&amp;"-05"</f>
        <v>FG-240-6P3L3R-05</v>
      </c>
      <c r="M526" s="96" t="n">
        <f aca="false">ROW()</f>
        <v>526</v>
      </c>
      <c r="N526" s="62" t="s">
        <v>501</v>
      </c>
      <c r="O526" s="62" t="s">
        <v>502</v>
      </c>
    </row>
    <row r="527" customFormat="false" ht="14.25" hidden="false" customHeight="false" outlineLevel="0" collapsed="false">
      <c r="M527" s="96" t="n">
        <f aca="false">ROW()</f>
        <v>527</v>
      </c>
      <c r="N527" s="62" t="s">
        <v>503</v>
      </c>
      <c r="O527" s="62" t="s">
        <v>504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505</v>
      </c>
      <c r="O528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8"/>
    <mergeCell ref="H163:H168"/>
    <mergeCell ref="I166:J167"/>
    <mergeCell ref="I168:J168"/>
    <mergeCell ref="D169:D170"/>
    <mergeCell ref="H169:H170"/>
    <mergeCell ref="D171:D172"/>
    <mergeCell ref="H171:H172"/>
    <mergeCell ref="A173:J173"/>
    <mergeCell ref="A213:J213"/>
    <mergeCell ref="C309:E309"/>
    <mergeCell ref="A320:J320"/>
    <mergeCell ref="F330:G330"/>
    <mergeCell ref="F331:G331"/>
    <mergeCell ref="F338:G338"/>
    <mergeCell ref="A427:J427"/>
    <mergeCell ref="A518:J518"/>
    <mergeCell ref="F520:G520"/>
  </mergeCells>
  <dataValidations count="4">
    <dataValidation allowBlank="true" errorStyle="stop" operator="between" showDropDown="false" showErrorMessage="true" showInputMessage="true" sqref="D127:G127" type="list">
      <formula1>$N$120:$N$128</formula1>
      <formula2>0</formula2>
    </dataValidation>
    <dataValidation allowBlank="true" errorStyle="stop" operator="between" showDropDown="false" showErrorMessage="true" showInputMessage="true" sqref="C206" type="list">
      <formula1>$O$175:$O$194</formula1>
      <formula2>0</formula2>
    </dataValidation>
    <dataValidation allowBlank="true" errorStyle="stop" operator="between" showDropDown="false" showErrorMessage="true" showInputMessage="true" sqref="D129:G129" type="list">
      <formula1>$O$120</formula1>
      <formula2>0</formula2>
    </dataValidation>
    <dataValidation allowBlank="true" errorStyle="stop" operator="between" showDropDown="false" showErrorMessage="true" showInputMessage="true" sqref="D123:G123" type="list">
      <formula1>$P$119:$P$129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528"/>
  <sheetViews>
    <sheetView showFormulas="false" showGridLines="false" showRowColHeaders="true" showZeros="true" rightToLeft="false" tabSelected="false" showOutlineSymbols="true" defaultGridColor="true" view="pageBreakPreview" topLeftCell="A119" colorId="64" zoomScale="75" zoomScaleNormal="75" zoomScalePageLayoutView="75" workbookViewId="0">
      <selection pane="topLeft" activeCell="I135" activeCellId="0" sqref="I135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34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7.88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3.44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681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>
      <c r="G45" s="91"/>
    </row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682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5" hidden="false" customHeight="true" outlineLevel="0" collapsed="false">
      <c r="A118" s="97"/>
      <c r="C118" s="81"/>
      <c r="D118" s="98"/>
      <c r="E118" s="83"/>
      <c r="J118" s="99"/>
      <c r="K118" s="83"/>
    </row>
    <row r="119" s="96" customFormat="true" ht="18" hidden="false" customHeight="true" outlineLevel="0" collapsed="false">
      <c r="A119" s="97"/>
      <c r="C119" s="100" t="s">
        <v>286</v>
      </c>
      <c r="D119" s="101"/>
      <c r="E119" s="101"/>
      <c r="F119" s="101"/>
      <c r="G119" s="101"/>
      <c r="I119" s="83"/>
      <c r="J119" s="97"/>
      <c r="N119" s="258" t="s">
        <v>288</v>
      </c>
      <c r="O119" s="97" t="s">
        <v>289</v>
      </c>
      <c r="P119" s="102" t="s">
        <v>290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4</v>
      </c>
      <c r="N120" s="259" t="n">
        <v>5</v>
      </c>
      <c r="O120" s="97" t="s">
        <v>509</v>
      </c>
      <c r="P120" s="106" t="s">
        <v>294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6</v>
      </c>
      <c r="O121" s="97" t="s">
        <v>296</v>
      </c>
      <c r="P121" s="106" t="s">
        <v>297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8</v>
      </c>
      <c r="P122" s="106" t="s">
        <v>299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294</v>
      </c>
      <c r="E123" s="101"/>
      <c r="F123" s="101"/>
      <c r="G123" s="101"/>
      <c r="H123" s="104" t="s">
        <v>302</v>
      </c>
      <c r="I123" s="104"/>
      <c r="J123" s="105" t="n">
        <v>2700</v>
      </c>
      <c r="N123" s="259" t="n">
        <v>10</v>
      </c>
      <c r="P123" s="106" t="s">
        <v>303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12</v>
      </c>
      <c r="P124" s="106" t="s">
        <v>305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 t="s">
        <v>607</v>
      </c>
      <c r="J125" s="97" t="s">
        <v>608</v>
      </c>
      <c r="K125" s="110"/>
      <c r="L125" s="110"/>
      <c r="N125" s="259" t="n">
        <v>14</v>
      </c>
      <c r="P125" s="106" t="s">
        <v>308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I126" s="105" t="n">
        <v>600</v>
      </c>
      <c r="J126" s="292" t="n">
        <f aca="false">$I$143-($I$126*2)</f>
        <v>1408</v>
      </c>
      <c r="K126" s="110"/>
      <c r="L126" s="110"/>
      <c r="N126" s="259" t="n">
        <v>18</v>
      </c>
      <c r="P126" s="106" t="s">
        <v>311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N127" s="259" t="n">
        <v>20</v>
      </c>
      <c r="P127" s="106" t="s">
        <v>313</v>
      </c>
    </row>
    <row r="128" s="96" customFormat="true" ht="18.75" hidden="false" customHeight="true" outlineLevel="0" collapsed="false">
      <c r="C128" s="108" t="s">
        <v>314</v>
      </c>
      <c r="H128" s="104" t="s">
        <v>310</v>
      </c>
      <c r="I128" s="104"/>
      <c r="J128" s="105" t="n">
        <v>4600</v>
      </c>
      <c r="N128" s="259" t="n">
        <v>22</v>
      </c>
      <c r="P128" s="106" t="s">
        <v>315</v>
      </c>
    </row>
    <row r="129" s="96" customFormat="true" ht="15" hidden="false" customHeight="true" outlineLevel="0" collapsed="false">
      <c r="A129" s="89" t="str">
        <f aca="false">A18</f>
        <v>240-6 Panel (3L3R)</v>
      </c>
      <c r="C129" s="100" t="s">
        <v>511</v>
      </c>
      <c r="D129" s="101" t="s">
        <v>509</v>
      </c>
      <c r="E129" s="101"/>
      <c r="F129" s="101"/>
      <c r="G129" s="101"/>
      <c r="H129" s="104"/>
      <c r="I129" s="104"/>
      <c r="J129" s="105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$J$128-60</f>
        <v>4540</v>
      </c>
      <c r="J133" s="124" t="n">
        <f aca="false">$J$120*G133</f>
        <v>4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36</v>
      </c>
      <c r="U133" s="127" t="s">
        <v>674</v>
      </c>
      <c r="V133" s="247" t="n">
        <f aca="false">($J$128-185-(113.25*5))/6</f>
        <v>641.458333333333</v>
      </c>
      <c r="W133" s="129" t="n">
        <f aca="false">$J$120*T133</f>
        <v>144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$J$128-86</f>
        <v>4514</v>
      </c>
      <c r="J134" s="134" t="n">
        <f aca="false">$J$120*G134</f>
        <v>4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36</v>
      </c>
      <c r="U134" s="130" t="s">
        <v>674</v>
      </c>
      <c r="V134" s="247" t="n">
        <f aca="false">($J$128-185-(113.25*5))/6</f>
        <v>641.458333333333</v>
      </c>
      <c r="W134" s="129" t="n">
        <f aca="false">$J$120*T134</f>
        <v>144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$J$128-60</f>
        <v>4540</v>
      </c>
      <c r="J135" s="134" t="n">
        <f aca="false">$J$120*G135</f>
        <v>4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36</v>
      </c>
      <c r="U135" s="136" t="s">
        <v>674</v>
      </c>
      <c r="V135" s="247" t="n">
        <f aca="false">($J$128-185-(113.25*5))/6</f>
        <v>641.458333333333</v>
      </c>
      <c r="W135" s="129" t="n">
        <f aca="false">$J$120*T135</f>
        <v>144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$J$128-60</f>
        <v>4540</v>
      </c>
      <c r="J136" s="134" t="n">
        <f aca="false">$J$120*G136</f>
        <v>4</v>
      </c>
      <c r="N136" s="107" t="s">
        <v>607</v>
      </c>
      <c r="O136" s="125" t="s">
        <v>357</v>
      </c>
      <c r="P136" s="125" t="s">
        <v>609</v>
      </c>
      <c r="Q136" s="126" t="s">
        <v>335</v>
      </c>
      <c r="R136" s="127" t="n">
        <v>0.231</v>
      </c>
      <c r="S136" s="126" t="s">
        <v>359</v>
      </c>
      <c r="T136" s="127" t="n">
        <v>24</v>
      </c>
      <c r="U136" s="158" t="s">
        <v>610</v>
      </c>
      <c r="V136" s="247" t="n">
        <f aca="false">$I$143-$I$126-$J$126-112.5</f>
        <v>487.5</v>
      </c>
      <c r="W136" s="129" t="n">
        <f aca="false">$J$120*T136</f>
        <v>96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2700</v>
      </c>
      <c r="J137" s="134" t="n">
        <f aca="false">$J$120*G137</f>
        <v>4</v>
      </c>
      <c r="N137" s="107"/>
      <c r="O137" s="131" t="s">
        <v>364</v>
      </c>
      <c r="P137" s="131" t="s">
        <v>611</v>
      </c>
      <c r="Q137" s="131" t="s">
        <v>344</v>
      </c>
      <c r="R137" s="130" t="n">
        <v>0.215</v>
      </c>
      <c r="S137" s="131" t="s">
        <v>366</v>
      </c>
      <c r="T137" s="130" t="n">
        <v>24</v>
      </c>
      <c r="U137" s="158" t="s">
        <v>610</v>
      </c>
      <c r="V137" s="247" t="n">
        <f aca="false">$I$143-$I$126-$J$126-112.5</f>
        <v>487.5</v>
      </c>
      <c r="W137" s="129" t="n">
        <f aca="false">$J$120*T137</f>
        <v>96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2700</v>
      </c>
      <c r="J138" s="134" t="n">
        <f aca="false">$J$120*G138</f>
        <v>4</v>
      </c>
      <c r="N138" s="107"/>
      <c r="O138" s="135" t="s">
        <v>370</v>
      </c>
      <c r="P138" s="135" t="s">
        <v>612</v>
      </c>
      <c r="Q138" s="139" t="s">
        <v>351</v>
      </c>
      <c r="R138" s="136" t="n">
        <v>0.169</v>
      </c>
      <c r="S138" s="135" t="s">
        <v>352</v>
      </c>
      <c r="T138" s="136" t="n">
        <v>24</v>
      </c>
      <c r="U138" s="158" t="s">
        <v>610</v>
      </c>
      <c r="V138" s="247" t="n">
        <f aca="false">$I$143-$I$126-$J$126-112.5</f>
        <v>487.5</v>
      </c>
      <c r="W138" s="129" t="n">
        <f aca="false">$J$120*T138</f>
        <v>96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2604</v>
      </c>
      <c r="J139" s="134" t="n">
        <f aca="false">$J$120*G139</f>
        <v>4</v>
      </c>
      <c r="N139" s="107" t="s">
        <v>608</v>
      </c>
      <c r="O139" s="125" t="s">
        <v>357</v>
      </c>
      <c r="P139" s="125" t="s">
        <v>613</v>
      </c>
      <c r="Q139" s="126" t="s">
        <v>335</v>
      </c>
      <c r="R139" s="127" t="n">
        <v>0.231</v>
      </c>
      <c r="S139" s="126" t="s">
        <v>359</v>
      </c>
      <c r="T139" s="127" t="n">
        <v>12</v>
      </c>
      <c r="U139" s="127" t="s">
        <v>614</v>
      </c>
      <c r="V139" s="247" t="n">
        <f aca="false">$I$143-($I$126*2)-75</f>
        <v>1333</v>
      </c>
      <c r="W139" s="129" t="n">
        <f aca="false">$J$120*T139</f>
        <v>48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2604</v>
      </c>
      <c r="J140" s="134" t="n">
        <f aca="false">$J$120*G140</f>
        <v>4</v>
      </c>
      <c r="O140" s="131" t="s">
        <v>364</v>
      </c>
      <c r="P140" s="131" t="s">
        <v>615</v>
      </c>
      <c r="Q140" s="131" t="s">
        <v>344</v>
      </c>
      <c r="R140" s="130" t="n">
        <v>0.215</v>
      </c>
      <c r="S140" s="131" t="s">
        <v>366</v>
      </c>
      <c r="T140" s="130" t="n">
        <v>12</v>
      </c>
      <c r="U140" s="127" t="s">
        <v>614</v>
      </c>
      <c r="V140" s="247" t="n">
        <f aca="false">$I$143-($I$126*2)-75</f>
        <v>1333</v>
      </c>
      <c r="W140" s="129" t="n">
        <f aca="false">$J$120*T140</f>
        <v>48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6</v>
      </c>
      <c r="H141" s="130" t="s">
        <v>675</v>
      </c>
      <c r="I141" s="141" t="n">
        <f aca="false">($J$128-60-(6+1)*4)/6</f>
        <v>752</v>
      </c>
      <c r="J141" s="134" t="n">
        <f aca="false">$J$120*G141</f>
        <v>24</v>
      </c>
      <c r="O141" s="135" t="s">
        <v>370</v>
      </c>
      <c r="P141" s="135" t="s">
        <v>616</v>
      </c>
      <c r="Q141" s="139" t="s">
        <v>351</v>
      </c>
      <c r="R141" s="136" t="n">
        <v>0.169</v>
      </c>
      <c r="S141" s="135" t="s">
        <v>352</v>
      </c>
      <c r="T141" s="136" t="n">
        <v>12</v>
      </c>
      <c r="U141" s="158" t="s">
        <v>614</v>
      </c>
      <c r="V141" s="293" t="n">
        <f aca="false">$I$143-($I$126*2)-75</f>
        <v>1333</v>
      </c>
      <c r="W141" s="294" t="n">
        <f aca="false">$J$120*T141</f>
        <v>48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6</v>
      </c>
      <c r="H142" s="130" t="s">
        <v>675</v>
      </c>
      <c r="I142" s="141" t="n">
        <f aca="false">($J$128-60-(6+1)*4)/6</f>
        <v>752</v>
      </c>
      <c r="J142" s="134" t="n">
        <f aca="false">$J$120*G142</f>
        <v>24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9</v>
      </c>
      <c r="H143" s="130" t="s">
        <v>389</v>
      </c>
      <c r="I143" s="133" t="n">
        <f aca="false">$J$123-92</f>
        <v>2608</v>
      </c>
      <c r="J143" s="134" t="n">
        <f aca="false">$J$120*G143</f>
        <v>36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1</v>
      </c>
      <c r="H144" s="130" t="s">
        <v>389</v>
      </c>
      <c r="I144" s="133" t="n">
        <f aca="false">$J$123-92</f>
        <v>2608</v>
      </c>
      <c r="J144" s="134" t="n">
        <f aca="false">$J$120*G144</f>
        <v>4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531</v>
      </c>
      <c r="C145" s="131" t="s">
        <v>391</v>
      </c>
      <c r="D145" s="132" t="s">
        <v>74</v>
      </c>
      <c r="E145" s="130" t="n">
        <v>1.106</v>
      </c>
      <c r="F145" s="132" t="s">
        <v>563</v>
      </c>
      <c r="G145" s="130" t="n">
        <v>1</v>
      </c>
      <c r="H145" s="130" t="s">
        <v>389</v>
      </c>
      <c r="I145" s="133" t="n">
        <f aca="false">$J$123-92</f>
        <v>2608</v>
      </c>
      <c r="J145" s="134" t="n">
        <f aca="false">$J$120*G145</f>
        <v>4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">
        <v>531</v>
      </c>
      <c r="C146" s="131" t="s">
        <v>532</v>
      </c>
      <c r="D146" s="132" t="s">
        <v>74</v>
      </c>
      <c r="E146" s="130" t="n">
        <v>1.106</v>
      </c>
      <c r="F146" s="132" t="s">
        <v>533</v>
      </c>
      <c r="G146" s="130" t="n">
        <v>1</v>
      </c>
      <c r="H146" s="130" t="s">
        <v>389</v>
      </c>
      <c r="I146" s="133" t="n">
        <f aca="false">$J$123-92</f>
        <v>2608</v>
      </c>
      <c r="J146" s="134" t="n">
        <f aca="false">$J$120*G146</f>
        <v>4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7" s="131" t="str">
        <f aca="false">IF($D$127=5,Q133,IF($D$127=6,Q133,IF($D$127=8,Q134,IF($D$127=10,Q134,IF($D$127=12,Q134,IF($D$127=14,Q135,IF($D$127=18,Q135,IF($D$127=20,Q135,IF($D$127=22,Q135,)))))))))</f>
        <v>B24008</v>
      </c>
      <c r="E147" s="131" t="n">
        <f aca="false">IF($D$127=5,R133,IF($D$127=6,R133,IF($D$127=8,R134,IF($D$127=10,R134,IF($D$127=12,R134,IF($D$127=14,R135,IF($D$127=18,R135,IF($D$127=20,R135,IF($D$127=22,R135,)))))))))</f>
        <v>0.231</v>
      </c>
      <c r="F147" s="131" t="str">
        <f aca="false">IF($D$127=5,S133,IF($D$127=6,S133,IF($D$127=8,S134,IF($D$127=10,S134,IF($D$127=12,S134,IF($D$127=14,S135,IF($D$127=18,S135,IF($D$127=20,S135,IF($D$127=22,S135,)))))))))</f>
        <v>B24008-001</v>
      </c>
      <c r="G147" s="130" t="n">
        <f aca="false">IF($D$127=5,T133,IF($D$127=6,T133,IF($D$127=8,T134,IF($D$127=10,T134,IF($D$127=12,T134,IF($D$127=14,T135,IF($D$127=18,T135,IF($D$127=20,T135,IF($D$127=22,T135,)))))))))</f>
        <v>36</v>
      </c>
      <c r="H147" s="130" t="str">
        <f aca="false">IF($D$127=5,U133,IF($D$127=6,U133,IF($D$127=8,U134,IF($D$127=10,U134,IF($D$127=12,U134,IF($D$127=14,U135,IF($D$127=18,U135,IF($D$127=20,U135,IF($D$127=22,U135,)))))))))</f>
        <v>(W-185-(113.25 × 5))/6</v>
      </c>
      <c r="I147" s="141" t="n">
        <f aca="false">IF($D$127=5,V133,IF($D$127=6,V133,IF($D$127=8,V134,IF($D$127=10,V134,IF($D$127=12,V134,IF($D$127=14,V135,IF($D$127=18,V135,IF($D$127=20,V135,IF($D$127=22,V135,)))))))))</f>
        <v>641.458333333333</v>
      </c>
      <c r="J147" s="134" t="n">
        <f aca="false">IF($D$127=5,W133,IF($D$127=6,W133,IF($D$127=8,W134,IF($D$127=10,W134,IF($D$127=12,W134,IF($D$127=14,W135,IF($D$127=18,W135,IF($D$127=20,W135,IF($D$127=22,W135,)))))))))</f>
        <v>144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31" t="str">
        <f aca="false">IF($D$127=5,P136,IF($D$127=6,P136,IF($D$127=8,P137,IF($D$127=10,P137,IF($D$127=12,P137,IF($D$127=14,P138,IF($D$127=18,P138,IF($D$127=20,P138,IF($D$127=22,P138,)))))))))</f>
        <v>5-6mm GLAZING BEAD VERTICAL P1</v>
      </c>
      <c r="D148" s="131" t="str">
        <f aca="false">IF($D$127=5,Q136,IF($D$127=6,Q136,IF($D$127=8,Q137,IF($D$127=10,Q137,IF($D$127=12,Q137,IF($D$127=14,Q138,IF($D$127=18,Q138,IF($D$127=20,Q138,IF($D$127=22,Q138,)))))))))</f>
        <v>B24008</v>
      </c>
      <c r="E148" s="131" t="n">
        <f aca="false">IF($D$127=5,R136,IF($D$127=6,R136,IF($D$127=8,R137,IF($D$127=10,R137,IF($D$127=12,R137,IF($D$127=14,R138,IF($D$127=18,R138,IF($D$127=20,R138,IF($D$127=22,R138,)))))))))</f>
        <v>0.231</v>
      </c>
      <c r="F148" s="131" t="str">
        <f aca="false">IF($D$127=5,S136,IF($D$127=6,S136,IF($D$127=8,S137,IF($D$127=10,S137,IF($D$127=12,S137,IF($D$127=14,S138,IF($D$127=18,S138,IF($D$127=20,S138,IF($D$127=22,S138,)))))))))</f>
        <v>B24008-002</v>
      </c>
      <c r="G148" s="130" t="n">
        <f aca="false">IF($D$127=5,T136,IF($D$127=6,T136,IF($D$127=8,T137,IF($D$127=10,T137,IF($D$127=12,T137,IF($D$127=14,T138,IF($D$127=18,T138,IF($D$127=20,T138,IF($D$127=22,T138,)))))))))</f>
        <v>24</v>
      </c>
      <c r="H148" s="130" t="str">
        <f aca="false">IF($D$127=5,U136,IF($D$127=6,U136,IF($D$127=8,U137,IF($D$127=10,U137,IF($D$127=12,U137,IF($D$127=14,U138,IF($D$127=18,U138,IF($D$127=20,U138,IF($D$127=22,U138,)))))))))</f>
        <v>SASH -P1-P2-112.5</v>
      </c>
      <c r="I148" s="141" t="n">
        <f aca="false">IF($D$127=5,V136,IF($D$127=6,V136,IF($D$127=8,V137,IF($D$127=10,V137,IF($D$127=12,V137,IF($D$127=14,V138,IF($D$127=18,V138,IF($D$127=20,V138,IF($D$127=22,V138,)))))))))</f>
        <v>487.5</v>
      </c>
      <c r="J148" s="134" t="n">
        <f aca="false">IF($D$127=5,W136,IF($D$127=6,W136,IF($D$127=8,W137,IF($D$127=10,W137,IF($D$127=12,W137,IF($D$127=14,W138,IF($D$127=18,W138,IF($D$127=20,W138,IF($D$127=22,W138,)))))))))</f>
        <v>96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tr">
        <f aca="false">IF($D$127=5,O139,IF($D$127=6,O139,IF($D$127=8,O140,IF($D$127=10,O140,IF($D$127=12,O140,IF($D$127=14,O141,IF($D$127=18,O141,IF($D$127=20,O141,IF($D$127=22,O141,)))))))))</f>
        <v>5-6mm คิ้วตบกระจกแนวตั้ง</v>
      </c>
      <c r="C149" s="131" t="str">
        <f aca="false">IF($D$127=5,P139,IF($D$127=6,P139,IF($D$127=8,P140,IF($D$127=10,P140,IF($D$127=12,P140,IF($D$127=14,P141,IF($D$127=18,P141,IF($D$127=20,P141,IF($D$127=22,P141,)))))))))</f>
        <v>5-6mm GLAZING BEAD VERTICAL P2</v>
      </c>
      <c r="D149" s="131" t="str">
        <f aca="false">IF($D$127=5,Q139,IF($D$127=6,Q139,IF($D$127=8,Q140,IF($D$127=10,Q140,IF($D$127=12,Q140,IF($D$127=14,Q141,IF($D$127=18,Q141,IF($D$127=20,Q141,IF($D$127=22,Q141,)))))))))</f>
        <v>B24008</v>
      </c>
      <c r="E149" s="131" t="n">
        <f aca="false">IF($D$127=5,R139,IF($D$127=6,R139,IF($D$127=8,R140,IF($D$127=10,R140,IF($D$127=12,R140,IF($D$127=14,R141,IF($D$127=18,R141,IF($D$127=20,R141,IF($D$127=22,R141,)))))))))</f>
        <v>0.231</v>
      </c>
      <c r="F149" s="131" t="str">
        <f aca="false">IF($D$127=5,S139,IF($D$127=6,S139,IF($D$127=8,S140,IF($D$127=10,S140,IF($D$127=12,S140,IF($D$127=14,S141,IF($D$127=18,S141,IF($D$127=20,S141,IF($D$127=22,S141,)))))))))</f>
        <v>B24008-002</v>
      </c>
      <c r="G149" s="130" t="n">
        <f aca="false">IF($D$127=5,T139,IF($D$127=6,T139,IF($D$127=8,T140,IF($D$127=10,T140,IF($D$127=12,T140,IF($D$127=14,T141,IF($D$127=18,T141,IF($D$127=20,T141,IF($D$127=22,T141,)))))))))</f>
        <v>12</v>
      </c>
      <c r="H149" s="130" t="str">
        <f aca="false">IF($D$127=5,U139,IF($D$127=6,U139,IF($D$127=8,U140,IF($D$127=10,U140,IF($D$127=12,U140,IF($D$127=14,U141,IF($D$127=18,U141,IF($D$127=20,U141,IF($D$127=22,U141,)))))))))</f>
        <v>SASH -(2P1)-75</v>
      </c>
      <c r="I149" s="141" t="n">
        <f aca="false">IF($D$127=5,V139,IF($D$127=6,V139,IF($D$127=8,V140,IF($D$127=10,V140,IF($D$127=12,V140,IF($D$127=14,V141,IF($D$127=18,V141,IF($D$127=20,V141,IF($D$127=22,V141,)))))))))</f>
        <v>1333</v>
      </c>
      <c r="J149" s="134" t="n">
        <f aca="false">IF($D$127=5,W139,IF($D$127=6,W139,IF($D$127=8,W140,IF($D$127=10,W140,IF($D$127=12,W140,IF($D$127=14,W141,IF($D$127=18,W141,IF($D$127=20,W141,IF($D$127=22,W141,)))))))))</f>
        <v>48</v>
      </c>
    </row>
    <row r="150" s="96" customFormat="true" ht="18" hidden="false" customHeight="true" outlineLevel="0" collapsed="false">
      <c r="A150" s="130" t="n">
        <f aca="false">IF(B150="","",+A149+1)</f>
        <v>18</v>
      </c>
      <c r="B150" s="131" t="s">
        <v>620</v>
      </c>
      <c r="C150" s="131" t="s">
        <v>621</v>
      </c>
      <c r="D150" s="132" t="s">
        <v>622</v>
      </c>
      <c r="E150" s="130" t="n">
        <v>0.932</v>
      </c>
      <c r="F150" s="132" t="s">
        <v>623</v>
      </c>
      <c r="G150" s="130" t="n">
        <v>12</v>
      </c>
      <c r="H150" s="130" t="s">
        <v>674</v>
      </c>
      <c r="I150" s="141" t="n">
        <f aca="false">($J$128-185-(113.25*5))/6</f>
        <v>641.458333333333</v>
      </c>
      <c r="J150" s="134" t="n">
        <f aca="false">$J$120*G150</f>
        <v>48</v>
      </c>
    </row>
    <row r="151" s="96" customFormat="true" ht="18" hidden="false" customHeight="true" outlineLevel="0" collapsed="false">
      <c r="A151" s="130" t="n">
        <f aca="false">IF(B151="","",+A150+1)</f>
        <v>19</v>
      </c>
      <c r="B151" s="131" t="s">
        <v>534</v>
      </c>
      <c r="C151" s="131" t="s">
        <v>535</v>
      </c>
      <c r="D151" s="132" t="s">
        <v>536</v>
      </c>
      <c r="E151" s="130"/>
      <c r="F151" s="132" t="s">
        <v>537</v>
      </c>
      <c r="G151" s="130" t="n">
        <v>1</v>
      </c>
      <c r="H151" s="130" t="s">
        <v>389</v>
      </c>
      <c r="I151" s="133" t="n">
        <f aca="false">$J$123-92</f>
        <v>2608</v>
      </c>
      <c r="J151" s="134" t="n">
        <f aca="false">$J$120*G151</f>
        <v>4</v>
      </c>
    </row>
    <row r="152" s="96" customFormat="true" ht="18" hidden="false" customHeight="true" outlineLevel="0" collapsed="false">
      <c r="A152" s="130" t="n">
        <f aca="false">IF(B152="","",+A151+1)</f>
        <v>20</v>
      </c>
      <c r="B152" s="131" t="s">
        <v>534</v>
      </c>
      <c r="C152" s="131" t="s">
        <v>535</v>
      </c>
      <c r="D152" s="132" t="s">
        <v>536</v>
      </c>
      <c r="E152" s="130"/>
      <c r="F152" s="132" t="s">
        <v>539</v>
      </c>
      <c r="G152" s="130" t="n">
        <v>1</v>
      </c>
      <c r="H152" s="130" t="s">
        <v>389</v>
      </c>
      <c r="I152" s="133" t="n">
        <f aca="false">$J$123-92</f>
        <v>2608</v>
      </c>
      <c r="J152" s="134" t="n">
        <f aca="false">$J$120*G152</f>
        <v>4</v>
      </c>
    </row>
    <row r="153" s="96" customFormat="true" ht="18" hidden="false" customHeight="true" outlineLevel="0" collapsed="false">
      <c r="A153" s="130" t="str">
        <f aca="false">IF(B153="","",+A140+1)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4540</v>
      </c>
      <c r="G155" s="155" t="n">
        <f aca="false">VLOOKUP(C155,$C$133:$J$153,8,0)</f>
        <v>4</v>
      </c>
      <c r="H155" s="264" t="n">
        <f aca="false">ROUNDUP((F155*G155)/6400,0)</f>
        <v>3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VLOOKUP(C156,$C$133:$I$153,7,0)</f>
        <v>4514</v>
      </c>
      <c r="G156" s="155" t="n">
        <f aca="false">VLOOKUP(C156,$C$133:$J$153,8,0)</f>
        <v>4</v>
      </c>
      <c r="H156" s="266" t="n">
        <f aca="false">ROUNDUP((F156*G156)/6400,0)</f>
        <v>3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VLOOKUP(C157,$C$133:$I$153,7,0)</f>
        <v>4540</v>
      </c>
      <c r="G157" s="155" t="n">
        <f aca="false">VLOOKUP(C157,$C$133:$J$153,8,0)</f>
        <v>4</v>
      </c>
      <c r="H157" s="266" t="n">
        <f aca="false">ROUNDUP((F157*G157)/6400,0)</f>
        <v>3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VLOOKUP(C158,$C$133:$I$153,7,0)</f>
        <v>4540</v>
      </c>
      <c r="G158" s="155" t="n">
        <f aca="false">VLOOKUP(C158,$C$133:$J$153,8,0)</f>
        <v>4</v>
      </c>
      <c r="H158" s="266" t="n">
        <f aca="false">ROUNDUP((F158*G158)/6400,0)</f>
        <v>3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VLOOKUP(C159,$C$133:$I$153,7,0)</f>
        <v>2700</v>
      </c>
      <c r="G159" s="155" t="n">
        <f aca="false">VLOOKUP(C159,$C$133:$J$153,8,0)</f>
        <v>4</v>
      </c>
      <c r="H159" s="160" t="n">
        <f aca="false">ROUNDUP(((F159*G159)+(F160*G160))/6400,0)</f>
        <v>4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VLOOKUP(C160,$C$133:$I$153,7,0)</f>
        <v>2700</v>
      </c>
      <c r="G160" s="155" t="n">
        <f aca="false">VLOOKUP(C160,$C$133:$J$153,8,0)</f>
        <v>4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VLOOKUP(C161,$C$133:$I$153,7,0)</f>
        <v>2604</v>
      </c>
      <c r="G161" s="155" t="n">
        <f aca="false">VLOOKUP(C161,$C$133:$J$153,8,0)</f>
        <v>4</v>
      </c>
      <c r="H161" s="160" t="n">
        <f aca="false">ROUNDUP(((F161*G161)+(F162*G162))/6400,0)</f>
        <v>4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155" t="n">
        <f aca="false">VLOOKUP(C162,$C$133:$H$153,3,0)</f>
        <v>0.235</v>
      </c>
      <c r="F162" s="263" t="n">
        <f aca="false">VLOOKUP(C162,$C$133:$I$153,7,0)</f>
        <v>2604</v>
      </c>
      <c r="G162" s="155" t="n">
        <f aca="false">VLOOKUP(C162,$C$133:$J$153,8,0)</f>
        <v>4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155" t="n">
        <f aca="false">VLOOKUP(C163,$C$133:$H$153,3,0)</f>
        <v>1.106</v>
      </c>
      <c r="F163" s="263" t="n">
        <f aca="false">VLOOKUP(C163,$C$133:$I$153,7,0)</f>
        <v>752</v>
      </c>
      <c r="G163" s="155" t="n">
        <f aca="false">VLOOKUP(C163,$C$133:$J$153,8,0)</f>
        <v>24</v>
      </c>
      <c r="H163" s="160" t="n">
        <f aca="false">ROUNDUP(((F163*G163)+(F164*G164)+(F165*G165)+(F166*G166)+(F167*G167)+(F168*G168))/6400,0)</f>
        <v>26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155" t="n">
        <f aca="false">VLOOKUP(C164,$C$133:$H$153,3,0)</f>
        <v>1.106</v>
      </c>
      <c r="F164" s="263" t="n">
        <f aca="false">VLOOKUP(C164,$C$133:$I$153,7,0)</f>
        <v>752</v>
      </c>
      <c r="G164" s="155" t="n">
        <f aca="false">VLOOKUP(C164,$C$133:$J$153,8,0)</f>
        <v>24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155" t="n">
        <f aca="false">VLOOKUP(C165,$C$133:$H$153,3,0)</f>
        <v>1.106</v>
      </c>
      <c r="F165" s="263" t="n">
        <f aca="false">VLOOKUP(C165,$C$133:$I$153,7,0)</f>
        <v>2608</v>
      </c>
      <c r="G165" s="155" t="n">
        <f aca="false">VLOOKUP(C165,$C$133:$J$153,8,0)</f>
        <v>36</v>
      </c>
      <c r="H165" s="160"/>
      <c r="I165" s="161"/>
      <c r="J165" s="161"/>
    </row>
    <row r="166" s="96" customFormat="true" ht="13.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155" t="n">
        <f aca="false">VLOOKUP(C166,$C$133:$H$153,3,0)</f>
        <v>1.106</v>
      </c>
      <c r="F166" s="263" t="n">
        <f aca="false">VLOOKUP(C166,$C$133:$I$153,7,0)</f>
        <v>2608</v>
      </c>
      <c r="G166" s="155" t="n">
        <f aca="false">VLOOKUP(C166,$C$133:$J$153,8,0)</f>
        <v>4</v>
      </c>
      <c r="H166" s="160"/>
      <c r="I166" s="161"/>
      <c r="J166" s="161"/>
    </row>
    <row r="167" s="96" customFormat="true" ht="13.5" hidden="false" customHeight="true" outlineLevel="1" collapsed="false">
      <c r="A167" s="158" t="n">
        <f aca="false">IF(B167="","",+A166+1)</f>
        <v>13</v>
      </c>
      <c r="B167" s="153" t="str">
        <f aca="false">B145</f>
        <v>เสากุญแจมือจับ</v>
      </c>
      <c r="C167" s="153" t="str">
        <f aca="false">C145</f>
        <v>SASH (Ver) LOCK </v>
      </c>
      <c r="D167" s="159"/>
      <c r="E167" s="155" t="n">
        <f aca="false">VLOOKUP(C167,$C$133:$H$153,3,0)</f>
        <v>1.106</v>
      </c>
      <c r="F167" s="263" t="n">
        <f aca="false">VLOOKUP(C167,$C$133:$I$153,7,0)</f>
        <v>2608</v>
      </c>
      <c r="G167" s="155" t="n">
        <f aca="false">VLOOKUP(C167,$C$133:$J$153,8,0)</f>
        <v>4</v>
      </c>
      <c r="H167" s="160"/>
      <c r="I167" s="161"/>
      <c r="J167" s="161"/>
    </row>
    <row r="168" s="96" customFormat="true" ht="13.5" hidden="false" customHeight="true" outlineLevel="1" collapsed="false">
      <c r="A168" s="158" t="n">
        <f aca="false">IF(B168="","",+A167+1)</f>
        <v>14</v>
      </c>
      <c r="B168" s="153" t="str">
        <f aca="false">B146</f>
        <v>เสากุญแจมือจับ</v>
      </c>
      <c r="C168" s="153" t="str">
        <f aca="false">C146</f>
        <v>SASH (Ver) LOCK HANDLE</v>
      </c>
      <c r="D168" s="159"/>
      <c r="E168" s="155" t="n">
        <f aca="false">VLOOKUP(C168,$C$133:$H$153,3,0)</f>
        <v>1.106</v>
      </c>
      <c r="F168" s="263" t="n">
        <f aca="false">VLOOKUP(C168,$C$133:$I$153,7,0)</f>
        <v>2608</v>
      </c>
      <c r="G168" s="155" t="n">
        <f aca="false">VLOOKUP(C168,$C$133:$J$153,8,0)</f>
        <v>4</v>
      </c>
      <c r="H168" s="160"/>
      <c r="I168" s="265"/>
      <c r="J168" s="265"/>
    </row>
    <row r="169" s="96" customFormat="true" ht="13.5" hidden="false" customHeight="true" outlineLevel="1" collapsed="false">
      <c r="A169" s="158" t="n">
        <f aca="false">IF(B169="","",+A168+1)</f>
        <v>15</v>
      </c>
      <c r="B169" s="153" t="str">
        <f aca="false">B147</f>
        <v>5-6mm คิ้วตบกระจกแนวนอน</v>
      </c>
      <c r="C169" s="153" t="str">
        <f aca="false">C147</f>
        <v>5-6mm GLAZING BEAD HORIZONTAL</v>
      </c>
      <c r="D169" s="159" t="str">
        <f aca="false">VLOOKUP(C169,$C$133:$H$153,2,0)</f>
        <v>B24008</v>
      </c>
      <c r="E169" s="155" t="n">
        <f aca="false">VLOOKUP(C169,$C$133:$H$153,3,0)</f>
        <v>0.231</v>
      </c>
      <c r="F169" s="267" t="n">
        <f aca="false">VLOOKUP(C169,$C$133:$I$153,7,0)</f>
        <v>641.458333333333</v>
      </c>
      <c r="G169" s="155" t="n">
        <f aca="false">VLOOKUP(C169,$C$133:$J$153,8,0)</f>
        <v>144</v>
      </c>
      <c r="H169" s="160" t="n">
        <f aca="false">ROUNDUP(((F169*G169)+(F170*G170)+(F171*G171))/6400,0)</f>
        <v>32</v>
      </c>
      <c r="I169" s="196"/>
      <c r="J169" s="196"/>
    </row>
    <row r="170" s="96" customFormat="true" ht="13.5" hidden="false" customHeight="true" outlineLevel="1" collapsed="false">
      <c r="A170" s="158" t="n">
        <f aca="false">IF(B170="","",+A169+1)</f>
        <v>16</v>
      </c>
      <c r="B170" s="153" t="str">
        <f aca="false">B148</f>
        <v>5-6mm คิ้วตบกระจกแนวตั้ง</v>
      </c>
      <c r="C170" s="153" t="str">
        <f aca="false">C148</f>
        <v>5-6mm GLAZING BEAD VERTICAL P1</v>
      </c>
      <c r="D170" s="159"/>
      <c r="E170" s="155" t="n">
        <f aca="false">VLOOKUP(C170,$C$133:$H$153,3,0)</f>
        <v>0.231</v>
      </c>
      <c r="F170" s="267" t="n">
        <f aca="false">VLOOKUP(C170,$C$133:$I$153,7,0)</f>
        <v>487.5</v>
      </c>
      <c r="G170" s="155" t="n">
        <f aca="false">VLOOKUP(C170,$C$133:$J$153,8,0)</f>
        <v>96</v>
      </c>
      <c r="H170" s="160"/>
      <c r="I170" s="196"/>
      <c r="J170" s="196"/>
    </row>
    <row r="171" s="96" customFormat="true" ht="13.5" hidden="false" customHeight="true" outlineLevel="1" collapsed="false">
      <c r="A171" s="158" t="n">
        <f aca="false">IF(B171="","",+A170+1)</f>
        <v>17</v>
      </c>
      <c r="B171" s="153" t="str">
        <f aca="false">B149</f>
        <v>5-6mm คิ้วตบกระจกแนวตั้ง</v>
      </c>
      <c r="C171" s="153" t="str">
        <f aca="false">C149</f>
        <v>5-6mm GLAZING BEAD VERTICAL P2</v>
      </c>
      <c r="D171" s="159"/>
      <c r="E171" s="155" t="n">
        <f aca="false">VLOOKUP(C171,$C$133:$H$153,3,0)</f>
        <v>0.231</v>
      </c>
      <c r="F171" s="263" t="n">
        <f aca="false">VLOOKUP(C171,$C$133:$I$153,7,0)</f>
        <v>1333</v>
      </c>
      <c r="G171" s="155" t="n">
        <f aca="false">VLOOKUP(C171,$C$133:$J$153,8,0)</f>
        <v>48</v>
      </c>
      <c r="H171" s="160"/>
      <c r="I171" s="196"/>
      <c r="J171" s="196"/>
    </row>
    <row r="172" s="96" customFormat="true" ht="13.5" hidden="false" customHeight="true" outlineLevel="1" collapsed="false">
      <c r="A172" s="158" t="n">
        <f aca="false">IF(B172="","",+A171+1)</f>
        <v>18</v>
      </c>
      <c r="B172" s="153" t="str">
        <f aca="false">B150</f>
        <v>ตัวแบ่งบาน</v>
      </c>
      <c r="C172" s="153" t="str">
        <f aca="false">C150</f>
        <v>Door Middle</v>
      </c>
      <c r="D172" s="154" t="str">
        <f aca="false">VLOOKUP(C172,$C$133:$H$153,2,0)</f>
        <v>B25006</v>
      </c>
      <c r="E172" s="155" t="n">
        <f aca="false">VLOOKUP(C172,$C$133:$H$153,3,0)</f>
        <v>0.932</v>
      </c>
      <c r="F172" s="267" t="n">
        <f aca="false">VLOOKUP(C172,$C$133:$I$153,7,0)</f>
        <v>641.458333333333</v>
      </c>
      <c r="G172" s="155" t="n">
        <f aca="false">VLOOKUP(C172,$C$133:$J$153,8,0)</f>
        <v>48</v>
      </c>
      <c r="H172" s="266" t="n">
        <f aca="false">ROUNDUP((F172*G172)/6400,0)</f>
        <v>5</v>
      </c>
      <c r="I172" s="196"/>
      <c r="J172" s="196"/>
    </row>
    <row r="173" s="96" customFormat="true" ht="13.5" hidden="false" customHeight="true" outlineLevel="1" collapsed="false">
      <c r="A173" s="158" t="n">
        <f aca="false">IF(B173="","",+A172+1)</f>
        <v>19</v>
      </c>
      <c r="B173" s="153" t="str">
        <f aca="false">B151</f>
        <v>บังใบ</v>
      </c>
      <c r="C173" s="153" t="str">
        <f aca="false">C151</f>
        <v>SASH STOP</v>
      </c>
      <c r="D173" s="163" t="str">
        <f aca="false">VLOOKUP(C173,$C$133:$H$153,2,0)</f>
        <v>B24009</v>
      </c>
      <c r="E173" s="155" t="n">
        <f aca="false">VLOOKUP(C173,$C$133:$H$153,3,0)</f>
        <v>0</v>
      </c>
      <c r="F173" s="263" t="n">
        <f aca="false">VLOOKUP(C173,$C$133:$I$153,7,0)</f>
        <v>2608</v>
      </c>
      <c r="G173" s="155" t="n">
        <f aca="false">VLOOKUP(C173,$C$133:$J$153,8,0)</f>
        <v>4</v>
      </c>
      <c r="H173" s="160" t="n">
        <f aca="false">ROUNDUP(((F173*G173)+(F174*G174))/6400,0)</f>
        <v>4</v>
      </c>
      <c r="I173" s="196"/>
      <c r="J173" s="196"/>
    </row>
    <row r="174" s="96" customFormat="true" ht="14.25" hidden="false" customHeight="false" outlineLevel="1" collapsed="false">
      <c r="A174" s="158" t="n">
        <f aca="false">IF(B174="","",+A173+1)</f>
        <v>20</v>
      </c>
      <c r="B174" s="153" t="str">
        <f aca="false">B152</f>
        <v>บังใบ</v>
      </c>
      <c r="C174" s="153" t="str">
        <f aca="false">C152</f>
        <v>SASH STOP</v>
      </c>
      <c r="D174" s="163"/>
      <c r="E174" s="155" t="n">
        <f aca="false">VLOOKUP(C174,$C$133:$H$153,3,0)</f>
        <v>0</v>
      </c>
      <c r="F174" s="263" t="n">
        <f aca="false">VLOOKUP(C174,$C$133:$I$153,7,0)</f>
        <v>2608</v>
      </c>
      <c r="G174" s="155" t="n">
        <f aca="false">VLOOKUP(C174,$C$133:$J$153,8,0)</f>
        <v>4</v>
      </c>
      <c r="H174" s="160"/>
      <c r="I174" s="196"/>
      <c r="J174" s="196"/>
    </row>
    <row r="175" s="96" customFormat="true" ht="24.75" hidden="false" customHeight="true" outlineLevel="0" collapsed="false">
      <c r="A175" s="113" t="s">
        <v>396</v>
      </c>
      <c r="B175" s="113"/>
      <c r="C175" s="113"/>
      <c r="D175" s="113"/>
      <c r="E175" s="113"/>
      <c r="F175" s="113"/>
      <c r="G175" s="113"/>
      <c r="H175" s="113"/>
      <c r="I175" s="113"/>
      <c r="J175" s="113"/>
    </row>
    <row r="176" s="96" customFormat="true" ht="34.5" hidden="false" customHeight="true" outlineLevel="0" collapsed="false">
      <c r="A176" s="114" t="s">
        <v>319</v>
      </c>
      <c r="B176" s="115" t="s">
        <v>320</v>
      </c>
      <c r="C176" s="115" t="s">
        <v>168</v>
      </c>
      <c r="D176" s="115" t="s">
        <v>397</v>
      </c>
      <c r="E176" s="115" t="s">
        <v>321</v>
      </c>
      <c r="F176" s="116" t="s">
        <v>398</v>
      </c>
      <c r="G176" s="115" t="s">
        <v>399</v>
      </c>
      <c r="H176" s="116" t="s">
        <v>400</v>
      </c>
      <c r="I176" s="116" t="s">
        <v>401</v>
      </c>
      <c r="J176" s="117" t="s">
        <v>402</v>
      </c>
      <c r="N176" s="107" t="s">
        <v>288</v>
      </c>
      <c r="O176" s="165" t="s">
        <v>320</v>
      </c>
      <c r="P176" s="165" t="s">
        <v>168</v>
      </c>
      <c r="Q176" s="165" t="s">
        <v>397</v>
      </c>
      <c r="R176" s="165" t="s">
        <v>321</v>
      </c>
      <c r="S176" s="165" t="s">
        <v>398</v>
      </c>
      <c r="T176" s="165" t="s">
        <v>399</v>
      </c>
      <c r="U176" s="165" t="s">
        <v>400</v>
      </c>
      <c r="V176" s="165" t="s">
        <v>401</v>
      </c>
      <c r="W176" s="165" t="s">
        <v>402</v>
      </c>
    </row>
    <row r="177" s="96" customFormat="true" ht="18" hidden="false" customHeight="true" outlineLevel="0" collapsed="false">
      <c r="A177" s="166" t="n">
        <f aca="false">IF(B177="","",1)</f>
        <v>1</v>
      </c>
      <c r="B177" s="131" t="s">
        <v>410</v>
      </c>
      <c r="C177" s="131" t="s">
        <v>411</v>
      </c>
      <c r="D177" s="132" t="s">
        <v>267</v>
      </c>
      <c r="E177" s="130"/>
      <c r="F177" s="130" t="s">
        <v>267</v>
      </c>
      <c r="G177" s="130" t="s">
        <v>405</v>
      </c>
      <c r="H177" s="130" t="n">
        <v>12</v>
      </c>
      <c r="I177" s="133"/>
      <c r="J177" s="134" t="n">
        <f aca="false">$J$120*H177</f>
        <v>48</v>
      </c>
      <c r="N177" s="107" t="s">
        <v>406</v>
      </c>
      <c r="O177" s="55" t="s">
        <v>407</v>
      </c>
      <c r="P177" s="62" t="s">
        <v>408</v>
      </c>
      <c r="Q177" s="55" t="s">
        <v>227</v>
      </c>
      <c r="R177" s="158"/>
      <c r="S177" s="158" t="s">
        <v>227</v>
      </c>
      <c r="T177" s="158" t="s">
        <v>409</v>
      </c>
      <c r="U177" s="168" t="n">
        <f aca="false">((($I$141*$G$141)+($I$142*$G$142)+($I$143*$G$143)+($I$144*$G$144)+($I$145*$G$145)+($I$146*$G$146)+($I$150*$G$150*2))/1000)*$J$120</f>
        <v>222.86</v>
      </c>
      <c r="V177" s="168" t="n">
        <v>100</v>
      </c>
      <c r="W177" s="169" t="n">
        <f aca="false">ROUNDUP((U177)/100,0)</f>
        <v>3</v>
      </c>
    </row>
    <row r="178" s="96" customFormat="true" ht="18" hidden="false" customHeight="true" outlineLevel="0" collapsed="false">
      <c r="A178" s="170" t="n">
        <f aca="false">IF(B178="","",+A177+1)</f>
        <v>2</v>
      </c>
      <c r="B178" s="131" t="s">
        <v>415</v>
      </c>
      <c r="C178" s="131" t="s">
        <v>416</v>
      </c>
      <c r="D178" s="132" t="s">
        <v>222</v>
      </c>
      <c r="E178" s="130"/>
      <c r="F178" s="130" t="s">
        <v>222</v>
      </c>
      <c r="G178" s="130" t="s">
        <v>405</v>
      </c>
      <c r="H178" s="130" t="n">
        <v>2</v>
      </c>
      <c r="I178" s="133"/>
      <c r="J178" s="134" t="n">
        <f aca="false">$J$120*H178</f>
        <v>8</v>
      </c>
      <c r="N178" s="107" t="s">
        <v>412</v>
      </c>
      <c r="O178" s="55" t="s">
        <v>413</v>
      </c>
      <c r="P178" s="62" t="s">
        <v>414</v>
      </c>
      <c r="Q178" s="55" t="s">
        <v>234</v>
      </c>
      <c r="R178" s="158"/>
      <c r="S178" s="158" t="s">
        <v>234</v>
      </c>
      <c r="T178" s="158" t="s">
        <v>409</v>
      </c>
      <c r="U178" s="168" t="n">
        <f aca="false">((($I$141*$G$141)+($I$142*$G$142)+($I$143*$G$143)+($I$144*$G$144)+($I$145*$G$145)+($I$146*$G$146)+($I$150*$G$150*2))/1000)*$J$120</f>
        <v>222.86</v>
      </c>
      <c r="V178" s="168" t="n">
        <v>100</v>
      </c>
      <c r="W178" s="169" t="n">
        <f aca="false">ROUNDUP((U178)/100,0)</f>
        <v>3</v>
      </c>
    </row>
    <row r="179" s="96" customFormat="true" ht="18" hidden="false" customHeight="true" outlineLevel="0" collapsed="false">
      <c r="A179" s="170" t="n">
        <f aca="false">IF(B179="","",+A178+1)</f>
        <v>3</v>
      </c>
      <c r="B179" s="131" t="s">
        <v>420</v>
      </c>
      <c r="C179" s="131" t="s">
        <v>421</v>
      </c>
      <c r="D179" s="132" t="s">
        <v>225</v>
      </c>
      <c r="E179" s="130"/>
      <c r="F179" s="130" t="s">
        <v>225</v>
      </c>
      <c r="G179" s="130" t="s">
        <v>405</v>
      </c>
      <c r="H179" s="130" t="n">
        <v>2</v>
      </c>
      <c r="I179" s="133"/>
      <c r="J179" s="134" t="n">
        <f aca="false">$J$120*H179</f>
        <v>8</v>
      </c>
      <c r="N179" s="107" t="s">
        <v>417</v>
      </c>
      <c r="O179" s="62" t="s">
        <v>418</v>
      </c>
      <c r="P179" s="62" t="s">
        <v>419</v>
      </c>
      <c r="Q179" s="55" t="s">
        <v>236</v>
      </c>
      <c r="R179" s="158"/>
      <c r="S179" s="158" t="s">
        <v>236</v>
      </c>
      <c r="T179" s="158" t="s">
        <v>409</v>
      </c>
      <c r="U179" s="168" t="n">
        <f aca="false">((($I$141*$G$141)+($I$142*$G$142)+($I$143*$G$143)+($I$144*$G$144)+($I$145*$G$145)+($I$146*$G$146)+($I$150*$G$150*2))/1000)*$J$120</f>
        <v>222.86</v>
      </c>
      <c r="V179" s="168" t="n">
        <v>100</v>
      </c>
      <c r="W179" s="169" t="n">
        <f aca="false">ROUNDUP((U179)/100,0)</f>
        <v>3</v>
      </c>
    </row>
    <row r="180" s="96" customFormat="true" ht="18" hidden="false" customHeight="true" outlineLevel="0" collapsed="false">
      <c r="A180" s="170" t="n">
        <f aca="false">IF(B180="","",+A179+1)</f>
        <v>4</v>
      </c>
      <c r="B180" s="131" t="s">
        <v>425</v>
      </c>
      <c r="C180" s="131" t="s">
        <v>426</v>
      </c>
      <c r="D180" s="132" t="n">
        <v>9</v>
      </c>
      <c r="E180" s="130"/>
      <c r="F180" s="130" t="n">
        <v>9</v>
      </c>
      <c r="G180" s="130" t="s">
        <v>405</v>
      </c>
      <c r="H180" s="130" t="n">
        <v>8</v>
      </c>
      <c r="I180" s="133"/>
      <c r="J180" s="134" t="n">
        <f aca="false">$J$120*H180</f>
        <v>32</v>
      </c>
      <c r="N180" s="107" t="s">
        <v>422</v>
      </c>
      <c r="O180" s="62" t="s">
        <v>423</v>
      </c>
      <c r="P180" s="62" t="s">
        <v>424</v>
      </c>
      <c r="Q180" s="55" t="s">
        <v>238</v>
      </c>
      <c r="R180" s="158"/>
      <c r="S180" s="158" t="s">
        <v>238</v>
      </c>
      <c r="T180" s="158" t="s">
        <v>409</v>
      </c>
      <c r="U180" s="168" t="n">
        <f aca="false">((($I$141*$G$141)+($I$142*$G$142)+($I$143*$G$143)+($I$144*$G$144)+($I$145*$G$145)+($I$146*$G$146)+($I$150*$G$150*2))/1000)*$J$120</f>
        <v>222.86</v>
      </c>
      <c r="V180" s="168" t="n">
        <v>100</v>
      </c>
      <c r="W180" s="169" t="n">
        <f aca="false">ROUNDUP((U180)/100,0)</f>
        <v>3</v>
      </c>
    </row>
    <row r="181" s="96" customFormat="true" ht="18" hidden="false" customHeight="true" outlineLevel="0" collapsed="false">
      <c r="A181" s="170" t="n">
        <f aca="false">IF(B181="","",+A180+1)</f>
        <v>5</v>
      </c>
      <c r="B181" s="131" t="s">
        <v>430</v>
      </c>
      <c r="C181" s="131" t="s">
        <v>431</v>
      </c>
      <c r="D181" s="132" t="n">
        <v>9</v>
      </c>
      <c r="E181" s="130"/>
      <c r="F181" s="130" t="n">
        <v>9</v>
      </c>
      <c r="G181" s="130" t="s">
        <v>405</v>
      </c>
      <c r="H181" s="130" t="n">
        <v>110</v>
      </c>
      <c r="I181" s="133"/>
      <c r="J181" s="134" t="n">
        <f aca="false">$J$120*H181</f>
        <v>440</v>
      </c>
      <c r="N181" s="107" t="s">
        <v>427</v>
      </c>
      <c r="O181" s="62" t="s">
        <v>428</v>
      </c>
      <c r="P181" s="62" t="s">
        <v>429</v>
      </c>
      <c r="Q181" s="55" t="s">
        <v>240</v>
      </c>
      <c r="R181" s="158"/>
      <c r="S181" s="158" t="s">
        <v>240</v>
      </c>
      <c r="T181" s="158" t="s">
        <v>409</v>
      </c>
      <c r="U181" s="168" t="n">
        <f aca="false">((($I$141*$G$141)+($I$142*$G$142)+($I$143*$G$143)+($I$144*$G$144)+($I$145*$G$145)+($I$146*$G$146)+($I$150*$G$150*2))/1000)*$J$120</f>
        <v>222.86</v>
      </c>
      <c r="V181" s="168" t="n">
        <v>100</v>
      </c>
      <c r="W181" s="169" t="n">
        <f aca="false">ROUNDUP((U181)/100,0)</f>
        <v>3</v>
      </c>
    </row>
    <row r="182" s="96" customFormat="true" ht="18" hidden="false" customHeight="true" outlineLevel="0" collapsed="false">
      <c r="A182" s="170" t="n">
        <f aca="false">IF(B182="","",+A181+1)</f>
        <v>6</v>
      </c>
      <c r="B182" s="131" t="s">
        <v>556</v>
      </c>
      <c r="C182" s="131" t="s">
        <v>557</v>
      </c>
      <c r="D182" s="132" t="s">
        <v>5</v>
      </c>
      <c r="E182" s="130"/>
      <c r="F182" s="130" t="s">
        <v>5</v>
      </c>
      <c r="G182" s="130" t="s">
        <v>434</v>
      </c>
      <c r="H182" s="130" t="n">
        <v>2</v>
      </c>
      <c r="I182" s="133"/>
      <c r="J182" s="134" t="n">
        <f aca="false">$J$120*H182</f>
        <v>8</v>
      </c>
    </row>
    <row r="183" s="96" customFormat="true" ht="18" hidden="false" customHeight="true" outlineLevel="0" collapsed="false">
      <c r="A183" s="170" t="n">
        <f aca="false">IF(B183="","",+A182+1)</f>
        <v>7</v>
      </c>
      <c r="B183" s="131" t="s">
        <v>432</v>
      </c>
      <c r="C183" s="131" t="s">
        <v>433</v>
      </c>
      <c r="D183" s="132" t="s">
        <v>6</v>
      </c>
      <c r="E183" s="130"/>
      <c r="F183" s="130" t="s">
        <v>6</v>
      </c>
      <c r="G183" s="130" t="s">
        <v>434</v>
      </c>
      <c r="H183" s="130" t="n">
        <v>1</v>
      </c>
      <c r="I183" s="133"/>
      <c r="J183" s="134" t="n">
        <f aca="false">$J$120*H183</f>
        <v>4</v>
      </c>
    </row>
    <row r="184" s="96" customFormat="true" ht="18" hidden="false" customHeight="true" outlineLevel="0" collapsed="false">
      <c r="A184" s="170" t="n">
        <f aca="false">IF(B184="","",+A183+1)</f>
        <v>8</v>
      </c>
      <c r="B184" s="131" t="s">
        <v>512</v>
      </c>
      <c r="C184" s="131" t="s">
        <v>513</v>
      </c>
      <c r="D184" s="132" t="s">
        <v>7</v>
      </c>
      <c r="E184" s="130"/>
      <c r="F184" s="130" t="s">
        <v>7</v>
      </c>
      <c r="G184" s="130" t="s">
        <v>434</v>
      </c>
      <c r="H184" s="130" t="n">
        <v>1</v>
      </c>
      <c r="I184" s="133"/>
      <c r="J184" s="134" t="n">
        <f aca="false">$J$120*H184</f>
        <v>4</v>
      </c>
    </row>
    <row r="185" s="96" customFormat="true" ht="18" hidden="false" customHeight="true" outlineLevel="0" collapsed="false">
      <c r="A185" s="170" t="n">
        <f aca="false">IF(B185="","",+A184+1)</f>
        <v>9</v>
      </c>
      <c r="B185" s="131" t="s">
        <v>554</v>
      </c>
      <c r="C185" s="131" t="s">
        <v>555</v>
      </c>
      <c r="D185" s="132" t="s">
        <v>11</v>
      </c>
      <c r="E185" s="130"/>
      <c r="F185" s="130" t="s">
        <v>11</v>
      </c>
      <c r="G185" s="130" t="s">
        <v>434</v>
      </c>
      <c r="H185" s="130" t="n">
        <v>2</v>
      </c>
      <c r="I185" s="133"/>
      <c r="J185" s="134" t="n">
        <f aca="false">$J$120*H185</f>
        <v>8</v>
      </c>
    </row>
    <row r="186" s="96" customFormat="true" ht="18" hidden="false" customHeight="true" outlineLevel="0" collapsed="false">
      <c r="A186" s="170" t="n">
        <f aca="false">IF(B186="","",+A185+1)</f>
        <v>10</v>
      </c>
      <c r="B186" s="131" t="s">
        <v>689</v>
      </c>
      <c r="C186" s="131" t="s">
        <v>690</v>
      </c>
      <c r="D186" s="132" t="s">
        <v>264</v>
      </c>
      <c r="E186" s="130"/>
      <c r="F186" s="130" t="s">
        <v>264</v>
      </c>
      <c r="G186" s="130" t="s">
        <v>434</v>
      </c>
      <c r="H186" s="130" t="n">
        <v>2</v>
      </c>
      <c r="I186" s="142"/>
      <c r="J186" s="134" t="n">
        <f aca="false">$J$120*H186</f>
        <v>8</v>
      </c>
      <c r="Q186" s="172"/>
      <c r="R186" s="172"/>
      <c r="S186" s="172"/>
      <c r="T186" s="97"/>
      <c r="U186" s="97"/>
      <c r="V186" s="97"/>
    </row>
    <row r="187" s="96" customFormat="true" ht="18" hidden="false" customHeight="true" outlineLevel="0" collapsed="false">
      <c r="A187" s="170" t="n">
        <f aca="false">IF(B187="","",+A186+1)</f>
        <v>11</v>
      </c>
      <c r="B187" s="131" t="s">
        <v>439</v>
      </c>
      <c r="C187" s="131" t="s">
        <v>440</v>
      </c>
      <c r="D187" s="132" t="s">
        <v>12</v>
      </c>
      <c r="E187" s="130"/>
      <c r="F187" s="130" t="s">
        <v>12</v>
      </c>
      <c r="G187" s="130" t="s">
        <v>434</v>
      </c>
      <c r="H187" s="130" t="n">
        <v>6</v>
      </c>
      <c r="I187" s="142"/>
      <c r="J187" s="134" t="n">
        <f aca="false">$J$120*H187</f>
        <v>24</v>
      </c>
      <c r="N187" s="107" t="s">
        <v>289</v>
      </c>
      <c r="O187" s="165" t="s">
        <v>320</v>
      </c>
      <c r="P187" s="165" t="s">
        <v>168</v>
      </c>
      <c r="Q187" s="165" t="s">
        <v>397</v>
      </c>
      <c r="R187" s="165" t="s">
        <v>321</v>
      </c>
      <c r="S187" s="165" t="s">
        <v>398</v>
      </c>
      <c r="T187" s="165" t="s">
        <v>399</v>
      </c>
      <c r="U187" s="165" t="s">
        <v>400</v>
      </c>
      <c r="V187" s="165" t="s">
        <v>401</v>
      </c>
      <c r="W187" s="165" t="s">
        <v>402</v>
      </c>
    </row>
    <row r="188" s="96" customFormat="true" ht="18" hidden="false" customHeight="true" outlineLevel="0" collapsed="false">
      <c r="A188" s="170" t="n">
        <f aca="false">IF(B188="","",+A187+1)</f>
        <v>12</v>
      </c>
      <c r="B188" s="131" t="s">
        <v>540</v>
      </c>
      <c r="C188" s="131" t="s">
        <v>541</v>
      </c>
      <c r="D188" s="132" t="s">
        <v>691</v>
      </c>
      <c r="E188" s="130"/>
      <c r="F188" s="130" t="s">
        <v>691</v>
      </c>
      <c r="G188" s="130" t="s">
        <v>434</v>
      </c>
      <c r="H188" s="130" t="n">
        <v>1</v>
      </c>
      <c r="I188" s="142"/>
      <c r="J188" s="134" t="n">
        <f aca="false">$J$120*H188</f>
        <v>4</v>
      </c>
      <c r="N188" s="107" t="s">
        <v>445</v>
      </c>
      <c r="O188" s="62" t="s">
        <v>446</v>
      </c>
      <c r="P188" s="62" t="s">
        <v>447</v>
      </c>
      <c r="Q188" s="55" t="s">
        <v>230</v>
      </c>
      <c r="R188" s="158"/>
      <c r="S188" s="158" t="s">
        <v>230</v>
      </c>
      <c r="T188" s="158" t="s">
        <v>409</v>
      </c>
      <c r="U188" s="168" t="n">
        <f aca="false">((($I$134*$G$134)+($I$136*$G$136)+($I$139*$G$139))/1000)*$J$120</f>
        <v>46.632</v>
      </c>
      <c r="V188" s="168" t="n">
        <v>300</v>
      </c>
      <c r="W188" s="169" t="n">
        <f aca="false">ROUNDUP((U188)/V188,0)</f>
        <v>1</v>
      </c>
    </row>
    <row r="189" s="96" customFormat="true" ht="18" hidden="false" customHeight="true" outlineLevel="0" collapsed="false">
      <c r="A189" s="170" t="n">
        <f aca="false">IF(B189="","",+A188+1)</f>
        <v>13</v>
      </c>
      <c r="B189" s="131" t="s">
        <v>441</v>
      </c>
      <c r="C189" s="131" t="s">
        <v>442</v>
      </c>
      <c r="D189" s="132" t="s">
        <v>274</v>
      </c>
      <c r="E189" s="130"/>
      <c r="F189" s="130" t="s">
        <v>274</v>
      </c>
      <c r="G189" s="130" t="s">
        <v>405</v>
      </c>
      <c r="H189" s="130" t="n">
        <v>4</v>
      </c>
      <c r="I189" s="142"/>
      <c r="J189" s="134" t="n">
        <f aca="false">$J$120*H189</f>
        <v>16</v>
      </c>
      <c r="N189" s="107" t="s">
        <v>448</v>
      </c>
      <c r="O189" s="62" t="s">
        <v>449</v>
      </c>
      <c r="P189" s="62" t="s">
        <v>450</v>
      </c>
      <c r="Q189" s="55" t="s">
        <v>451</v>
      </c>
      <c r="R189" s="158"/>
      <c r="S189" s="158" t="s">
        <v>451</v>
      </c>
      <c r="T189" s="158" t="s">
        <v>409</v>
      </c>
      <c r="U189" s="168" t="n">
        <f aca="false">((($I$134*$G$134)+($I$136*$G$136)+($I$139*$G$139))/1000)*$J$120</f>
        <v>46.632</v>
      </c>
      <c r="V189" s="168" t="n">
        <v>100</v>
      </c>
      <c r="W189" s="169" t="n">
        <f aca="false">ROUNDUP((U189)/V189,0)</f>
        <v>1</v>
      </c>
    </row>
    <row r="190" s="96" customFormat="true" ht="18" hidden="false" customHeight="true" outlineLevel="0" collapsed="false">
      <c r="A190" s="170" t="n">
        <f aca="false">IF(B190="","",+A189+1)</f>
        <v>14</v>
      </c>
      <c r="B190" s="131" t="s">
        <v>443</v>
      </c>
      <c r="C190" s="131" t="s">
        <v>444</v>
      </c>
      <c r="D190" s="132" t="s">
        <v>272</v>
      </c>
      <c r="E190" s="130"/>
      <c r="F190" s="130" t="s">
        <v>272</v>
      </c>
      <c r="G190" s="130" t="s">
        <v>405</v>
      </c>
      <c r="H190" s="130" t="n">
        <v>1</v>
      </c>
      <c r="I190" s="133"/>
      <c r="J190" s="134" t="n">
        <f aca="false">$J$120*H190</f>
        <v>4</v>
      </c>
      <c r="N190" s="107" t="s">
        <v>445</v>
      </c>
      <c r="O190" s="62" t="s">
        <v>452</v>
      </c>
      <c r="P190" s="62" t="s">
        <v>453</v>
      </c>
      <c r="Q190" s="55" t="s">
        <v>232</v>
      </c>
      <c r="R190" s="158"/>
      <c r="S190" s="158" t="s">
        <v>232</v>
      </c>
      <c r="T190" s="158" t="s">
        <v>409</v>
      </c>
      <c r="U190" s="168" t="n">
        <f aca="false">((($I$141*$G$141*2)+($I$143*$G$143*2)+($I$144*$G$144*2))/1000)*$J$120</f>
        <v>244.736</v>
      </c>
      <c r="V190" s="168" t="n">
        <v>350</v>
      </c>
      <c r="W190" s="169" t="n">
        <f aca="false">ROUNDUP((U190)/V190,0)</f>
        <v>1</v>
      </c>
    </row>
    <row r="191" s="96" customFormat="true" ht="18" hidden="false" customHeight="true" outlineLevel="0" collapsed="false">
      <c r="A191" s="170" t="n">
        <f aca="false">IF(B191="","",+A190+1)</f>
        <v>15</v>
      </c>
      <c r="B191" s="131" t="s">
        <v>403</v>
      </c>
      <c r="C191" s="131" t="s">
        <v>404</v>
      </c>
      <c r="D191" s="132" t="s">
        <v>576</v>
      </c>
      <c r="E191" s="130"/>
      <c r="F191" s="130" t="s">
        <v>576</v>
      </c>
      <c r="G191" s="130" t="s">
        <v>405</v>
      </c>
      <c r="H191" s="130" t="n">
        <v>1</v>
      </c>
      <c r="I191" s="133"/>
      <c r="J191" s="134" t="n">
        <f aca="false">$J$120*H191</f>
        <v>4</v>
      </c>
      <c r="N191" s="107" t="s">
        <v>448</v>
      </c>
      <c r="O191" s="62" t="s">
        <v>454</v>
      </c>
      <c r="P191" s="62" t="s">
        <v>455</v>
      </c>
      <c r="Q191" s="55" t="s">
        <v>456</v>
      </c>
      <c r="R191" s="158"/>
      <c r="S191" s="158" t="s">
        <v>456</v>
      </c>
      <c r="T191" s="158" t="s">
        <v>409</v>
      </c>
      <c r="U191" s="168" t="n">
        <f aca="false">((($I$141*$G$141*2)+($I$143*$G$143*2)+($I$144*$G$144*2))/1000)*$J$120</f>
        <v>244.736</v>
      </c>
      <c r="V191" s="168" t="n">
        <v>100</v>
      </c>
      <c r="W191" s="169" t="n">
        <f aca="false">ROUNDUP((U191)/V191,0)</f>
        <v>3</v>
      </c>
    </row>
    <row r="192" s="96" customFormat="true" ht="18" hidden="false" customHeight="true" outlineLevel="0" collapsed="false">
      <c r="A192" s="170" t="n">
        <f aca="false">IF(B192="","",+A191+1)</f>
        <v>16</v>
      </c>
      <c r="B192" s="131" t="s">
        <v>403</v>
      </c>
      <c r="C192" s="131" t="s">
        <v>404</v>
      </c>
      <c r="D192" s="132" t="s">
        <v>276</v>
      </c>
      <c r="E192" s="130"/>
      <c r="F192" s="130" t="s">
        <v>276</v>
      </c>
      <c r="G192" s="130" t="s">
        <v>405</v>
      </c>
      <c r="H192" s="130" t="n">
        <v>2</v>
      </c>
      <c r="I192" s="133"/>
      <c r="J192" s="134" t="n">
        <f aca="false">$J$120*H192</f>
        <v>8</v>
      </c>
    </row>
    <row r="193" s="96" customFormat="true" ht="18" hidden="false" customHeight="true" outlineLevel="0" collapsed="false">
      <c r="A193" s="170" t="n">
        <f aca="false">IF(B193="","",+A192+1)</f>
        <v>17</v>
      </c>
      <c r="B193" s="131" t="s">
        <v>577</v>
      </c>
      <c r="C193" s="131" t="s">
        <v>578</v>
      </c>
      <c r="D193" s="132" t="s">
        <v>215</v>
      </c>
      <c r="E193" s="130"/>
      <c r="F193" s="130" t="s">
        <v>215</v>
      </c>
      <c r="G193" s="130" t="s">
        <v>434</v>
      </c>
      <c r="H193" s="130" t="n">
        <v>1</v>
      </c>
      <c r="I193" s="133"/>
      <c r="J193" s="134" t="n">
        <f aca="false">$J$120*H193</f>
        <v>4</v>
      </c>
    </row>
    <row r="194" s="96" customFormat="true" ht="18" hidden="false" customHeight="true" outlineLevel="0" collapsed="false">
      <c r="A194" s="170" t="n">
        <f aca="false">IF(B194="","",+A193+1)</f>
        <v>18</v>
      </c>
      <c r="B194" s="131" t="s">
        <v>579</v>
      </c>
      <c r="C194" s="131" t="s">
        <v>578</v>
      </c>
      <c r="D194" s="132" t="s">
        <v>220</v>
      </c>
      <c r="E194" s="130"/>
      <c r="F194" s="130" t="s">
        <v>220</v>
      </c>
      <c r="G194" s="130" t="s">
        <v>434</v>
      </c>
      <c r="H194" s="130" t="n">
        <v>1</v>
      </c>
      <c r="I194" s="133"/>
      <c r="J194" s="134" t="n">
        <f aca="false">$J$120*H194</f>
        <v>4</v>
      </c>
    </row>
    <row r="195" s="96" customFormat="true" ht="18" hidden="false" customHeight="true" outlineLevel="0" collapsed="false">
      <c r="A195" s="170" t="n">
        <f aca="false">IF(B195="","",+A194+1)</f>
        <v>19</v>
      </c>
      <c r="B195" s="131" t="s">
        <v>580</v>
      </c>
      <c r="C195" s="131" t="s">
        <v>581</v>
      </c>
      <c r="D195" s="132" t="s">
        <v>582</v>
      </c>
      <c r="E195" s="130"/>
      <c r="F195" s="130" t="s">
        <v>582</v>
      </c>
      <c r="G195" s="130" t="s">
        <v>409</v>
      </c>
      <c r="H195" s="173" t="n">
        <f aca="false">((($I$151*$G$151)+($I$152*$G$152))/1000)*$J$120</f>
        <v>20.864</v>
      </c>
      <c r="I195" s="174" t="n">
        <v>100</v>
      </c>
      <c r="J195" s="175" t="n">
        <f aca="false">ROUNDUP((H195)/100,0)</f>
        <v>1</v>
      </c>
    </row>
    <row r="196" s="96" customFormat="true" ht="18" hidden="false" customHeight="true" outlineLevel="0" collapsed="false">
      <c r="A196" s="170" t="n">
        <f aca="false">IF(B196="","",+A195+1)</f>
        <v>20</v>
      </c>
      <c r="B196" s="131" t="s">
        <v>583</v>
      </c>
      <c r="C196" s="131" t="s">
        <v>584</v>
      </c>
      <c r="D196" s="132" t="s">
        <v>585</v>
      </c>
      <c r="E196" s="130"/>
      <c r="F196" s="130" t="s">
        <v>585</v>
      </c>
      <c r="G196" s="130" t="s">
        <v>409</v>
      </c>
      <c r="H196" s="173" t="n">
        <f aca="false">((($I$145*$G$145)+($I$146*$G$146))/1000)*$J$120</f>
        <v>20.864</v>
      </c>
      <c r="I196" s="174" t="n">
        <v>100</v>
      </c>
      <c r="J196" s="175" t="n">
        <f aca="false">ROUNDUP((H196)/100,0)</f>
        <v>1</v>
      </c>
    </row>
    <row r="197" customFormat="false" ht="18" hidden="false" customHeight="true" outlineLevel="0" collapsed="false">
      <c r="A197" s="170" t="n">
        <f aca="false">IF(B197="","",+A196+1)</f>
        <v>21</v>
      </c>
      <c r="B197" s="132" t="str">
        <f aca="false">IF($D$129="Standard",$O$188,IF($D$129="Soumdproof",$O$189,))</f>
        <v>ยางเฟรมกันน้ำ (ธรรมดา)</v>
      </c>
      <c r="C197" s="132" t="str">
        <f aca="false">IF($D$129="Standard",$P$188,IF($D$129="Soumdproof",$P$189,))</f>
        <v>FRAME SEAL (Standard)</v>
      </c>
      <c r="D197" s="132" t="str">
        <f aca="false">IF($D$129="Standard",$Q$188,IF($D$129="Soumdproof",$Q$189,))</f>
        <v>02-026</v>
      </c>
      <c r="E197" s="130" t="n">
        <f aca="false">IF($D$129="Standard",R192,IF($D$129="Soumdproof",R193,))</f>
        <v>0</v>
      </c>
      <c r="F197" s="130" t="str">
        <f aca="false">IF($D$129="Standard",$S$188,IF($D$129="Soumdproof",$S$189,))</f>
        <v>02-026</v>
      </c>
      <c r="G197" s="130" t="str">
        <f aca="false">IF($D$129="Standard",$T$188,IF($D$129="Soumdproof",$T$189,))</f>
        <v>M</v>
      </c>
      <c r="H197" s="173" t="n">
        <f aca="false">IF($D$129="Standard",$U$188,IF($D$129="Soumdproof",$U$189,))</f>
        <v>46.632</v>
      </c>
      <c r="I197" s="174" t="n">
        <f aca="false">IF($D$129="Standard",$V$188,IF($D$129="Soumdproof",$V$189,))</f>
        <v>300</v>
      </c>
      <c r="J197" s="175" t="n">
        <f aca="false">ROUNDUP((H197)/100,0)</f>
        <v>1</v>
      </c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</row>
    <row r="198" s="96" customFormat="true" ht="18" hidden="false" customHeight="true" outlineLevel="0" collapsed="false">
      <c r="A198" s="170" t="n">
        <f aca="false">IF(B198="","",+A197+1)</f>
        <v>22</v>
      </c>
      <c r="B198" s="132" t="str">
        <f aca="false">IF($D$129="Standard",$O$190,IF($D$129="Soumdproof",$O$191,))</f>
        <v>ยางแซชกันน้ำ (ธรรมดา)</v>
      </c>
      <c r="C198" s="132" t="str">
        <f aca="false">IF($D$129="Standard",$P$190,IF($D$129="Soumdproof",$P$191,))</f>
        <v>SASH SEAL FOAM (Standard)</v>
      </c>
      <c r="D198" s="132" t="str">
        <f aca="false">IF($D$129="Standard",$Q$190,IF($D$129="Soumdproof",$Q$191,))</f>
        <v>02-031</v>
      </c>
      <c r="E198" s="130" t="n">
        <f aca="false">IF($D$129="Standard",R194,IF($D$129="Soumdproof",R195,))</f>
        <v>0</v>
      </c>
      <c r="F198" s="130" t="str">
        <f aca="false">IF($D$129="Standard",$S$190,IF($D$129="Soumdproof",$S$191,))</f>
        <v>02-031</v>
      </c>
      <c r="G198" s="130" t="str">
        <f aca="false">IF($D$129="Standard",$T$190,IF($D$129="Soumdproof",$T$191,))</f>
        <v>M</v>
      </c>
      <c r="H198" s="173" t="n">
        <f aca="false">IF($D$129="Standard",$U$190,IF($D$129="Soumdproof",$U$191,))</f>
        <v>244.736</v>
      </c>
      <c r="I198" s="174" t="n">
        <f aca="false">IF($D$129="Standard",$V$190,IF($D$129="Soumdproof",$V$191,))</f>
        <v>350</v>
      </c>
      <c r="J198" s="175" t="n">
        <f aca="false">ROUNDUP((H198)/100,0)</f>
        <v>3</v>
      </c>
    </row>
    <row r="199" s="96" customFormat="true" ht="18" hidden="false" customHeight="true" outlineLevel="0" collapsed="false">
      <c r="A199" s="170" t="n">
        <f aca="false">IF(B199="","",+A198+1)</f>
        <v>23</v>
      </c>
      <c r="B199" s="176" t="str">
        <f aca="false">IF($D$127=5,$O$179,IF($D$127=6,$O$180,IF($D$127=8,$O$181,IF($D$127=10,$O$179,IF($D$127=12,$O$179,IF($D$127=14,$O$181,IF($D$127=18,$O$179,IF($D$127=20,$O$180,IF($D$127=22,"")))))))))</f>
        <v>6,20 mm ยางอัดกระจก</v>
      </c>
      <c r="C199" s="176" t="str">
        <f aca="false">IF($D$127=5,$P$179,IF($D$127=6,$P$180,IF($D$127=8,$P$181,IF($D$127=10,$P$179,IF($D$127=12,$P$179,IF($D$127=14,$P$181,IF($D$127=18,$P$179,IF($D$127=20,$P$180,IF($D$127=22,"")))))))))</f>
        <v>6,20 mm ROLL IN WEDGE</v>
      </c>
      <c r="D199" s="176" t="str">
        <f aca="false">IF($D$127=5,$Q$179,IF($D$127=6,$Q$180,IF($D$127=8,$Q$181,IF($D$127=10,$Q$179,IF($D$127=12,$Q$179,IF($D$127=14,$Q$181,IF($D$127=18,$Q$179,IF($D$127=20,$Q$180,IF($D$127=22,"")))))))))</f>
        <v>02-034</v>
      </c>
      <c r="E199" s="176" t="n">
        <f aca="false">IF($D$127=5,R183,IF($D$127=6,R184,IF($D$127=8,R185,IF($D$127=10,R183,IF($D$127=12,R183,IF($D$127=14,R185,IF($D$127=18,R183,IF($D$127=20,R184,IF($D$127=22,"",)))))))))</f>
        <v>0</v>
      </c>
      <c r="F199" s="167" t="str">
        <f aca="false">IF($D$127=5,$S$179,IF($D$127=6,$S$180,IF($D$127=8,$S$181,IF($D$127=10,$S$179,IF($D$127=12,$S$179,IF($D$127=14,$S$181,IF($D$127=18,$S$179,IF($D$127=20,$S$180,IF($D$127=22,"")))))))))</f>
        <v>02-034</v>
      </c>
      <c r="G199" s="167" t="str">
        <f aca="false">IF($D$127=5,$T$179,IF($D$127=6,$T$180,IF($D$127=8,$T$181,IF($D$127=10,$T$179,IF($D$127=12,$T$179,IF($D$127=14,$T$181,IF($D$127=18,$T$179,IF($D$127=20,$T$180,IF($D$127=22,"")))))))))</f>
        <v>M</v>
      </c>
      <c r="H199" s="173" t="n">
        <f aca="false">IF($D$127=5,$U$179,IF($D$127=6,$U$180,IF($D$127=8,$U$181,IF($D$127=10,$U$179*2,IF($D$127=12,$U$179,IF($D$127=14,$U$181*2,IF($D$127=18,$U$179,IF($D$127=20,$U$180,IF($D$127=22,"")))))))))</f>
        <v>222.86</v>
      </c>
      <c r="I199" s="174" t="n">
        <f aca="false">IF($D$127=5,$V$179,IF($D$127=6,$V$180,IF($D$127=8,$V$181,IF($D$127=10,$V$179,IF($D$127=12,$V$179,IF($D$127=14,$V$181,IF($D$127=18,$V$179,IF($D$127=20,$V$180,IF($D$127=22,"")))))))))</f>
        <v>100</v>
      </c>
      <c r="J199" s="175" t="n">
        <f aca="false">ROUNDUP((H199)/100,0)</f>
        <v>3</v>
      </c>
    </row>
    <row r="200" s="96" customFormat="true" ht="18" hidden="false" customHeight="true" outlineLevel="0" collapsed="false">
      <c r="A200" s="170" t="n">
        <f aca="false">IF(B200="","",+A199+1)</f>
        <v>24</v>
      </c>
      <c r="B200" s="176" t="str">
        <f aca="false">IF($D$127=5,$O$177,IF($D$127=6,$O$177,IF($D$127=8,$O$179,IF($D$127=10,"",IF($D$127=12,$O$178,IF($D$127=14,"",IF($D$127=18,$O$177,IF($D$127=20,$O$178,IF($D$127=22,"",)))))))))</f>
        <v>5,6,18 mm ยางรองกระจก</v>
      </c>
      <c r="C200" s="176" t="str">
        <f aca="false">IF($D$127=5,$P$177,IF($D$127=6,$P$177,IF($D$127=8,$P$179,IF($D$127=10,"",IF($D$127=12,$P$178,IF($D$127=14,"",IF($D$127=18,$P$177,IF($D$127=20,$P$178,IF($D$127=22,"",)))))))))</f>
        <v>5,6,18 mm CAPTIVE WEDGE</v>
      </c>
      <c r="D200" s="176" t="str">
        <f aca="false">IF($D$127=5,$Q$177,IF($D$127=6,$Q$177,IF($D$127=8,$Q$179,IF($D$127=10,"",IF($D$127=12,$Q$178,IF($D$127=14,"",IF($D$127=18,$Q$177,IF($D$127=20,$Q$178,IF($D$127=22,"",)))))))))</f>
        <v>02-022</v>
      </c>
      <c r="E200" s="176" t="n">
        <f aca="false">IF($D$127=5,R181,IF($D$127=6,R181,IF($D$127=8,R183,IF($D$127=10,"",IF($D$127=12,R182,IF($D$127=14,"",IF($D$127=18,R181,IF($D$127=20,R182,IF($D$127=22,"",)))))))))</f>
        <v>0</v>
      </c>
      <c r="F200" s="167" t="str">
        <f aca="false">IF($D$127=5,$S$177,IF($D$127=6,$S$177,IF($D$127=8,$S$179,IF($D$127=10,"",IF($D$127=12,$S$178,IF($D$127=14,"",IF($D$127=18,$S$177,IF($D$127=20,$S$178,IF($D$127=22,"",)))))))))</f>
        <v>02-022</v>
      </c>
      <c r="G200" s="167" t="str">
        <f aca="false">IF($D$127=5,$T$177,IF($D$127=6,$T$177,IF($D$127=8,$T$179,IF($D$127=10,"",IF($D$127=12,$T$178,IF($D$127=14,"",IF($D$127=18,$T$177,IF($D$127=20,$T$178,IF($D$127=22,"",)))))))))</f>
        <v>M</v>
      </c>
      <c r="H200" s="173" t="n">
        <f aca="false">IF($D$127=5,$U$177,IF($D$127=6,$U$177,IF($D$127=8,$U$179,IF($D$127=10,"",IF($D$127=12,$U$178,IF($D$127=14,"",IF($D$127=18,$U$177,IF($D$127=20,$U$178,IF($D$127=22,"")))))))))</f>
        <v>222.86</v>
      </c>
      <c r="I200" s="174" t="n">
        <f aca="false">IF($D$127=5,$V$177,IF($D$127=6,$V$177,IF($D$127=8,$V$179,IF($D$127=10,"",IF($D$127=12,$V$178,IF($D$127=14,"",IF($D$127=18,$V$177,IF($D$127=20,$V$178,IF($D$127=22,"",)))))))))</f>
        <v>100</v>
      </c>
      <c r="J200" s="175" t="n">
        <f aca="false">ROUNDUP((H200)/100,0)</f>
        <v>3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/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$J$120*H204</f>
        <v>0</v>
      </c>
    </row>
    <row r="205" s="96" customFormat="true" ht="18" hidden="false" customHeight="true" outlineLevel="0" collapsed="false">
      <c r="A205" s="179" t="str">
        <f aca="false">IF(B205="","",+""+1)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$J$120*H205</f>
        <v>0</v>
      </c>
    </row>
    <row r="206" s="96" customFormat="true" ht="18" hidden="false" customHeight="true" outlineLevel="0" collapsed="false">
      <c r="A206" s="200"/>
      <c r="B206" s="98"/>
      <c r="D206" s="98"/>
      <c r="E206" s="97"/>
      <c r="F206" s="98"/>
      <c r="G206" s="98"/>
      <c r="H206" s="98"/>
      <c r="I206" s="196"/>
      <c r="J206" s="196"/>
    </row>
    <row r="207" customFormat="false" ht="18" hidden="false" customHeight="true" outlineLevel="0" collapsed="false">
      <c r="A207" s="97"/>
      <c r="J207" s="92" t="str">
        <f aca="false">LEFT($J$111,13)&amp;"-02"</f>
        <v>FG-240-6P3L3R-02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516</v>
      </c>
      <c r="D220" s="98"/>
      <c r="E220" s="83"/>
      <c r="F220" s="98"/>
      <c r="H220" s="184" t="s">
        <v>621</v>
      </c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83" t="s">
        <v>692</v>
      </c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H222" s="181" t="s">
        <v>693</v>
      </c>
      <c r="J222" s="97"/>
    </row>
    <row r="223" s="96" customFormat="true" ht="15" hidden="false" customHeight="true" outlineLevel="0" collapsed="false">
      <c r="A223" s="97"/>
      <c r="C223" s="185" t="n">
        <f aca="false">$I$133</f>
        <v>4540</v>
      </c>
      <c r="D223" s="98"/>
      <c r="E223" s="83"/>
      <c r="F223" s="98"/>
      <c r="G223" s="186"/>
      <c r="H223" s="185" t="n">
        <f aca="false">$I$150</f>
        <v>641.458333333333</v>
      </c>
      <c r="J223" s="97"/>
    </row>
    <row r="224" s="96" customFormat="true" ht="15" hidden="false" customHeight="true" outlineLevel="0" collapsed="false">
      <c r="A224" s="97"/>
      <c r="C224" s="187" t="n">
        <f aca="false">$J$133</f>
        <v>4</v>
      </c>
      <c r="D224" s="98"/>
      <c r="E224" s="83"/>
      <c r="F224" s="98"/>
      <c r="G224" s="110"/>
      <c r="H224" s="187" t="n">
        <f aca="false">$J$150</f>
        <v>48</v>
      </c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517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4514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4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519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4540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4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97"/>
      <c r="H252" s="97"/>
      <c r="I252" s="196"/>
      <c r="J252" s="196"/>
    </row>
    <row r="253" s="96" customFormat="true" ht="15.75" hidden="false" customHeight="true" outlineLevel="0" collapsed="false">
      <c r="A253" s="191"/>
      <c r="B253" s="191"/>
      <c r="D253" s="192"/>
      <c r="E253" s="191"/>
      <c r="F253" s="191"/>
      <c r="G253" s="97"/>
      <c r="H253" s="97"/>
      <c r="I253" s="196"/>
      <c r="J253" s="196"/>
    </row>
    <row r="254" s="96" customFormat="true" ht="15.75" hidden="false" customHeight="true" outlineLevel="0" collapsed="false">
      <c r="A254" s="190"/>
      <c r="B254" s="190"/>
      <c r="C254" s="184" t="s">
        <v>567</v>
      </c>
      <c r="D254" s="194"/>
      <c r="E254" s="190"/>
      <c r="F254" s="189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459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460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5" t="n">
        <f aca="false">$I$136</f>
        <v>4540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7" t="n">
        <f aca="false">$J$136</f>
        <v>4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C262" s="98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184" t="s">
        <v>586</v>
      </c>
      <c r="D264" s="98"/>
      <c r="E264" s="97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522</v>
      </c>
      <c r="D265" s="181"/>
      <c r="E265" s="181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468</v>
      </c>
      <c r="D266" s="181"/>
      <c r="E266" s="181"/>
      <c r="F266" s="97"/>
      <c r="G266" s="97"/>
      <c r="H266" s="97"/>
      <c r="J266" s="97"/>
    </row>
    <row r="267" s="96" customFormat="true" ht="15.75" hidden="false" customHeight="true" outlineLevel="0" collapsed="false">
      <c r="A267" s="200"/>
      <c r="C267" s="185" t="n">
        <f aca="false">$I$137</f>
        <v>2700</v>
      </c>
      <c r="D267" s="98"/>
      <c r="E267" s="97"/>
      <c r="F267" s="97"/>
      <c r="J267" s="97"/>
    </row>
    <row r="268" s="96" customFormat="true" ht="15.75" hidden="false" customHeight="true" outlineLevel="0" collapsed="false">
      <c r="A268" s="200"/>
      <c r="C268" s="187" t="n">
        <f aca="false">$J$137+$J$138</f>
        <v>8</v>
      </c>
      <c r="D268" s="98"/>
      <c r="E268" s="97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H272" s="97"/>
      <c r="J272" s="97"/>
    </row>
    <row r="273" s="96" customFormat="true" ht="15.75" hidden="false" customHeight="true" outlineLevel="0" collapsed="false">
      <c r="A273" s="200"/>
      <c r="D273" s="181"/>
      <c r="E273" s="181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D274" s="98"/>
      <c r="E274" s="97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4" t="s">
        <v>523</v>
      </c>
      <c r="D275" s="201"/>
      <c r="E275" s="196"/>
      <c r="F275" s="97"/>
      <c r="G275" s="97"/>
      <c r="I275" s="196"/>
      <c r="J275" s="196"/>
    </row>
    <row r="276" s="96" customFormat="true" ht="15.75" hidden="false" customHeight="true" outlineLevel="0" collapsed="false">
      <c r="A276" s="200"/>
      <c r="C276" s="181" t="s">
        <v>470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1" t="s">
        <v>471</v>
      </c>
      <c r="D277" s="181"/>
      <c r="E277" s="181"/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5" t="n">
        <f aca="false">$I$139</f>
        <v>2604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C279" s="187" t="n">
        <f aca="false">$J$139+$J$140</f>
        <v>8</v>
      </c>
      <c r="F279" s="97"/>
      <c r="G279" s="97"/>
      <c r="I279" s="97"/>
      <c r="J279" s="196"/>
    </row>
    <row r="280" s="96" customFormat="true" ht="15.75" hidden="false" customHeight="true" outlineLevel="0" collapsed="false">
      <c r="A280" s="200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I282" s="201"/>
      <c r="J282" s="196"/>
    </row>
    <row r="283" s="96" customFormat="true" ht="15.75" hidden="false" customHeight="true" outlineLevel="0" collapsed="false">
      <c r="A283" s="200"/>
      <c r="C283" s="184" t="s">
        <v>524</v>
      </c>
      <c r="F283" s="97"/>
      <c r="G283" s="97"/>
      <c r="H283" s="97"/>
      <c r="I283" s="97"/>
      <c r="J283" s="196"/>
    </row>
    <row r="284" s="96" customFormat="true" ht="15.75" hidden="false" customHeight="true" outlineLevel="0" collapsed="false">
      <c r="A284" s="200"/>
      <c r="C284" s="83" t="s">
        <v>685</v>
      </c>
      <c r="D284" s="98"/>
      <c r="E284" s="97"/>
      <c r="F284" s="97"/>
      <c r="G284" s="97"/>
      <c r="H284" s="97"/>
      <c r="I284" s="196"/>
      <c r="J284" s="196"/>
    </row>
    <row r="285" s="96" customFormat="true" ht="15.75" hidden="false" customHeight="true" outlineLevel="0" collapsed="false">
      <c r="A285" s="200"/>
      <c r="C285" s="181" t="s">
        <v>686</v>
      </c>
      <c r="D285" s="98"/>
      <c r="E285" s="97"/>
      <c r="F285" s="97"/>
      <c r="G285" s="97"/>
      <c r="H285" s="97"/>
      <c r="I285" s="196"/>
      <c r="J285" s="196"/>
    </row>
    <row r="286" s="96" customFormat="true" ht="15.75" hidden="false" customHeight="true" outlineLevel="0" collapsed="false">
      <c r="A286" s="200"/>
      <c r="C286" s="181" t="s">
        <v>475</v>
      </c>
      <c r="D286" s="181"/>
      <c r="E286" s="181"/>
      <c r="F286" s="97"/>
      <c r="G286" s="97"/>
      <c r="I286" s="196"/>
      <c r="J286" s="196"/>
    </row>
    <row r="287" s="202" customFormat="true" ht="15.75" hidden="false" customHeight="true" outlineLevel="0" collapsed="false">
      <c r="A287" s="200"/>
      <c r="B287" s="96"/>
      <c r="C287" s="181" t="s">
        <v>476</v>
      </c>
      <c r="D287" s="181"/>
      <c r="E287" s="181"/>
      <c r="F287" s="97"/>
      <c r="G287" s="97"/>
      <c r="H287" s="96"/>
      <c r="I287" s="97"/>
      <c r="J287" s="97"/>
    </row>
    <row r="288" s="96" customFormat="true" ht="15.75" hidden="false" customHeight="true" outlineLevel="0" collapsed="false">
      <c r="A288" s="200"/>
      <c r="C288" s="185" t="n">
        <f aca="false">$I$141</f>
        <v>752</v>
      </c>
      <c r="F288" s="97"/>
      <c r="G288" s="97"/>
      <c r="I288" s="191"/>
      <c r="J288" s="199"/>
    </row>
    <row r="289" s="96" customFormat="true" ht="15.75" hidden="false" customHeight="true" outlineLevel="0" collapsed="false">
      <c r="A289" s="200"/>
      <c r="C289" s="187" t="n">
        <f aca="false">$J$141+$J$142</f>
        <v>48</v>
      </c>
      <c r="D289" s="98"/>
      <c r="E289" s="97"/>
      <c r="F289" s="97"/>
      <c r="G289" s="97"/>
      <c r="H289" s="98"/>
      <c r="I289" s="189"/>
      <c r="J289" s="190"/>
    </row>
    <row r="290" s="96" customFormat="true" ht="15.75" hidden="false" customHeight="true" outlineLevel="0" collapsed="false">
      <c r="A290" s="200"/>
      <c r="C290" s="185" t="n">
        <f aca="false">$I$143</f>
        <v>2608</v>
      </c>
      <c r="D290" s="98"/>
      <c r="E290" s="97"/>
      <c r="F290" s="97"/>
      <c r="G290" s="97"/>
      <c r="H290" s="97"/>
      <c r="I290" s="196"/>
      <c r="J290" s="196"/>
    </row>
    <row r="291" s="96" customFormat="true" ht="15.75" hidden="false" customHeight="true" outlineLevel="0" collapsed="false">
      <c r="A291" s="200"/>
      <c r="C291" s="187" t="n">
        <f aca="false">$J$143+$J$144+$J$145+$J$146</f>
        <v>48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D293" s="98"/>
      <c r="E293" s="97"/>
      <c r="F293" s="97"/>
      <c r="G293" s="97"/>
      <c r="H293" s="97"/>
      <c r="I293" s="97"/>
      <c r="J293" s="196"/>
    </row>
    <row r="294" s="96" customFormat="true" ht="15.75" hidden="false" customHeight="true" outlineLevel="0" collapsed="false">
      <c r="A294" s="200"/>
      <c r="C294" s="202"/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184" t="s">
        <v>525</v>
      </c>
      <c r="D295" s="98"/>
      <c r="E295" s="97"/>
      <c r="F295" s="97"/>
      <c r="G295" s="97"/>
      <c r="H295" s="97"/>
      <c r="I295" s="97"/>
      <c r="J295" s="196"/>
    </row>
    <row r="296" s="96" customFormat="true" ht="15.75" hidden="false" customHeight="true" outlineLevel="0" collapsed="false">
      <c r="A296" s="200"/>
      <c r="C296" s="83" t="s">
        <v>687</v>
      </c>
      <c r="D296" s="98"/>
      <c r="E296" s="97"/>
      <c r="F296" s="97"/>
      <c r="G296" s="191"/>
      <c r="H296" s="191"/>
      <c r="I296" s="97"/>
      <c r="J296" s="196"/>
    </row>
    <row r="297" s="96" customFormat="true" ht="15.75" hidden="false" customHeight="true" outlineLevel="0" collapsed="false">
      <c r="A297" s="200"/>
      <c r="C297" s="181" t="s">
        <v>688</v>
      </c>
      <c r="D297" s="181"/>
      <c r="E297" s="181"/>
      <c r="F297" s="97"/>
      <c r="G297" s="190"/>
      <c r="H297" s="189"/>
      <c r="I297" s="97"/>
      <c r="J297" s="196"/>
    </row>
    <row r="298" s="96" customFormat="true" ht="15.75" hidden="false" customHeight="true" outlineLevel="0" collapsed="false">
      <c r="A298" s="107"/>
      <c r="C298" s="181" t="s">
        <v>478</v>
      </c>
      <c r="D298" s="181"/>
      <c r="E298" s="181"/>
      <c r="F298" s="97"/>
      <c r="G298" s="97"/>
      <c r="H298" s="97"/>
      <c r="I298" s="97"/>
      <c r="J298" s="196"/>
    </row>
    <row r="299" s="96" customFormat="true" ht="15.75" hidden="false" customHeight="true" outlineLevel="0" collapsed="false">
      <c r="A299" s="191"/>
      <c r="B299" s="191"/>
      <c r="C299" s="181" t="s">
        <v>479</v>
      </c>
      <c r="D299" s="203"/>
      <c r="E299" s="204"/>
      <c r="F299" s="191"/>
      <c r="G299" s="97"/>
      <c r="H299" s="97"/>
      <c r="I299" s="97"/>
      <c r="J299" s="196"/>
    </row>
    <row r="300" s="96" customFormat="true" ht="15.75" hidden="false" customHeight="true" outlineLevel="0" collapsed="false">
      <c r="A300" s="190"/>
      <c r="B300" s="190"/>
      <c r="C300" s="185" t="n">
        <f aca="false">$I$147</f>
        <v>641.458333333333</v>
      </c>
      <c r="D300" s="205"/>
      <c r="E300" s="206"/>
      <c r="F300" s="189"/>
      <c r="G300" s="97"/>
      <c r="H300" s="97"/>
      <c r="I300" s="97"/>
      <c r="J300" s="196"/>
    </row>
    <row r="301" s="96" customFormat="true" ht="15.75" hidden="false" customHeight="true" outlineLevel="0" collapsed="false">
      <c r="A301" s="97"/>
      <c r="C301" s="187" t="n">
        <f aca="false">$J$147</f>
        <v>144</v>
      </c>
      <c r="D301" s="98"/>
      <c r="F301" s="97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5" t="n">
        <f aca="false">$I$148</f>
        <v>487.5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7" t="n">
        <f aca="false">$J$148</f>
        <v>96</v>
      </c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C304" s="185" t="n">
        <f aca="false">$I$149</f>
        <v>1333</v>
      </c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C305" s="187" t="n">
        <f aca="false">$J$149</f>
        <v>48</v>
      </c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C306" s="187"/>
      <c r="D306" s="98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184" t="s">
        <v>591</v>
      </c>
      <c r="D308" s="98"/>
      <c r="E308" s="97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1" t="s">
        <v>475</v>
      </c>
      <c r="D309" s="181"/>
      <c r="E309" s="181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1" t="s">
        <v>476</v>
      </c>
      <c r="D310" s="181"/>
      <c r="E310" s="181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C311" s="185" t="n">
        <f aca="false">$I$151</f>
        <v>2608</v>
      </c>
      <c r="D311" s="181"/>
      <c r="E311" s="181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C312" s="187" t="n">
        <f aca="false">$J$151+$J$152</f>
        <v>8</v>
      </c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LEFT($J$111,13)&amp;"-03"</f>
        <v>FG-240-6P3L3R-03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A316" s="97"/>
      <c r="B316" s="49"/>
      <c r="C316" s="49"/>
      <c r="D316" s="207"/>
      <c r="E316" s="200"/>
      <c r="F316" s="200"/>
      <c r="G316" s="200"/>
      <c r="H316" s="200"/>
      <c r="I316" s="208"/>
      <c r="J316" s="77" t="str">
        <f aca="false">$J$2</f>
        <v>HOMELIFE</v>
      </c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240-6 Panel (3L3R)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" hidden="false" customHeight="true" outlineLevel="0" collapsed="false">
      <c r="A334" s="90"/>
      <c r="B334" s="99"/>
      <c r="C334" s="98"/>
      <c r="D334" s="98"/>
      <c r="E334" s="97"/>
      <c r="F334" s="110"/>
      <c r="G334" s="110"/>
      <c r="H334" s="110"/>
      <c r="I334" s="97"/>
      <c r="J334" s="97"/>
    </row>
    <row r="335" s="96" customFormat="true" ht="15" hidden="false" customHeight="true" outlineLevel="0" collapsed="false">
      <c r="A335" s="90"/>
      <c r="B335" s="99"/>
      <c r="C335" s="98"/>
      <c r="D335" s="98"/>
      <c r="E335" s="97"/>
      <c r="F335" s="110"/>
      <c r="G335" s="110"/>
      <c r="H335" s="110"/>
      <c r="I335" s="97"/>
      <c r="J335" s="97"/>
    </row>
    <row r="336" s="96" customFormat="true" ht="15" hidden="false" customHeight="true" outlineLevel="0" collapsed="false">
      <c r="A336" s="90"/>
      <c r="B336" s="99"/>
      <c r="C336" s="98"/>
      <c r="D336" s="98"/>
      <c r="E336" s="97"/>
      <c r="F336" s="110"/>
      <c r="G336" s="110"/>
      <c r="H336" s="110"/>
      <c r="I336" s="97"/>
      <c r="J336" s="97"/>
    </row>
    <row r="337" s="96" customFormat="true" ht="15" hidden="false" customHeight="true" outlineLevel="0" collapsed="false">
      <c r="A337" s="90"/>
      <c r="B337" s="99"/>
      <c r="C337" s="98"/>
      <c r="D337" s="98"/>
      <c r="E337" s="97"/>
      <c r="F337" s="110"/>
      <c r="G337" s="110"/>
      <c r="H337" s="110"/>
      <c r="I337" s="97"/>
      <c r="J337" s="97"/>
    </row>
    <row r="338" s="96" customFormat="true" ht="15.75" hidden="false" customHeight="true" outlineLevel="0" collapsed="false">
      <c r="A338" s="97"/>
      <c r="B338" s="188"/>
      <c r="C338" s="182"/>
      <c r="D338" s="98"/>
      <c r="E338" s="97"/>
      <c r="F338" s="210"/>
      <c r="G338" s="210"/>
      <c r="H338" s="110"/>
      <c r="I338" s="97"/>
      <c r="J338" s="97"/>
    </row>
    <row r="339" s="96" customFormat="true" ht="15.75" hidden="false" customHeight="true" outlineLevel="0" collapsed="false">
      <c r="A339" s="81"/>
      <c r="B339" s="97"/>
      <c r="C339" s="98"/>
      <c r="D339" s="98"/>
      <c r="E339" s="97"/>
      <c r="F339" s="78"/>
      <c r="H339" s="97"/>
      <c r="I339" s="97"/>
      <c r="J339" s="97"/>
    </row>
    <row r="340" s="96" customFormat="true" ht="15.75" hidden="false" customHeight="true" outlineLevel="0" collapsed="false">
      <c r="A340" s="191"/>
      <c r="C340" s="212"/>
      <c r="D340" s="98"/>
      <c r="E340" s="97"/>
      <c r="F340" s="97"/>
      <c r="G340" s="97"/>
      <c r="H340" s="97"/>
      <c r="I340" s="191"/>
      <c r="J340" s="199"/>
    </row>
    <row r="341" s="96" customFormat="true" ht="15.75" hidden="false" customHeight="true" outlineLevel="0" collapsed="false">
      <c r="A341" s="190"/>
      <c r="C341" s="191"/>
      <c r="D341" s="192"/>
      <c r="E341" s="191"/>
      <c r="F341" s="191"/>
      <c r="G341" s="191"/>
      <c r="H341" s="191"/>
      <c r="I341" s="189"/>
      <c r="J341" s="190"/>
    </row>
    <row r="342" s="96" customFormat="true" ht="15.75" hidden="false" customHeight="true" outlineLevel="0" collapsed="false">
      <c r="A342" s="97"/>
      <c r="C342" s="98"/>
      <c r="D342" s="194"/>
      <c r="E342" s="190"/>
      <c r="F342" s="189"/>
      <c r="G342" s="190"/>
      <c r="H342" s="189"/>
      <c r="I342" s="196"/>
      <c r="J342" s="196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7"/>
      <c r="I343" s="196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201"/>
      <c r="J344" s="201"/>
    </row>
    <row r="345" s="96" customFormat="true" ht="15.75" hidden="false" customHeight="true" outlineLevel="0" collapsed="false">
      <c r="A345" s="97"/>
      <c r="C345" s="191"/>
      <c r="D345" s="98"/>
      <c r="E345" s="97"/>
      <c r="F345" s="98"/>
      <c r="G345" s="97"/>
      <c r="H345" s="201"/>
      <c r="I345" s="98"/>
      <c r="J345" s="98"/>
    </row>
    <row r="346" s="96" customFormat="true" ht="15.75" hidden="false" customHeight="true" outlineLevel="0" collapsed="false">
      <c r="A346" s="97"/>
      <c r="C346" s="182"/>
      <c r="D346" s="98"/>
      <c r="E346" s="97"/>
      <c r="F346" s="98"/>
      <c r="G346" s="97"/>
      <c r="H346" s="98"/>
      <c r="I346" s="98"/>
      <c r="J346" s="98"/>
    </row>
    <row r="347" s="96" customFormat="true" ht="15.75" hidden="false" customHeight="true" outlineLevel="0" collapsed="false">
      <c r="A347" s="97"/>
      <c r="C347" s="98"/>
      <c r="D347" s="98"/>
      <c r="E347" s="97"/>
      <c r="F347" s="98"/>
      <c r="G347" s="97"/>
      <c r="H347" s="98"/>
      <c r="I347" s="97"/>
      <c r="J347" s="196"/>
    </row>
    <row r="348" s="96" customFormat="true" ht="15.75" hidden="false" customHeight="true" outlineLevel="0" collapsed="false">
      <c r="A348" s="97"/>
      <c r="C348" s="98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D350" s="98"/>
      <c r="E350" s="97"/>
      <c r="F350" s="98"/>
      <c r="G350" s="97"/>
      <c r="H350" s="97"/>
      <c r="I350" s="196"/>
      <c r="J350" s="196"/>
    </row>
    <row r="351" s="96" customFormat="true" ht="15.75" hidden="false" customHeight="true" outlineLevel="0" collapsed="false">
      <c r="A351" s="97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C352" s="191"/>
      <c r="D352" s="98"/>
      <c r="E352" s="97"/>
      <c r="F352" s="98"/>
      <c r="G352" s="97"/>
      <c r="H352" s="97"/>
      <c r="I352" s="196"/>
      <c r="J352" s="196"/>
    </row>
    <row r="353" s="96" customFormat="true" ht="15.75" hidden="false" customHeight="true" outlineLevel="0" collapsed="false">
      <c r="A353" s="97"/>
      <c r="C353" s="98"/>
      <c r="D353" s="98"/>
      <c r="E353" s="97"/>
      <c r="F353" s="98"/>
      <c r="G353" s="97"/>
      <c r="H353" s="97"/>
      <c r="I353" s="196"/>
      <c r="J353" s="196"/>
    </row>
    <row r="354" s="96" customFormat="true" ht="15.75" hidden="false" customHeight="true" outlineLevel="0" collapsed="false">
      <c r="A354" s="97"/>
      <c r="C354" s="98"/>
      <c r="D354" s="98"/>
      <c r="E354" s="97"/>
      <c r="F354" s="98"/>
      <c r="G354" s="97"/>
      <c r="H354" s="97"/>
      <c r="I354" s="97"/>
      <c r="J354" s="196"/>
    </row>
    <row r="355" s="96" customFormat="true" ht="15.75" hidden="false" customHeight="true" outlineLevel="0" collapsed="false">
      <c r="A355" s="97"/>
      <c r="C355" s="98"/>
      <c r="D355" s="98"/>
      <c r="E355" s="97"/>
      <c r="F355" s="98"/>
      <c r="G355" s="97"/>
      <c r="H355" s="97"/>
      <c r="I355" s="196"/>
      <c r="J355" s="196"/>
    </row>
    <row r="356" s="96" customFormat="true" ht="15.75" hidden="false" customHeight="true" outlineLevel="0" collapsed="false">
      <c r="A356" s="97"/>
      <c r="D356" s="98"/>
      <c r="E356" s="97"/>
      <c r="F356" s="97"/>
      <c r="G356" s="97"/>
      <c r="H356" s="97"/>
      <c r="I356" s="196"/>
      <c r="J356" s="196"/>
    </row>
    <row r="357" s="96" customFormat="true" ht="15" hidden="false" customHeight="true" outlineLevel="0" collapsed="false">
      <c r="A357" s="97"/>
      <c r="D357" s="98"/>
      <c r="E357" s="97"/>
      <c r="F357" s="97"/>
      <c r="G357" s="97"/>
      <c r="H357" s="195"/>
      <c r="I357" s="196"/>
      <c r="J357" s="196"/>
    </row>
    <row r="358" s="202" customFormat="true" ht="15.75" hidden="false" customHeight="true" outlineLevel="0" collapsed="false">
      <c r="A358" s="97"/>
      <c r="B358" s="96"/>
      <c r="C358" s="96"/>
      <c r="D358" s="98"/>
      <c r="E358" s="97"/>
      <c r="F358" s="97"/>
      <c r="G358" s="97"/>
      <c r="H358" s="97"/>
      <c r="I358" s="97"/>
      <c r="J358" s="97"/>
    </row>
    <row r="359" s="96" customFormat="true" ht="15.75" hidden="false" customHeight="true" outlineLevel="0" collapsed="false">
      <c r="A359" s="191"/>
      <c r="D359" s="98"/>
      <c r="E359" s="97"/>
      <c r="F359" s="97"/>
      <c r="G359" s="97"/>
      <c r="H359" s="97"/>
      <c r="I359" s="191"/>
      <c r="J359" s="199"/>
    </row>
    <row r="360" s="96" customFormat="true" ht="15.75" hidden="false" customHeight="true" outlineLevel="0" collapsed="false">
      <c r="A360" s="190"/>
      <c r="B360" s="191"/>
      <c r="C360" s="191"/>
      <c r="D360" s="192"/>
      <c r="E360" s="191"/>
      <c r="F360" s="191"/>
      <c r="G360" s="191"/>
      <c r="H360" s="191"/>
      <c r="I360" s="189"/>
      <c r="J360" s="190"/>
    </row>
    <row r="361" s="96" customFormat="true" ht="15.75" hidden="false" customHeight="true" outlineLevel="0" collapsed="false">
      <c r="A361" s="200"/>
      <c r="B361" s="190"/>
      <c r="C361" s="191"/>
      <c r="D361" s="194"/>
      <c r="E361" s="190"/>
      <c r="F361" s="189"/>
      <c r="G361" s="190"/>
      <c r="H361" s="189"/>
      <c r="I361" s="196"/>
      <c r="J361" s="196"/>
    </row>
    <row r="362" s="96" customFormat="true" ht="15.75" hidden="false" customHeight="true" outlineLevel="0" collapsed="false">
      <c r="A362" s="200"/>
      <c r="C362" s="182"/>
      <c r="D362" s="98"/>
      <c r="E362" s="97"/>
      <c r="F362" s="97"/>
      <c r="G362" s="97"/>
      <c r="H362" s="182"/>
      <c r="I362" s="98"/>
      <c r="J362" s="98"/>
    </row>
    <row r="363" s="96" customFormat="true" ht="15.75" hidden="false" customHeight="true" outlineLevel="0" collapsed="false">
      <c r="A363" s="200"/>
      <c r="C363" s="98"/>
      <c r="D363" s="98"/>
      <c r="E363" s="97"/>
      <c r="F363" s="97"/>
      <c r="G363" s="97"/>
      <c r="H363" s="98"/>
      <c r="I363" s="98"/>
      <c r="J363" s="98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8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C368" s="98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G372" s="97"/>
      <c r="H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I376" s="196"/>
      <c r="J376" s="196"/>
    </row>
    <row r="377" s="96" customFormat="true" ht="15.75" hidden="false" customHeight="true" outlineLevel="0" collapsed="false">
      <c r="A377" s="200"/>
      <c r="D377" s="98"/>
      <c r="E377" s="97"/>
      <c r="F377" s="97"/>
      <c r="G377" s="97"/>
      <c r="H377" s="97"/>
      <c r="I377" s="196"/>
      <c r="J377" s="196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7"/>
      <c r="I378" s="196"/>
      <c r="J378" s="196"/>
    </row>
    <row r="379" s="96" customFormat="true" ht="15.75" hidden="false" customHeight="true" outlineLevel="0" collapsed="false">
      <c r="A379" s="200"/>
      <c r="D379" s="98"/>
      <c r="E379" s="97"/>
      <c r="F379" s="97"/>
      <c r="G379" s="97"/>
      <c r="H379" s="97"/>
      <c r="I379" s="196"/>
      <c r="J379" s="196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182"/>
      <c r="I380" s="98"/>
      <c r="J380" s="98"/>
    </row>
    <row r="381" s="96" customFormat="true" ht="15.75" hidden="false" customHeight="true" outlineLevel="0" collapsed="false">
      <c r="A381" s="200"/>
      <c r="C381" s="188"/>
      <c r="D381" s="98"/>
      <c r="E381" s="97"/>
      <c r="F381" s="97"/>
      <c r="G381" s="97"/>
      <c r="H381" s="98"/>
      <c r="I381" s="98"/>
      <c r="J381" s="98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8"/>
      <c r="I382" s="196"/>
      <c r="J382" s="196"/>
    </row>
    <row r="383" s="96" customFormat="true" ht="15.75" hidden="false" customHeight="true" outlineLevel="0" collapsed="false">
      <c r="A383" s="200"/>
      <c r="C383" s="98"/>
      <c r="D383" s="98"/>
      <c r="E383" s="97"/>
      <c r="F383" s="97"/>
      <c r="G383" s="97"/>
      <c r="H383" s="182"/>
      <c r="I383" s="98"/>
      <c r="J383" s="98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8"/>
      <c r="I384" s="98"/>
      <c r="J384" s="98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8"/>
      <c r="I385" s="196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196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196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97"/>
      <c r="J388" s="196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97"/>
      <c r="I389" s="97"/>
      <c r="J389" s="196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7"/>
      <c r="J390" s="196"/>
    </row>
    <row r="391" s="96" customFormat="true" ht="15.75" hidden="false" customHeight="true" outlineLevel="0" collapsed="false">
      <c r="A391" s="200"/>
      <c r="D391" s="98"/>
      <c r="E391" s="97"/>
      <c r="F391" s="97"/>
      <c r="G391" s="97"/>
      <c r="H391" s="97"/>
      <c r="I391" s="97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213"/>
      <c r="J392" s="213"/>
    </row>
    <row r="393" s="96" customFormat="true" ht="15.75" hidden="false" customHeight="true" outlineLevel="0" collapsed="false">
      <c r="A393" s="200"/>
      <c r="D393" s="98"/>
      <c r="E393" s="97"/>
      <c r="F393" s="97"/>
      <c r="G393" s="97"/>
      <c r="H393" s="213"/>
      <c r="I393" s="97"/>
      <c r="J393" s="97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98"/>
      <c r="J394" s="98"/>
    </row>
    <row r="395" s="96" customFormat="true" ht="15.75" hidden="false" customHeight="true" outlineLevel="0" collapsed="false">
      <c r="A395" s="200"/>
      <c r="C395" s="188"/>
      <c r="D395" s="98"/>
      <c r="E395" s="97"/>
      <c r="F395" s="97"/>
      <c r="G395" s="97"/>
      <c r="H395" s="98"/>
      <c r="I395" s="196"/>
      <c r="J395" s="196"/>
    </row>
    <row r="396" s="96" customFormat="true" ht="15.75" hidden="false" customHeight="true" outlineLevel="0" collapsed="false">
      <c r="A396" s="200"/>
      <c r="D396" s="98"/>
      <c r="E396" s="97"/>
      <c r="F396" s="97"/>
      <c r="G396" s="97"/>
      <c r="H396" s="97"/>
      <c r="I396" s="97"/>
      <c r="J396" s="196"/>
    </row>
    <row r="397" s="96" customFormat="true" ht="15.75" hidden="false" customHeight="true" outlineLevel="0" collapsed="false">
      <c r="A397" s="200"/>
      <c r="C397" s="98"/>
      <c r="D397" s="98"/>
      <c r="E397" s="97"/>
      <c r="F397" s="97"/>
      <c r="G397" s="97"/>
      <c r="H397" s="97"/>
      <c r="I397" s="196"/>
      <c r="J397" s="196"/>
    </row>
    <row r="398" s="96" customFormat="true" ht="15.75" hidden="false" customHeight="true" outlineLevel="0" collapsed="false">
      <c r="A398" s="200"/>
      <c r="D398" s="98"/>
      <c r="E398" s="97"/>
      <c r="F398" s="97"/>
      <c r="G398" s="97"/>
      <c r="H398" s="97"/>
      <c r="I398" s="196"/>
      <c r="J398" s="196"/>
    </row>
    <row r="399" s="96" customFormat="true" ht="15.75" hidden="false" customHeight="true" outlineLevel="0" collapsed="false">
      <c r="A399" s="200"/>
      <c r="D399" s="98"/>
      <c r="E399" s="97"/>
      <c r="F399" s="97"/>
      <c r="G399" s="97"/>
      <c r="H399" s="97"/>
      <c r="I399" s="196"/>
      <c r="J399" s="196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96" customFormat="true" ht="15.75" hidden="false" customHeight="true" outlineLevel="0" collapsed="false">
      <c r="A404" s="107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07"/>
      <c r="D405" s="98"/>
      <c r="E405" s="97"/>
      <c r="F405" s="97"/>
      <c r="G405" s="97"/>
      <c r="H405" s="97"/>
      <c r="I405" s="97"/>
      <c r="J405" s="97"/>
    </row>
    <row r="406" s="96" customFormat="true" ht="15.75" hidden="false" customHeight="true" outlineLevel="0" collapsed="false">
      <c r="A406" s="107"/>
      <c r="D406" s="98"/>
      <c r="E406" s="97"/>
      <c r="F406" s="97"/>
      <c r="G406" s="97"/>
      <c r="H406" s="97"/>
      <c r="I406" s="97"/>
      <c r="J406" s="97"/>
    </row>
    <row r="407" s="96" customFormat="true" ht="15.75" hidden="false" customHeight="true" outlineLevel="0" collapsed="false">
      <c r="A407" s="107"/>
      <c r="D407" s="98"/>
      <c r="E407" s="97"/>
      <c r="F407" s="97"/>
      <c r="G407" s="97"/>
      <c r="H407" s="97"/>
      <c r="I407" s="97"/>
      <c r="J407" s="97"/>
    </row>
    <row r="408" s="202" customFormat="true" ht="15.75" hidden="false" customHeight="true" outlineLevel="0" collapsed="false">
      <c r="A408" s="107"/>
      <c r="B408" s="96"/>
      <c r="C408" s="96"/>
      <c r="D408" s="98"/>
      <c r="E408" s="97"/>
      <c r="F408" s="97"/>
      <c r="G408" s="97"/>
      <c r="H408" s="97"/>
      <c r="I408" s="97"/>
      <c r="J408" s="97"/>
    </row>
    <row r="409" s="96" customFormat="true" ht="15.75" hidden="false" customHeight="true" outlineLevel="0" collapsed="false">
      <c r="A409" s="191"/>
      <c r="D409" s="98"/>
      <c r="E409" s="97"/>
      <c r="F409" s="97"/>
      <c r="G409" s="97"/>
      <c r="H409" s="97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LEFT($J$111,13)&amp;"-04"</f>
        <v>FG-240-6P3L3R-04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77" t="str">
        <f aca="false">$J$2</f>
        <v>HOMELIFE</v>
      </c>
      <c r="K423" s="78"/>
      <c r="L423" s="78"/>
      <c r="M423" s="79"/>
      <c r="N423" s="79"/>
    </row>
    <row r="424" customFormat="false" ht="24.75" hidden="false" customHeight="true" outlineLevel="0" collapsed="false">
      <c r="A424" s="97"/>
      <c r="B424" s="96"/>
      <c r="C424" s="96"/>
      <c r="D424" s="98"/>
      <c r="E424" s="97"/>
      <c r="F424" s="97"/>
      <c r="G424" s="97"/>
      <c r="H424" s="97"/>
      <c r="I424" s="97"/>
      <c r="J424" s="80" t="str">
        <f aca="false">$J$3</f>
        <v>Fabricators Guide</v>
      </c>
      <c r="K424" s="78"/>
      <c r="L424" s="78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$J$4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240-6 Panel (3L3R)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191"/>
      <c r="C442" s="212"/>
      <c r="D442" s="98"/>
      <c r="E442" s="97"/>
      <c r="F442" s="97"/>
      <c r="H442" s="191"/>
      <c r="I442" s="191"/>
      <c r="J442" s="199"/>
    </row>
    <row r="443" s="96" customFormat="true" ht="15.75" hidden="false" customHeight="true" outlineLevel="0" collapsed="false">
      <c r="A443" s="190"/>
      <c r="C443" s="191"/>
      <c r="D443" s="192"/>
      <c r="E443" s="191"/>
      <c r="F443" s="191"/>
      <c r="H443" s="191"/>
      <c r="I443" s="191"/>
      <c r="J443" s="199"/>
    </row>
    <row r="444" s="96" customFormat="true" ht="34.5" hidden="false" customHeight="true" outlineLevel="0" collapsed="false">
      <c r="A444" s="97"/>
      <c r="C444" s="98"/>
      <c r="D444" s="194"/>
      <c r="E444" s="190"/>
      <c r="F444" s="189"/>
      <c r="H444" s="191"/>
      <c r="I444" s="196"/>
      <c r="J444" s="196"/>
    </row>
    <row r="445" customFormat="false" ht="15" hidden="false" customHeight="true" outlineLevel="0" collapsed="false">
      <c r="B445" s="211"/>
      <c r="C445" s="98"/>
      <c r="D445" s="98"/>
      <c r="E445" s="97"/>
      <c r="F445" s="98"/>
      <c r="G445" s="97"/>
      <c r="H445" s="97"/>
    </row>
    <row r="450" s="96" customFormat="true" ht="15.75" hidden="false" customHeight="true" outlineLevel="0" collapsed="false">
      <c r="A450" s="97"/>
      <c r="D450" s="73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191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97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196"/>
      <c r="J457" s="196"/>
    </row>
    <row r="458" s="96" customFormat="true" ht="15.7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195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202" customFormat="true" ht="15.75" hidden="false" customHeight="true" outlineLevel="0" collapsed="false">
      <c r="A477" s="97"/>
      <c r="B477" s="96"/>
      <c r="C477" s="96"/>
      <c r="D477" s="98"/>
      <c r="E477" s="97"/>
      <c r="F477" s="97"/>
      <c r="G477" s="97"/>
      <c r="H477" s="97"/>
      <c r="I477" s="97"/>
      <c r="J477" s="97"/>
    </row>
    <row r="478" s="96" customFormat="true" ht="15.75" hidden="false" customHeight="true" outlineLevel="0" collapsed="false">
      <c r="A478" s="191"/>
      <c r="D478" s="98"/>
      <c r="E478" s="97"/>
      <c r="F478" s="97"/>
      <c r="G478" s="97"/>
      <c r="H478" s="97"/>
      <c r="I478" s="191"/>
      <c r="J478" s="199"/>
    </row>
    <row r="479" s="96" customFormat="true" ht="15.75" hidden="false" customHeight="true" outlineLevel="0" collapsed="false">
      <c r="A479" s="190"/>
      <c r="B479" s="191"/>
      <c r="C479" s="191"/>
      <c r="D479" s="192"/>
      <c r="E479" s="191"/>
      <c r="F479" s="191"/>
      <c r="G479" s="191"/>
      <c r="H479" s="191"/>
      <c r="I479" s="189"/>
      <c r="J479" s="190"/>
    </row>
    <row r="480" s="96" customFormat="true" ht="15.75" hidden="false" customHeight="true" outlineLevel="0" collapsed="false">
      <c r="A480" s="200"/>
      <c r="B480" s="190"/>
      <c r="C480" s="191"/>
      <c r="D480" s="194"/>
      <c r="E480" s="190"/>
      <c r="F480" s="189"/>
      <c r="G480" s="190"/>
      <c r="H480" s="189"/>
      <c r="I480" s="196"/>
      <c r="J480" s="196"/>
    </row>
    <row r="481" s="96" customFormat="true" ht="15.75" hidden="false" customHeight="true" outlineLevel="0" collapsed="false">
      <c r="A481" s="200"/>
      <c r="C481" s="182"/>
      <c r="D481" s="98"/>
      <c r="E481" s="97"/>
      <c r="F481" s="97"/>
      <c r="G481" s="97"/>
      <c r="H481" s="182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C487" s="98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182"/>
      <c r="J499" s="97"/>
    </row>
    <row r="500" s="96" customFormat="true" ht="15.75" hidden="false" customHeight="true" outlineLevel="0" collapsed="false">
      <c r="A500" s="200"/>
      <c r="C500" s="188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I501" s="196"/>
      <c r="J501" s="196"/>
    </row>
    <row r="502" s="96" customFormat="true" ht="15.75" hidden="false" customHeight="true" outlineLevel="0" collapsed="false">
      <c r="A502" s="200"/>
      <c r="C502" s="98"/>
      <c r="D502" s="98"/>
      <c r="E502" s="97"/>
      <c r="F502" s="97"/>
      <c r="G502" s="97"/>
      <c r="H502" s="182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212"/>
      <c r="J513" s="195"/>
    </row>
    <row r="514" s="96" customFormat="true" ht="15.75" hidden="false" customHeight="true" outlineLevel="0" collapsed="false">
      <c r="A514" s="200"/>
      <c r="D514" s="98"/>
      <c r="E514" s="97"/>
      <c r="F514" s="97"/>
      <c r="G514" s="97"/>
      <c r="H514" s="238"/>
      <c r="J514" s="97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B516" s="191"/>
      <c r="C516" s="191"/>
      <c r="D516" s="192"/>
      <c r="E516" s="191"/>
      <c r="F516" s="191"/>
      <c r="G516" s="191"/>
      <c r="H516" s="191"/>
    </row>
    <row r="517" s="96" customFormat="true" ht="15.75" hidden="false" customHeight="true" outlineLevel="0" collapsed="false"/>
    <row r="518" s="96" customFormat="true" ht="24.75" hidden="false" customHeight="true" outlineLevel="0" collapsed="false">
      <c r="A518" s="88" t="s">
        <v>482</v>
      </c>
      <c r="B518" s="88"/>
      <c r="C518" s="88"/>
      <c r="D518" s="88"/>
      <c r="E518" s="88"/>
      <c r="F518" s="88"/>
      <c r="G518" s="88"/>
      <c r="H518" s="88"/>
      <c r="I518" s="88"/>
      <c r="J518" s="88"/>
    </row>
    <row r="519" s="96" customFormat="true" ht="34.5" hidden="false" customHeight="true" outlineLevel="0" collapsed="false">
      <c r="A519" s="114" t="s">
        <v>319</v>
      </c>
      <c r="B519" s="115" t="s">
        <v>168</v>
      </c>
      <c r="C519" s="115" t="s">
        <v>168</v>
      </c>
      <c r="D519" s="116" t="s">
        <v>483</v>
      </c>
      <c r="E519" s="115" t="s">
        <v>321</v>
      </c>
      <c r="F519" s="239" t="s">
        <v>484</v>
      </c>
      <c r="G519" s="240"/>
      <c r="H519" s="116" t="s">
        <v>484</v>
      </c>
      <c r="I519" s="116" t="s">
        <v>485</v>
      </c>
      <c r="J519" s="117" t="s">
        <v>323</v>
      </c>
      <c r="N519" s="118" t="s">
        <v>168</v>
      </c>
      <c r="O519" s="118" t="s">
        <v>168</v>
      </c>
    </row>
    <row r="520" s="96" customFormat="true" ht="15.75" hidden="false" customHeight="true" outlineLevel="0" collapsed="false">
      <c r="A520" s="120" t="n">
        <f aca="false">IF(C520="","",1)</f>
        <v>1</v>
      </c>
      <c r="B520" s="121" t="str">
        <f aca="false"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 aca="false">IF($D$127=5,O520,IF($D$127=6,O521,IF($D$127=8,O522,IF($D$127=10,O523,IF($D$127=12,O524,IF($D$127=14,O525,IF($D$127=18,O526,IF($D$127=20,O527,IF($D$127=22,O528,)))))))))</f>
        <v>GLASS thk.6 mm (H) (W)</v>
      </c>
      <c r="D520" s="225" t="n">
        <f aca="false">$I$126-85.5</f>
        <v>514.5</v>
      </c>
      <c r="E520" s="120" t="s">
        <v>486</v>
      </c>
      <c r="F520" s="224" t="s">
        <v>626</v>
      </c>
      <c r="G520" s="224"/>
      <c r="H520" s="120" t="s">
        <v>680</v>
      </c>
      <c r="I520" s="225" t="n">
        <f aca="false">(($J$128-185-(113.25*5))/6)-13</f>
        <v>628.458333333333</v>
      </c>
      <c r="J520" s="226" t="n">
        <f aca="false">$J$120*12</f>
        <v>48</v>
      </c>
      <c r="M520" s="96" t="n">
        <f aca="false">ROW()</f>
        <v>520</v>
      </c>
      <c r="N520" s="62" t="s">
        <v>489</v>
      </c>
      <c r="O520" s="62" t="s">
        <v>490</v>
      </c>
    </row>
    <row r="521" s="96" customFormat="true" ht="15.75" hidden="false" customHeight="true" outlineLevel="0" collapsed="false">
      <c r="A521" s="130" t="n">
        <f aca="false">IF(C521="","",+A520+1)</f>
        <v>2</v>
      </c>
      <c r="B521" s="131" t="str">
        <f aca="false">IF($D$127=5,N520,IF($D$127=6,N521,IF($D$127=8,N522,IF($D$127=10,N523,IF($D$127=12,N524,IF($D$127=14,N525,IF($D$127=18,N526,IF($D$127=20,N527,IF($D$127=22,N528,)))))))))</f>
        <v>กระจก 6 mm (สูง) (กว้าง)</v>
      </c>
      <c r="C521" s="131" t="str">
        <f aca="false">IF($D$127=5,O520,IF($D$127=6,O521,IF($D$127=8,O522,IF($D$127=10,O523,IF($D$127=12,O524,IF($D$127=14,O525,IF($D$127=18,O526,IF($D$127=20,O527,IF($D$127=22,O528,)))))))))</f>
        <v>GLASS thk.6 mm (H) (W)</v>
      </c>
      <c r="D521" s="167" t="n">
        <f aca="false">$J$126-48</f>
        <v>1360</v>
      </c>
      <c r="E521" s="167"/>
      <c r="F521" s="300" t="s">
        <v>627</v>
      </c>
      <c r="G521" s="300"/>
      <c r="H521" s="167" t="s">
        <v>680</v>
      </c>
      <c r="I521" s="299" t="n">
        <f aca="false">(($J$128-185-(113.25*5))/6)-13</f>
        <v>628.458333333333</v>
      </c>
      <c r="J521" s="232" t="n">
        <f aca="false">$J$120*6</f>
        <v>24</v>
      </c>
      <c r="M521" s="96" t="n">
        <f aca="false">ROW()</f>
        <v>521</v>
      </c>
      <c r="N521" s="62" t="s">
        <v>491</v>
      </c>
      <c r="O521" s="62" t="s">
        <v>492</v>
      </c>
    </row>
    <row r="522" s="96" customFormat="true" ht="15.75" hidden="false" customHeight="true" outlineLevel="0" collapsed="false">
      <c r="A522" s="130" t="str">
        <f aca="false">IF(C522="","",+A521+1)</f>
        <v/>
      </c>
      <c r="B522" s="228"/>
      <c r="C522" s="228"/>
      <c r="D522" s="176"/>
      <c r="E522" s="167"/>
      <c r="F522" s="229"/>
      <c r="G522" s="230"/>
      <c r="H522" s="167"/>
      <c r="I522" s="231"/>
      <c r="J522" s="232"/>
      <c r="M522" s="96" t="n">
        <f aca="false">ROW()</f>
        <v>522</v>
      </c>
      <c r="N522" s="62" t="s">
        <v>493</v>
      </c>
      <c r="O522" s="62" t="s">
        <v>494</v>
      </c>
    </row>
    <row r="523" s="96" customFormat="true" ht="15.75" hidden="false" customHeight="true" outlineLevel="0" collapsed="false">
      <c r="A523" s="130" t="str">
        <f aca="false">IF(C523="","",+A522+1)</f>
        <v/>
      </c>
      <c r="B523" s="131"/>
      <c r="C523" s="131"/>
      <c r="D523" s="132"/>
      <c r="E523" s="130"/>
      <c r="F523" s="233"/>
      <c r="G523" s="270"/>
      <c r="H523" s="130"/>
      <c r="I523" s="142"/>
      <c r="J523" s="133"/>
      <c r="M523" s="96" t="n">
        <f aca="false">ROW()</f>
        <v>523</v>
      </c>
      <c r="N523" s="62" t="s">
        <v>495</v>
      </c>
      <c r="O523" s="62" t="s">
        <v>496</v>
      </c>
    </row>
    <row r="524" s="96" customFormat="true" ht="15.75" hidden="false" customHeight="true" outlineLevel="0" collapsed="false">
      <c r="A524" s="136" t="str">
        <f aca="false">IF(B524="","",+A523+1)</f>
        <v/>
      </c>
      <c r="B524" s="135"/>
      <c r="C524" s="135"/>
      <c r="D524" s="139"/>
      <c r="E524" s="136"/>
      <c r="F524" s="236"/>
      <c r="G524" s="237"/>
      <c r="H524" s="136"/>
      <c r="I524" s="180"/>
      <c r="J524" s="140"/>
      <c r="M524" s="96" t="n">
        <f aca="false">ROW()</f>
        <v>524</v>
      </c>
      <c r="N524" s="62" t="s">
        <v>497</v>
      </c>
      <c r="O524" s="62" t="s">
        <v>498</v>
      </c>
    </row>
    <row r="525" s="96" customFormat="true" ht="15.75" hidden="false" customHeight="true" outlineLevel="0" collapsed="false">
      <c r="A525" s="97"/>
      <c r="D525" s="98"/>
      <c r="E525" s="97"/>
      <c r="F525" s="97"/>
      <c r="G525" s="97"/>
      <c r="H525" s="97"/>
      <c r="I525" s="97"/>
      <c r="J525" s="196"/>
      <c r="M525" s="96" t="n">
        <f aca="false">ROW()</f>
        <v>525</v>
      </c>
      <c r="N525" s="62" t="s">
        <v>499</v>
      </c>
      <c r="O525" s="62" t="s">
        <v>500</v>
      </c>
    </row>
    <row r="526" customFormat="false" ht="14.25" hidden="false" customHeight="false" outlineLevel="0" collapsed="false">
      <c r="J526" s="92" t="str">
        <f aca="false">LEFT($J$111,13)&amp;"-05"</f>
        <v>FG-240-6P3L3R-05</v>
      </c>
      <c r="M526" s="96" t="n">
        <f aca="false">ROW()</f>
        <v>526</v>
      </c>
      <c r="N526" s="62" t="s">
        <v>501</v>
      </c>
      <c r="O526" s="62" t="s">
        <v>502</v>
      </c>
    </row>
    <row r="527" customFormat="false" ht="14.25" hidden="false" customHeight="false" outlineLevel="0" collapsed="false">
      <c r="M527" s="96" t="n">
        <f aca="false">ROW()</f>
        <v>527</v>
      </c>
      <c r="N527" s="62" t="s">
        <v>503</v>
      </c>
      <c r="O527" s="62" t="s">
        <v>504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505</v>
      </c>
      <c r="O528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D127:G127"/>
    <mergeCell ref="H128:I129"/>
    <mergeCell ref="J128:J129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8"/>
    <mergeCell ref="H163:H168"/>
    <mergeCell ref="I166:J167"/>
    <mergeCell ref="I168:J168"/>
    <mergeCell ref="D169:D171"/>
    <mergeCell ref="H169:H171"/>
    <mergeCell ref="D173:D174"/>
    <mergeCell ref="H173:H174"/>
    <mergeCell ref="A175:J175"/>
    <mergeCell ref="A213:J213"/>
    <mergeCell ref="A320:J320"/>
    <mergeCell ref="F330:G330"/>
    <mergeCell ref="F331:G331"/>
    <mergeCell ref="F338:G338"/>
    <mergeCell ref="A427:J427"/>
    <mergeCell ref="A518:J518"/>
    <mergeCell ref="F520:G520"/>
    <mergeCell ref="F521:G521"/>
  </mergeCells>
  <dataValidations count="4">
    <dataValidation allowBlank="true" errorStyle="stop" operator="between" showDropDown="false" showErrorMessage="true" showInputMessage="true" sqref="D129:G129" type="list">
      <formula1>$O$120</formula1>
      <formula2>0</formula2>
    </dataValidation>
    <dataValidation allowBlank="true" errorStyle="stop" operator="between" showDropDown="false" showErrorMessage="true" showInputMessage="true" sqref="C206" type="list">
      <formula1>$O$177:$O$195</formula1>
      <formula2>0</formula2>
    </dataValidation>
    <dataValidation allowBlank="true" errorStyle="stop" operator="between" showDropDown="false" showErrorMessage="true" showInputMessage="true" sqref="D127:G127" type="list">
      <formula1>$N$120:$N$128</formula1>
      <formula2>0</formula2>
    </dataValidation>
    <dataValidation allowBlank="true" errorStyle="stop" operator="between" showDropDown="false" showErrorMessage="true" showInputMessage="true" sqref="D123:G123" type="list">
      <formula1>$P$119:$P$128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528"/>
  <sheetViews>
    <sheetView showFormulas="false" showGridLines="false" showRowColHeaders="true" showZeros="true" rightToLeft="false" tabSelected="false" showOutlineSymbols="true" defaultGridColor="true" view="pageBreakPreview" topLeftCell="A106" colorId="64" zoomScale="75" zoomScaleNormal="75" zoomScalePageLayoutView="75" workbookViewId="0">
      <selection pane="topLeft" activeCell="D127" activeCellId="0" sqref="D127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34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7.88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11"/>
    <col collapsed="false" customWidth="true" hidden="true" outlineLevel="1" max="18" min="18" style="0" width="13.88"/>
    <col collapsed="false" customWidth="true" hidden="true" outlineLevel="1" max="19" min="19" style="0" width="11.44"/>
    <col collapsed="false" customWidth="true" hidden="true" outlineLevel="1" max="20" min="20" style="0" width="15"/>
    <col collapsed="false" customWidth="true" hidden="true" outlineLevel="1" max="21" min="21" style="0" width="23.44"/>
    <col collapsed="false" customWidth="true" hidden="true" outlineLevel="1" max="22" min="22" style="0" width="10.66"/>
    <col collapsed="false" customWidth="true" hidden="true" outlineLevel="1" max="23" min="23" style="0" width="7.67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694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>
      <c r="G45" s="91"/>
    </row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695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5" hidden="false" customHeight="true" outlineLevel="0" collapsed="false">
      <c r="A118" s="97"/>
      <c r="C118" s="81"/>
      <c r="D118" s="98"/>
      <c r="E118" s="83"/>
      <c r="J118" s="99"/>
      <c r="K118" s="83"/>
    </row>
    <row r="119" s="96" customFormat="true" ht="15" hidden="false" customHeight="true" outlineLevel="0" collapsed="false">
      <c r="A119" s="97"/>
      <c r="C119" s="100" t="s">
        <v>286</v>
      </c>
      <c r="D119" s="101"/>
      <c r="E119" s="101"/>
      <c r="F119" s="101"/>
      <c r="G119" s="101"/>
      <c r="I119" s="83"/>
      <c r="J119" s="97"/>
      <c r="N119" s="258" t="s">
        <v>288</v>
      </c>
      <c r="O119" s="97" t="s">
        <v>289</v>
      </c>
      <c r="P119" s="102" t="s">
        <v>290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5</v>
      </c>
      <c r="O120" s="97" t="s">
        <v>509</v>
      </c>
      <c r="P120" s="106" t="s">
        <v>294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6</v>
      </c>
      <c r="O121" s="97" t="s">
        <v>296</v>
      </c>
      <c r="P121" s="106" t="s">
        <v>297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8</v>
      </c>
      <c r="P122" s="106" t="s">
        <v>299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2500</v>
      </c>
      <c r="N123" s="259" t="n">
        <v>10</v>
      </c>
      <c r="P123" s="106" t="s">
        <v>303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12</v>
      </c>
      <c r="P124" s="106" t="s">
        <v>305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14</v>
      </c>
      <c r="P125" s="106" t="s">
        <v>308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3500</v>
      </c>
      <c r="K126" s="110"/>
      <c r="L126" s="110"/>
      <c r="N126" s="259" t="n">
        <v>18</v>
      </c>
      <c r="P126" s="106" t="s">
        <v>311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259" t="n">
        <v>20</v>
      </c>
      <c r="P127" s="106" t="s">
        <v>313</v>
      </c>
    </row>
    <row r="128" s="96" customFormat="true" ht="18.75" hidden="false" customHeight="true" outlineLevel="0" collapsed="false">
      <c r="C128" s="108" t="s">
        <v>314</v>
      </c>
      <c r="I128" s="97"/>
      <c r="J128" s="97"/>
      <c r="N128" s="259" t="n">
        <v>22</v>
      </c>
      <c r="P128" s="106" t="s">
        <v>315</v>
      </c>
    </row>
    <row r="129" s="96" customFormat="true" ht="15" hidden="false" customHeight="true" outlineLevel="0" collapsed="false">
      <c r="A129" s="89" t="str">
        <f aca="false">A18</f>
        <v>240-6 Panel (5L1R)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309" t="s">
        <v>561</v>
      </c>
      <c r="G133" s="120" t="n">
        <v>1</v>
      </c>
      <c r="H133" s="120" t="s">
        <v>331</v>
      </c>
      <c r="I133" s="123" t="n">
        <f aca="false">$J$126-60</f>
        <v>3440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12</v>
      </c>
      <c r="U133" s="127" t="s">
        <v>674</v>
      </c>
      <c r="V133" s="247" t="n">
        <f aca="false">($J$126-185-(113.25*5))/6</f>
        <v>458.125</v>
      </c>
      <c r="W133" s="129" t="n">
        <f aca="false">$J$121*T133</f>
        <v>0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3414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12</v>
      </c>
      <c r="U134" s="130" t="s">
        <v>674</v>
      </c>
      <c r="V134" s="141" t="n">
        <f aca="false">($J$126-185-(113.25*5))/6</f>
        <v>458.125</v>
      </c>
      <c r="W134" s="134" t="n">
        <f aca="false">$J$121*T134</f>
        <v>0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3440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12</v>
      </c>
      <c r="U135" s="136" t="s">
        <v>674</v>
      </c>
      <c r="V135" s="254" t="n">
        <f aca="false">($J$126-185-(113.25*5))/6</f>
        <v>458.125</v>
      </c>
      <c r="W135" s="137" t="n">
        <f aca="false">$J$121*T135</f>
        <v>0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3440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12</v>
      </c>
      <c r="U136" s="127" t="s">
        <v>360</v>
      </c>
      <c r="V136" s="138" t="n">
        <f aca="false">$J$123-242</f>
        <v>2258</v>
      </c>
      <c r="W136" s="129" t="n">
        <f aca="false">$J$121*T136</f>
        <v>0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2500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12</v>
      </c>
      <c r="U137" s="130" t="s">
        <v>360</v>
      </c>
      <c r="V137" s="133" t="n">
        <f aca="false">$J$123-242</f>
        <v>2258</v>
      </c>
      <c r="W137" s="134" t="n">
        <f aca="false">$J$121*T137</f>
        <v>0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2500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12</v>
      </c>
      <c r="U138" s="136" t="s">
        <v>360</v>
      </c>
      <c r="V138" s="140" t="n">
        <f aca="false">$J$123-242</f>
        <v>2258</v>
      </c>
      <c r="W138" s="137" t="n">
        <f aca="false">$J$121*T138</f>
        <v>0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2404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2404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6</v>
      </c>
      <c r="H141" s="130" t="s">
        <v>675</v>
      </c>
      <c r="I141" s="141" t="n">
        <f aca="false">($J$126-60-(6+1)*4)/6</f>
        <v>568.666666666667</v>
      </c>
      <c r="J141" s="134" t="n">
        <f aca="false">$J$120*G141</f>
        <v>6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6</v>
      </c>
      <c r="H142" s="130" t="s">
        <v>675</v>
      </c>
      <c r="I142" s="141" t="n">
        <f aca="false">($J$126-60-(6+1)*4)/6</f>
        <v>568.666666666667</v>
      </c>
      <c r="J142" s="134" t="n">
        <f aca="false">$J$120*G142</f>
        <v>6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9</v>
      </c>
      <c r="H143" s="130" t="s">
        <v>389</v>
      </c>
      <c r="I143" s="133" t="n">
        <f aca="false">$J$123-92</f>
        <v>2408</v>
      </c>
      <c r="J143" s="134" t="n">
        <f aca="false">$J$120*G143</f>
        <v>9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2</v>
      </c>
      <c r="H144" s="130" t="s">
        <v>389</v>
      </c>
      <c r="I144" s="133" t="n">
        <f aca="false">$J$123-92</f>
        <v>2408</v>
      </c>
      <c r="J144" s="134" t="n">
        <f aca="false">$J$120*G144</f>
        <v>2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531</v>
      </c>
      <c r="C145" s="131" t="s">
        <v>532</v>
      </c>
      <c r="D145" s="132" t="s">
        <v>74</v>
      </c>
      <c r="E145" s="130" t="n">
        <v>1.106</v>
      </c>
      <c r="F145" s="132" t="s">
        <v>564</v>
      </c>
      <c r="G145" s="130" t="n">
        <v>1</v>
      </c>
      <c r="H145" s="130" t="s">
        <v>389</v>
      </c>
      <c r="I145" s="133" t="n">
        <f aca="false">$J$123-92</f>
        <v>2408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6" s="131" t="str">
        <f aca="false">IF($D$127=5,Q133,IF($D$127=6,Q133,IF($D$127=8,Q134,IF($D$127=10,Q134,IF($D$127=12,Q134,IF($D$127=14,Q135,IF($D$127=18,Q135,IF($D$127=20,Q135,IF($D$127=22,Q135,)))))))))</f>
        <v>B24008</v>
      </c>
      <c r="E146" s="131" t="n">
        <f aca="false">IF($D$127=5,R133,IF($D$127=6,R133,IF($D$127=8,R134,IF($D$127=10,R134,IF($D$127=12,R134,IF($D$127=14,R135,IF($D$127=18,R135,IF($D$127=20,R135,IF($D$127=22,R135,)))))))))</f>
        <v>0.231</v>
      </c>
      <c r="F146" s="131" t="str">
        <f aca="false">IF($D$127=5,S133,IF($D$127=6,S133,IF($D$127=8,S134,IF($D$127=10,S134,IF($D$127=12,S134,IF($D$127=14,S135,IF($D$127=18,S135,IF($D$127=20,S135,IF($D$127=22,S135,)))))))))</f>
        <v>B24008-001</v>
      </c>
      <c r="G146" s="130" t="n">
        <f aca="false">IF($D$127=5,T133,IF($D$127=6,T133,IF($D$127=8,T134,IF($D$127=10,T134,IF($D$127=12,T134,IF($D$127=14,T135,IF($D$127=18,T135,IF($D$127=20,T135,IF($D$127=22,T135,)))))))))</f>
        <v>12</v>
      </c>
      <c r="H146" s="130" t="str">
        <f aca="false">IF($D$127=5,U133,IF($D$127=6,U133,IF($D$127=8,U134,IF($D$127=10,U134,IF($D$127=12,U134,IF($D$127=14,U135,IF($D$127=18,U135,IF($D$127=20,U135,IF($D$127=22,U135,)))))))))</f>
        <v>(W-185-(113.25 × 5))/6</v>
      </c>
      <c r="I146" s="141" t="n">
        <f aca="false">IF($D$127=5,V133,IF($D$127=6,V133,IF($D$127=8,V134,IF($D$127=10,V134,IF($D$127=12,V134,IF($D$127=14,V135,IF($D$127=18,V135,IF($D$127=20,V135,IF($D$127=22,V135,)))))))))</f>
        <v>458.125</v>
      </c>
      <c r="J146" s="134" t="n">
        <f aca="false">$J$120*G146</f>
        <v>12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7" s="131" t="str">
        <f aca="false">IF($D$127=5,Q136,IF($D$127=6,Q136,IF($D$127=8,Q137,IF($D$127=10,Q137,IF($D$127=12,Q137,IF($D$127=14,Q138,IF($D$127=18,Q138,IF($D$127=20,Q138,IF($D$127=22,Q138,)))))))))</f>
        <v>B24008</v>
      </c>
      <c r="E147" s="131" t="n">
        <f aca="false">IF($D$127=5,R136,IF($D$127=6,R136,IF($D$127=8,R137,IF($D$127=10,R137,IF($D$127=12,R137,IF($D$127=14,R138,IF($D$127=18,R138,IF($D$127=20,R138,IF($D$127=22,R138,)))))))))</f>
        <v>0.231</v>
      </c>
      <c r="F147" s="131" t="str">
        <f aca="false">IF($D$127=5,S136,IF($D$127=6,S136,IF($D$127=8,S137,IF($D$127=10,S137,IF($D$127=12,S137,IF($D$127=14,S138,IF($D$127=18,S138,IF($D$127=20,S138,IF($D$127=22,S138,)))))))))</f>
        <v>B24008-002</v>
      </c>
      <c r="G147" s="130" t="n">
        <f aca="false">IF($D$127=5,T136,IF($D$127=6,T136,IF($D$127=8,T137,IF($D$127=10,T137,IF($D$127=12,T137,IF($D$127=14,T138,IF($D$127=18,T138,IF($D$127=20,T138,IF($D$127=22,T138,)))))))))</f>
        <v>12</v>
      </c>
      <c r="H147" s="130" t="str">
        <f aca="false">IF($D$127=5,U136,IF($D$127=6,U136,IF($D$127=8,U137,IF($D$127=10,U137,IF($D$127=12,U137,IF($D$127=14,U138,IF($D$127=18,U138,IF($D$127=20,U138,IF($D$127=22,U138,)))))))))</f>
        <v>H-242</v>
      </c>
      <c r="I147" s="133" t="n">
        <f aca="false">IF($D$127=5,V136,IF($D$127=6,V136,IF($D$127=8,V137,IF($D$127=10,V137,IF($D$127=12,V137,IF($D$127=14,V138,IF($D$127=18,V138,IF($D$127=20,V138,IF($D$127=22,V138,)))))))))</f>
        <v>2258</v>
      </c>
      <c r="J147" s="134" t="n">
        <f aca="false">$J$120*G147</f>
        <v>12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">
        <v>534</v>
      </c>
      <c r="C148" s="131" t="s">
        <v>535</v>
      </c>
      <c r="D148" s="132" t="s">
        <v>536</v>
      </c>
      <c r="E148" s="130"/>
      <c r="F148" s="132" t="s">
        <v>537</v>
      </c>
      <c r="G148" s="130" t="n">
        <v>1</v>
      </c>
      <c r="H148" s="130" t="s">
        <v>389</v>
      </c>
      <c r="I148" s="133" t="n">
        <f aca="false">$J$123-92</f>
        <v>2408</v>
      </c>
      <c r="J148" s="134" t="n">
        <f aca="false">$J$120*G148</f>
        <v>1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535</v>
      </c>
      <c r="D149" s="132" t="s">
        <v>536</v>
      </c>
      <c r="E149" s="130"/>
      <c r="F149" s="132" t="s">
        <v>539</v>
      </c>
      <c r="G149" s="130" t="n">
        <v>1</v>
      </c>
      <c r="H149" s="130" t="s">
        <v>389</v>
      </c>
      <c r="I149" s="133" t="n">
        <f aca="false">$J$123-92</f>
        <v>2408</v>
      </c>
      <c r="J149" s="134" t="n">
        <f aca="false">$J$120*G149</f>
        <v>1</v>
      </c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33"/>
      <c r="J150" s="134"/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33"/>
      <c r="J151" s="134"/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3440</v>
      </c>
      <c r="G155" s="155" t="n">
        <f aca="false">VLOOKUP(C155,$C$133:$J$153,8,0)</f>
        <v>1</v>
      </c>
      <c r="H155" s="264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VLOOKUP(C156,$C$133:$I$153,7,0)</f>
        <v>3414</v>
      </c>
      <c r="G156" s="155" t="n">
        <f aca="false">VLOOKUP(C156,$C$133:$J$153,8,0)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VLOOKUP(C157,$C$133:$I$153,7,0)</f>
        <v>3440</v>
      </c>
      <c r="G157" s="155" t="n">
        <f aca="false">VLOOKUP(C157,$C$133:$J$153,8,0)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VLOOKUP(C158,$C$133:$I$153,7,0)</f>
        <v>3440</v>
      </c>
      <c r="G158" s="155" t="n">
        <f aca="false">VLOOKUP(C158,$C$133:$J$153,8,0)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VLOOKUP(C159,$C$133:$I$153,7,0)</f>
        <v>2500</v>
      </c>
      <c r="G159" s="155" t="n">
        <f aca="false">VLOOKUP(C159,$C$133:$J$153,8,0)</f>
        <v>1</v>
      </c>
      <c r="H159" s="160" t="n">
        <f aca="false">ROUNDUP(((F159*G159)+(F160*G160))/6400,0)</f>
        <v>1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VLOOKUP(C160,$C$133:$I$153,7,0)</f>
        <v>2500</v>
      </c>
      <c r="G160" s="155" t="n">
        <f aca="false">VLOOKUP(C160,$C$133:$J$153,8,0)</f>
        <v>1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VLOOKUP(C161,$C$133:$I$153,7,0)</f>
        <v>2404</v>
      </c>
      <c r="G161" s="155" t="n">
        <f aca="false">VLOOKUP(C161,$C$133:$J$153,8,0)</f>
        <v>1</v>
      </c>
      <c r="H161" s="160" t="n">
        <f aca="false">ROUNDUP(((F161*G161)+(F162*G162))/6400,0)</f>
        <v>1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155" t="n">
        <f aca="false">VLOOKUP(C162,$C$133:$H$153,3,0)</f>
        <v>0.235</v>
      </c>
      <c r="F162" s="263" t="n">
        <f aca="false">VLOOKUP(C162,$C$133:$I$153,7,0)</f>
        <v>2404</v>
      </c>
      <c r="G162" s="155" t="n">
        <f aca="false">VLOOKUP(C162,$C$133:$J$153,8,0)</f>
        <v>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155" t="n">
        <f aca="false">VLOOKUP(C163,$C$133:$H$153,3,0)</f>
        <v>1.106</v>
      </c>
      <c r="F163" s="267" t="n">
        <f aca="false">VLOOKUP(C163,$C$133:$I$153,7,0)</f>
        <v>568.666666666667</v>
      </c>
      <c r="G163" s="155" t="n">
        <f aca="false">VLOOKUP(C163,$C$133:$J$153,8,0)</f>
        <v>6</v>
      </c>
      <c r="H163" s="160" t="n">
        <f aca="false">ROUNDUP(((F163*G163)+(F164*G164)+(F165*G165)+(F166*G166)+(F167*G167))/6400,0)</f>
        <v>6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155" t="n">
        <f aca="false">VLOOKUP(C164,$C$133:$H$153,3,0)</f>
        <v>1.106</v>
      </c>
      <c r="F164" s="267" t="n">
        <f aca="false">VLOOKUP(C164,$C$133:$I$153,7,0)</f>
        <v>568.666666666667</v>
      </c>
      <c r="G164" s="155" t="n">
        <f aca="false">VLOOKUP(C164,$C$133:$J$153,8,0)</f>
        <v>6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155" t="n">
        <f aca="false">VLOOKUP(C165,$C$133:$H$153,3,0)</f>
        <v>1.106</v>
      </c>
      <c r="F165" s="263" t="n">
        <f aca="false">VLOOKUP(C165,$C$133:$I$153,7,0)</f>
        <v>2408</v>
      </c>
      <c r="G165" s="155" t="n">
        <f aca="false">VLOOKUP(C165,$C$133:$J$153,8,0)</f>
        <v>9</v>
      </c>
      <c r="H165" s="160"/>
      <c r="I165" s="161"/>
      <c r="J165" s="161"/>
    </row>
    <row r="166" s="96" customFormat="true" ht="13.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155" t="n">
        <f aca="false">VLOOKUP(C166,$C$133:$H$153,3,0)</f>
        <v>1.106</v>
      </c>
      <c r="F166" s="263" t="n">
        <f aca="false">VLOOKUP(C166,$C$133:$I$153,7,0)</f>
        <v>2408</v>
      </c>
      <c r="G166" s="155" t="n">
        <f aca="false">VLOOKUP(C166,$C$133:$J$153,8,0)</f>
        <v>2</v>
      </c>
      <c r="H166" s="160"/>
      <c r="I166" s="161"/>
      <c r="J166" s="161"/>
    </row>
    <row r="167" s="96" customFormat="true" ht="15" hidden="false" customHeight="true" outlineLevel="1" collapsed="false">
      <c r="A167" s="158" t="n">
        <f aca="false">IF(B167="","",+A166+1)</f>
        <v>13</v>
      </c>
      <c r="B167" s="153" t="str">
        <f aca="false">B145</f>
        <v>เสากุญแจมือจับ</v>
      </c>
      <c r="C167" s="153" t="str">
        <f aca="false">C145</f>
        <v>SASH (Ver) LOCK HANDLE</v>
      </c>
      <c r="D167" s="159"/>
      <c r="E167" s="155" t="n">
        <f aca="false">VLOOKUP(C167,$C$133:$H$153,3,0)</f>
        <v>1.106</v>
      </c>
      <c r="F167" s="263" t="n">
        <f aca="false">VLOOKUP(C167,$C$133:$I$153,7,0)</f>
        <v>2408</v>
      </c>
      <c r="G167" s="155" t="n">
        <f aca="false">VLOOKUP(C167,$C$133:$J$153,8,0)</f>
        <v>1</v>
      </c>
      <c r="H167" s="160"/>
      <c r="I167" s="161"/>
      <c r="J167" s="161"/>
    </row>
    <row r="168" s="96" customFormat="true" ht="13.5" hidden="false" customHeight="true" outlineLevel="1" collapsed="false">
      <c r="A168" s="158" t="n">
        <f aca="false">IF(B168="","",+A167+1)</f>
        <v>14</v>
      </c>
      <c r="B168" s="153" t="str">
        <f aca="false">B146</f>
        <v>5-6mm คิ้วตบกระจกแนวนอน</v>
      </c>
      <c r="C168" s="153" t="str">
        <f aca="false">C146</f>
        <v>5-6mm GLAZING BEAD HORIZONTAL</v>
      </c>
      <c r="D168" s="159" t="str">
        <f aca="false">VLOOKUP(C168,$C$133:$H$153,2,0)</f>
        <v>B24008</v>
      </c>
      <c r="E168" s="155" t="n">
        <f aca="false">VLOOKUP(C168,$C$133:$H$153,3,0)</f>
        <v>0.231</v>
      </c>
      <c r="F168" s="267" t="n">
        <f aca="false">VLOOKUP(C168,$C$133:$I$153,7,0)</f>
        <v>458.125</v>
      </c>
      <c r="G168" s="155" t="n">
        <f aca="false">VLOOKUP(C168,$C$133:$J$153,8,0)</f>
        <v>12</v>
      </c>
      <c r="H168" s="160" t="n">
        <f aca="false">ROUNDUP(((F168*G168)+(F169*G169))/6400,0)</f>
        <v>6</v>
      </c>
      <c r="I168" s="265"/>
      <c r="J168" s="265"/>
    </row>
    <row r="169" s="96" customFormat="true" ht="15" hidden="false" customHeight="true" outlineLevel="1" collapsed="false">
      <c r="A169" s="158" t="n">
        <f aca="false">IF(B169="","",+A168+1)</f>
        <v>15</v>
      </c>
      <c r="B169" s="153" t="str">
        <f aca="false">B147</f>
        <v>5-6mm คิ้วตบกระจกแนวตั้ง</v>
      </c>
      <c r="C169" s="153" t="str">
        <f aca="false">C147</f>
        <v>5-6mm GLAZING BEAD VERTICAL</v>
      </c>
      <c r="D169" s="159"/>
      <c r="E169" s="155" t="n">
        <f aca="false">VLOOKUP(C169,$C$133:$H$153,3,0)</f>
        <v>0.231</v>
      </c>
      <c r="F169" s="263" t="n">
        <f aca="false">VLOOKUP(C169,$C$133:$I$153,7,0)</f>
        <v>2258</v>
      </c>
      <c r="G169" s="155" t="n">
        <f aca="false">VLOOKUP(C169,$C$133:$J$153,8,0)</f>
        <v>12</v>
      </c>
      <c r="H169" s="160"/>
      <c r="I169" s="196"/>
      <c r="J169" s="196"/>
    </row>
    <row r="170" s="96" customFormat="true" ht="13.5" hidden="false" customHeight="true" outlineLevel="1" collapsed="false">
      <c r="A170" s="158" t="n">
        <f aca="false">IF(B170="","",+A169+1)</f>
        <v>16</v>
      </c>
      <c r="B170" s="153" t="str">
        <f aca="false">B148</f>
        <v>บังใบ</v>
      </c>
      <c r="C170" s="153" t="str">
        <f aca="false">C148</f>
        <v>SASH STOP</v>
      </c>
      <c r="D170" s="163" t="str">
        <f aca="false">VLOOKUP(C170,$C$133:$H$153,2,0)</f>
        <v>B24009</v>
      </c>
      <c r="E170" s="155" t="n">
        <f aca="false">VLOOKUP(C170,$C$133:$H$153,3,0)</f>
        <v>0</v>
      </c>
      <c r="F170" s="263" t="n">
        <f aca="false">VLOOKUP(C170,$C$133:$I$153,7,0)</f>
        <v>2408</v>
      </c>
      <c r="G170" s="155" t="n">
        <f aca="false">VLOOKUP(C170,$C$133:$J$153,8,0)</f>
        <v>1</v>
      </c>
      <c r="H170" s="160" t="n">
        <f aca="false">ROUNDUP(((F170*G170)+(F171*G171))/6400,0)</f>
        <v>1</v>
      </c>
      <c r="I170" s="196"/>
      <c r="J170" s="196"/>
    </row>
    <row r="171" s="96" customFormat="true" ht="14.25" hidden="false" customHeight="false" outlineLevel="1" collapsed="false">
      <c r="A171" s="158" t="n">
        <f aca="false">IF(B171="","",+A170+1)</f>
        <v>17</v>
      </c>
      <c r="B171" s="153" t="str">
        <f aca="false">B149</f>
        <v>บังใบ</v>
      </c>
      <c r="C171" s="153" t="str">
        <f aca="false">C149</f>
        <v>SASH STOP</v>
      </c>
      <c r="D171" s="163"/>
      <c r="E171" s="155" t="n">
        <f aca="false">VLOOKUP(C171,$C$133:$H$153,3,0)</f>
        <v>0</v>
      </c>
      <c r="F171" s="263" t="n">
        <f aca="false">VLOOKUP(C171,$C$133:$I$153,7,0)</f>
        <v>2408</v>
      </c>
      <c r="G171" s="155" t="n">
        <f aca="false">VLOOKUP(C171,$C$133:$J$153,8,0)</f>
        <v>1</v>
      </c>
      <c r="H171" s="160"/>
      <c r="I171" s="196"/>
      <c r="J171" s="196"/>
    </row>
    <row r="172" s="96" customFormat="true" ht="24.75" hidden="false" customHeight="true" outlineLevel="0" collapsed="false">
      <c r="A172" s="113" t="s">
        <v>396</v>
      </c>
      <c r="B172" s="113"/>
      <c r="C172" s="113"/>
      <c r="D172" s="113"/>
      <c r="E172" s="113"/>
      <c r="F172" s="113"/>
      <c r="G172" s="113"/>
      <c r="H172" s="113"/>
      <c r="I172" s="113"/>
      <c r="J172" s="113"/>
    </row>
    <row r="173" s="96" customFormat="true" ht="34.5" hidden="false" customHeight="true" outlineLevel="0" collapsed="false">
      <c r="A173" s="114" t="s">
        <v>319</v>
      </c>
      <c r="B173" s="115" t="s">
        <v>320</v>
      </c>
      <c r="C173" s="115" t="s">
        <v>168</v>
      </c>
      <c r="D173" s="115" t="s">
        <v>397</v>
      </c>
      <c r="E173" s="115" t="s">
        <v>321</v>
      </c>
      <c r="F173" s="116" t="s">
        <v>398</v>
      </c>
      <c r="G173" s="115" t="s">
        <v>399</v>
      </c>
      <c r="H173" s="116" t="s">
        <v>400</v>
      </c>
      <c r="I173" s="116" t="s">
        <v>401</v>
      </c>
      <c r="J173" s="117" t="s">
        <v>402</v>
      </c>
      <c r="N173" s="107" t="s">
        <v>288</v>
      </c>
      <c r="O173" s="165" t="s">
        <v>320</v>
      </c>
      <c r="P173" s="165" t="s">
        <v>168</v>
      </c>
      <c r="Q173" s="165" t="s">
        <v>397</v>
      </c>
      <c r="R173" s="165" t="s">
        <v>321</v>
      </c>
      <c r="S173" s="165" t="s">
        <v>398</v>
      </c>
      <c r="T173" s="165" t="s">
        <v>399</v>
      </c>
      <c r="U173" s="165" t="s">
        <v>400</v>
      </c>
      <c r="V173" s="165" t="s">
        <v>401</v>
      </c>
      <c r="W173" s="165" t="s">
        <v>402</v>
      </c>
    </row>
    <row r="174" s="96" customFormat="true" ht="18" hidden="false" customHeight="true" outlineLevel="0" collapsed="false">
      <c r="A174" s="166" t="n">
        <f aca="false">IF(B174="","",1)</f>
        <v>1</v>
      </c>
      <c r="B174" s="131" t="s">
        <v>410</v>
      </c>
      <c r="C174" s="131" t="s">
        <v>411</v>
      </c>
      <c r="D174" s="132" t="s">
        <v>267</v>
      </c>
      <c r="E174" s="130"/>
      <c r="F174" s="130" t="s">
        <v>267</v>
      </c>
      <c r="G174" s="130" t="s">
        <v>405</v>
      </c>
      <c r="H174" s="130" t="n">
        <v>12</v>
      </c>
      <c r="I174" s="133"/>
      <c r="J174" s="134" t="n">
        <f aca="false">$J$120*H174</f>
        <v>12</v>
      </c>
      <c r="N174" s="107" t="s">
        <v>406</v>
      </c>
      <c r="O174" s="55" t="s">
        <v>407</v>
      </c>
      <c r="P174" s="62" t="s">
        <v>408</v>
      </c>
      <c r="Q174" s="55" t="s">
        <v>227</v>
      </c>
      <c r="R174" s="158"/>
      <c r="S174" s="158" t="s">
        <v>227</v>
      </c>
      <c r="T174" s="158" t="s">
        <v>409</v>
      </c>
      <c r="U174" s="168" t="n">
        <f aca="false">((($I$141*$G$141)+($I$142*$G$142)+($I$143*$G$143)+($I$144*$G$144)+($I$145*$G$145))/1000)*$J$120</f>
        <v>35.72</v>
      </c>
      <c r="V174" s="168" t="n">
        <v>100</v>
      </c>
      <c r="W174" s="169" t="n">
        <f aca="false">ROUNDUP((U174)/100,0)</f>
        <v>1</v>
      </c>
    </row>
    <row r="175" s="96" customFormat="true" ht="18" hidden="false" customHeight="true" outlineLevel="0" collapsed="false">
      <c r="A175" s="170" t="n">
        <f aca="false">IF(B175="","",+A174+1)</f>
        <v>2</v>
      </c>
      <c r="B175" s="131" t="s">
        <v>415</v>
      </c>
      <c r="C175" s="131" t="s">
        <v>416</v>
      </c>
      <c r="D175" s="132" t="s">
        <v>222</v>
      </c>
      <c r="E175" s="130"/>
      <c r="F175" s="130" t="s">
        <v>222</v>
      </c>
      <c r="G175" s="130" t="s">
        <v>405</v>
      </c>
      <c r="H175" s="130" t="n">
        <v>2</v>
      </c>
      <c r="I175" s="133"/>
      <c r="J175" s="134" t="n">
        <f aca="false">$J$120*H175</f>
        <v>2</v>
      </c>
      <c r="N175" s="107" t="s">
        <v>412</v>
      </c>
      <c r="O175" s="55" t="s">
        <v>413</v>
      </c>
      <c r="P175" s="62" t="s">
        <v>414</v>
      </c>
      <c r="Q175" s="55" t="s">
        <v>234</v>
      </c>
      <c r="R175" s="158"/>
      <c r="S175" s="158" t="s">
        <v>234</v>
      </c>
      <c r="T175" s="158" t="s">
        <v>409</v>
      </c>
      <c r="U175" s="168" t="n">
        <f aca="false">((($I$141*$G$141)+($I$142*$G$142)+($I$143*$G$143)+($I$144*$G$144)+($I$145*$G$145))/1000)*$J$120</f>
        <v>35.72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3</v>
      </c>
      <c r="B176" s="131" t="s">
        <v>420</v>
      </c>
      <c r="C176" s="131" t="s">
        <v>421</v>
      </c>
      <c r="D176" s="132" t="s">
        <v>225</v>
      </c>
      <c r="E176" s="130"/>
      <c r="F176" s="130" t="s">
        <v>225</v>
      </c>
      <c r="G176" s="130" t="s">
        <v>405</v>
      </c>
      <c r="H176" s="130" t="n">
        <v>2</v>
      </c>
      <c r="I176" s="133"/>
      <c r="J176" s="134" t="n">
        <f aca="false">$J$120*H176</f>
        <v>2</v>
      </c>
      <c r="N176" s="107" t="s">
        <v>417</v>
      </c>
      <c r="O176" s="62" t="s">
        <v>418</v>
      </c>
      <c r="P176" s="62" t="s">
        <v>419</v>
      </c>
      <c r="Q176" s="55" t="s">
        <v>236</v>
      </c>
      <c r="R176" s="158"/>
      <c r="S176" s="158" t="s">
        <v>236</v>
      </c>
      <c r="T176" s="158" t="s">
        <v>409</v>
      </c>
      <c r="U176" s="168" t="n">
        <f aca="false">((($I$141*$G$141)+($I$142*$G$142)+($I$143*$G$143)+($I$144*$G$144)+($I$145*$G$145))/1000)*$J$120</f>
        <v>35.72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4</v>
      </c>
      <c r="B177" s="131" t="s">
        <v>425</v>
      </c>
      <c r="C177" s="131" t="s">
        <v>426</v>
      </c>
      <c r="D177" s="132" t="n">
        <v>9</v>
      </c>
      <c r="E177" s="130"/>
      <c r="F177" s="130" t="n">
        <v>9</v>
      </c>
      <c r="G177" s="130" t="s">
        <v>405</v>
      </c>
      <c r="H177" s="130" t="n">
        <v>8</v>
      </c>
      <c r="I177" s="133"/>
      <c r="J177" s="134" t="n">
        <f aca="false">$J$120*H177</f>
        <v>8</v>
      </c>
      <c r="N177" s="107" t="s">
        <v>422</v>
      </c>
      <c r="O177" s="62" t="s">
        <v>423</v>
      </c>
      <c r="P177" s="62" t="s">
        <v>424</v>
      </c>
      <c r="Q177" s="55" t="s">
        <v>238</v>
      </c>
      <c r="R177" s="158"/>
      <c r="S177" s="158" t="s">
        <v>238</v>
      </c>
      <c r="T177" s="158" t="s">
        <v>409</v>
      </c>
      <c r="U177" s="168" t="n">
        <f aca="false">((($I$141*$G$141)+($I$142*$G$142)+($I$143*$G$143)+($I$144*$G$144)+($I$145*$G$145))/1000)*$J$120</f>
        <v>35.72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5</v>
      </c>
      <c r="B178" s="131" t="s">
        <v>430</v>
      </c>
      <c r="C178" s="131" t="s">
        <v>431</v>
      </c>
      <c r="D178" s="132" t="n">
        <v>9</v>
      </c>
      <c r="E178" s="130"/>
      <c r="F178" s="130" t="n">
        <v>9</v>
      </c>
      <c r="G178" s="130" t="s">
        <v>405</v>
      </c>
      <c r="H178" s="130" t="n">
        <v>110</v>
      </c>
      <c r="I178" s="133"/>
      <c r="J178" s="134" t="n">
        <f aca="false">$J$120*H178</f>
        <v>110</v>
      </c>
      <c r="N178" s="107" t="s">
        <v>427</v>
      </c>
      <c r="O178" s="62" t="s">
        <v>428</v>
      </c>
      <c r="P178" s="62" t="s">
        <v>429</v>
      </c>
      <c r="Q178" s="55" t="s">
        <v>240</v>
      </c>
      <c r="R178" s="158"/>
      <c r="S178" s="158" t="s">
        <v>240</v>
      </c>
      <c r="T178" s="158" t="s">
        <v>409</v>
      </c>
      <c r="U178" s="168" t="n">
        <f aca="false">((($I$141*$G$141)+($I$142*$G$142)+($I$143*$G$143)+($I$144*$G$144)+($I$145*$G$145))/1000)*$J$120</f>
        <v>35.72</v>
      </c>
      <c r="V178" s="168" t="n">
        <v>100</v>
      </c>
      <c r="W178" s="169" t="n">
        <f aca="false">ROUNDUP((U178)/100,0)</f>
        <v>1</v>
      </c>
    </row>
    <row r="179" s="96" customFormat="true" ht="18" hidden="false" customHeight="true" outlineLevel="0" collapsed="false">
      <c r="A179" s="170" t="n">
        <f aca="false">IF(B179="","",+A178+1)</f>
        <v>6</v>
      </c>
      <c r="B179" s="131" t="s">
        <v>603</v>
      </c>
      <c r="C179" s="131" t="s">
        <v>438</v>
      </c>
      <c r="D179" s="132" t="s">
        <v>4</v>
      </c>
      <c r="E179" s="130"/>
      <c r="F179" s="130" t="s">
        <v>4</v>
      </c>
      <c r="G179" s="130" t="s">
        <v>434</v>
      </c>
      <c r="H179" s="130" t="n">
        <v>1</v>
      </c>
      <c r="I179" s="133"/>
      <c r="J179" s="134" t="n">
        <f aca="false">$J$120*H179</f>
        <v>1</v>
      </c>
    </row>
    <row r="180" s="96" customFormat="true" ht="18" hidden="false" customHeight="true" outlineLevel="0" collapsed="false">
      <c r="A180" s="170" t="n">
        <f aca="false">IF(B180="","",+A179+1)</f>
        <v>7</v>
      </c>
      <c r="B180" s="131" t="s">
        <v>432</v>
      </c>
      <c r="C180" s="131" t="s">
        <v>433</v>
      </c>
      <c r="D180" s="132" t="s">
        <v>6</v>
      </c>
      <c r="E180" s="130"/>
      <c r="F180" s="130" t="s">
        <v>6</v>
      </c>
      <c r="G180" s="130" t="s">
        <v>434</v>
      </c>
      <c r="H180" s="130" t="n">
        <v>1</v>
      </c>
      <c r="I180" s="133"/>
      <c r="J180" s="134" t="n">
        <f aca="false">$J$120*H180</f>
        <v>1</v>
      </c>
    </row>
    <row r="181" s="96" customFormat="true" ht="18" hidden="false" customHeight="true" outlineLevel="0" collapsed="false">
      <c r="A181" s="170" t="n">
        <f aca="false">IF(B181="","",+A180+1)</f>
        <v>8</v>
      </c>
      <c r="B181" s="131" t="s">
        <v>512</v>
      </c>
      <c r="C181" s="131" t="s">
        <v>513</v>
      </c>
      <c r="D181" s="132" t="s">
        <v>7</v>
      </c>
      <c r="E181" s="130"/>
      <c r="F181" s="130" t="s">
        <v>7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9</v>
      </c>
      <c r="B182" s="131" t="s">
        <v>554</v>
      </c>
      <c r="C182" s="131" t="s">
        <v>555</v>
      </c>
      <c r="D182" s="132" t="s">
        <v>11</v>
      </c>
      <c r="E182" s="130"/>
      <c r="F182" s="130" t="s">
        <v>11</v>
      </c>
      <c r="G182" s="130" t="s">
        <v>434</v>
      </c>
      <c r="H182" s="130" t="n">
        <v>2</v>
      </c>
      <c r="I182" s="142"/>
      <c r="J182" s="134" t="n">
        <f aca="false">$J$120*H182</f>
        <v>2</v>
      </c>
    </row>
    <row r="183" s="96" customFormat="true" ht="18" hidden="false" customHeight="true" outlineLevel="0" collapsed="false">
      <c r="A183" s="170" t="n">
        <f aca="false">IF(B183="","",+A182+1)</f>
        <v>10</v>
      </c>
      <c r="B183" s="131" t="s">
        <v>556</v>
      </c>
      <c r="C183" s="131" t="s">
        <v>557</v>
      </c>
      <c r="D183" s="132" t="s">
        <v>5</v>
      </c>
      <c r="E183" s="130"/>
      <c r="F183" s="130" t="s">
        <v>5</v>
      </c>
      <c r="G183" s="130" t="s">
        <v>434</v>
      </c>
      <c r="H183" s="130" t="n">
        <v>1</v>
      </c>
      <c r="I183" s="142"/>
      <c r="J183" s="134" t="n">
        <f aca="false">$J$120*H183</f>
        <v>1</v>
      </c>
      <c r="Q183" s="172"/>
      <c r="R183" s="172"/>
      <c r="S183" s="172"/>
      <c r="T183" s="97"/>
      <c r="U183" s="97"/>
      <c r="V183" s="97"/>
    </row>
    <row r="184" s="96" customFormat="true" ht="18" hidden="false" customHeight="true" outlineLevel="0" collapsed="false">
      <c r="A184" s="170" t="n">
        <f aca="false">IF(B184="","",+A183+1)</f>
        <v>11</v>
      </c>
      <c r="B184" s="131" t="s">
        <v>439</v>
      </c>
      <c r="C184" s="131" t="s">
        <v>440</v>
      </c>
      <c r="D184" s="132" t="s">
        <v>12</v>
      </c>
      <c r="E184" s="130"/>
      <c r="F184" s="130" t="s">
        <v>12</v>
      </c>
      <c r="G184" s="130" t="s">
        <v>434</v>
      </c>
      <c r="H184" s="130" t="n">
        <v>2</v>
      </c>
      <c r="I184" s="142"/>
      <c r="J184" s="134" t="n">
        <f aca="false">$J$120*H184</f>
        <v>2</v>
      </c>
      <c r="N184" s="107" t="s">
        <v>289</v>
      </c>
      <c r="O184" s="165" t="s">
        <v>320</v>
      </c>
      <c r="P184" s="165" t="s">
        <v>168</v>
      </c>
      <c r="Q184" s="165" t="s">
        <v>397</v>
      </c>
      <c r="R184" s="165" t="s">
        <v>321</v>
      </c>
      <c r="S184" s="165" t="s">
        <v>398</v>
      </c>
      <c r="T184" s="165" t="s">
        <v>399</v>
      </c>
      <c r="U184" s="165" t="s">
        <v>400</v>
      </c>
      <c r="V184" s="165" t="s">
        <v>401</v>
      </c>
      <c r="W184" s="165" t="s">
        <v>402</v>
      </c>
    </row>
    <row r="185" s="96" customFormat="true" ht="18" hidden="false" customHeight="true" outlineLevel="0" collapsed="false">
      <c r="A185" s="170" t="n">
        <f aca="false">IF(B185="","",+A184+1)</f>
        <v>12</v>
      </c>
      <c r="B185" s="131" t="s">
        <v>540</v>
      </c>
      <c r="C185" s="131" t="s">
        <v>541</v>
      </c>
      <c r="D185" s="132" t="s">
        <v>542</v>
      </c>
      <c r="E185" s="130"/>
      <c r="F185" s="130" t="s">
        <v>542</v>
      </c>
      <c r="G185" s="130" t="s">
        <v>434</v>
      </c>
      <c r="H185" s="130" t="n">
        <v>1</v>
      </c>
      <c r="I185" s="142"/>
      <c r="J185" s="134" t="n">
        <f aca="false">$J$120*H185</f>
        <v>1</v>
      </c>
      <c r="N185" s="107" t="s">
        <v>445</v>
      </c>
      <c r="O185" s="62" t="s">
        <v>446</v>
      </c>
      <c r="P185" s="62" t="s">
        <v>447</v>
      </c>
      <c r="Q185" s="55" t="s">
        <v>230</v>
      </c>
      <c r="R185" s="158"/>
      <c r="S185" s="158" t="s">
        <v>230</v>
      </c>
      <c r="T185" s="158" t="s">
        <v>409</v>
      </c>
      <c r="U185" s="168" t="n">
        <f aca="false">((($I$134*$G$134)+($I$136*$G$136)+($I$139*$G$139))/1000)*$J$120</f>
        <v>9.258</v>
      </c>
      <c r="V185" s="168" t="n">
        <v>300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13</v>
      </c>
      <c r="B186" s="131" t="s">
        <v>441</v>
      </c>
      <c r="C186" s="131" t="s">
        <v>442</v>
      </c>
      <c r="D186" s="132" t="s">
        <v>274</v>
      </c>
      <c r="E186" s="130"/>
      <c r="F186" s="130" t="s">
        <v>274</v>
      </c>
      <c r="G186" s="130" t="s">
        <v>405</v>
      </c>
      <c r="H186" s="130" t="n">
        <v>4</v>
      </c>
      <c r="I186" s="133"/>
      <c r="J186" s="134" t="n">
        <f aca="false">$J$120*H186</f>
        <v>4</v>
      </c>
      <c r="N186" s="107" t="s">
        <v>448</v>
      </c>
      <c r="O186" s="62" t="s">
        <v>449</v>
      </c>
      <c r="P186" s="62" t="s">
        <v>450</v>
      </c>
      <c r="Q186" s="55" t="s">
        <v>451</v>
      </c>
      <c r="R186" s="158"/>
      <c r="S186" s="158" t="s">
        <v>451</v>
      </c>
      <c r="T186" s="158" t="s">
        <v>409</v>
      </c>
      <c r="U186" s="168" t="n">
        <f aca="false">((($I$134*$G$134)+($I$136*$G$136)+($I$139*$G$139))/1000)*$J$120</f>
        <v>9.258</v>
      </c>
      <c r="V186" s="168" t="n">
        <v>100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14</v>
      </c>
      <c r="B187" s="131" t="s">
        <v>443</v>
      </c>
      <c r="C187" s="131" t="s">
        <v>444</v>
      </c>
      <c r="D187" s="132" t="s">
        <v>272</v>
      </c>
      <c r="E187" s="130"/>
      <c r="F187" s="130" t="s">
        <v>272</v>
      </c>
      <c r="G187" s="130" t="s">
        <v>405</v>
      </c>
      <c r="H187" s="130" t="n">
        <v>1</v>
      </c>
      <c r="I187" s="133"/>
      <c r="J187" s="134" t="n">
        <f aca="false">$J$120*H187</f>
        <v>1</v>
      </c>
      <c r="N187" s="107" t="s">
        <v>445</v>
      </c>
      <c r="O187" s="62" t="s">
        <v>452</v>
      </c>
      <c r="P187" s="62" t="s">
        <v>453</v>
      </c>
      <c r="Q187" s="55" t="s">
        <v>232</v>
      </c>
      <c r="R187" s="158"/>
      <c r="S187" s="158" t="s">
        <v>232</v>
      </c>
      <c r="T187" s="158" t="s">
        <v>409</v>
      </c>
      <c r="U187" s="168" t="n">
        <f aca="false">((($I$141*$G$141*2)+($I$143*$G$143*2)+($I$144*$G$144))/1000)*$J$120</f>
        <v>54.984</v>
      </c>
      <c r="V187" s="168" t="n">
        <v>350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15</v>
      </c>
      <c r="B188" s="131" t="s">
        <v>403</v>
      </c>
      <c r="C188" s="131" t="s">
        <v>404</v>
      </c>
      <c r="D188" s="132" t="s">
        <v>576</v>
      </c>
      <c r="E188" s="130"/>
      <c r="F188" s="130" t="s">
        <v>576</v>
      </c>
      <c r="G188" s="130" t="s">
        <v>405</v>
      </c>
      <c r="H188" s="130" t="n">
        <v>1</v>
      </c>
      <c r="I188" s="133"/>
      <c r="J188" s="134" t="n">
        <f aca="false">$J$120*H188</f>
        <v>1</v>
      </c>
      <c r="N188" s="107" t="s">
        <v>448</v>
      </c>
      <c r="O188" s="62" t="s">
        <v>454</v>
      </c>
      <c r="P188" s="62" t="s">
        <v>455</v>
      </c>
      <c r="Q188" s="55" t="s">
        <v>456</v>
      </c>
      <c r="R188" s="158"/>
      <c r="S188" s="158" t="s">
        <v>456</v>
      </c>
      <c r="T188" s="158" t="s">
        <v>409</v>
      </c>
      <c r="U188" s="168" t="n">
        <f aca="false">((($I$141*$G$141*2)+($I$143*$G$143*2)+($I$144*$G$144))/1000)*$J$120</f>
        <v>54.984</v>
      </c>
      <c r="V188" s="168" t="n">
        <v>100</v>
      </c>
      <c r="W188" s="169" t="n">
        <f aca="false">ROUNDUP((U188)/V188,0)</f>
        <v>1</v>
      </c>
    </row>
    <row r="189" s="96" customFormat="true" ht="18" hidden="false" customHeight="true" outlineLevel="0" collapsed="false">
      <c r="A189" s="170" t="n">
        <f aca="false">IF(B189="","",+A188+1)</f>
        <v>16</v>
      </c>
      <c r="B189" s="131" t="s">
        <v>403</v>
      </c>
      <c r="C189" s="131" t="s">
        <v>404</v>
      </c>
      <c r="D189" s="132" t="s">
        <v>276</v>
      </c>
      <c r="E189" s="130"/>
      <c r="F189" s="130" t="s">
        <v>276</v>
      </c>
      <c r="G189" s="130" t="s">
        <v>405</v>
      </c>
      <c r="H189" s="130" t="n">
        <v>2</v>
      </c>
      <c r="I189" s="133"/>
      <c r="J189" s="134" t="n">
        <f aca="false">$J$120*H189</f>
        <v>2</v>
      </c>
    </row>
    <row r="190" s="96" customFormat="true" ht="18" hidden="false" customHeight="true" outlineLevel="0" collapsed="false">
      <c r="A190" s="170" t="n">
        <f aca="false">IF(B190="","",+A189+1)</f>
        <v>17</v>
      </c>
      <c r="B190" s="131" t="s">
        <v>577</v>
      </c>
      <c r="C190" s="131" t="s">
        <v>578</v>
      </c>
      <c r="D190" s="132" t="s">
        <v>215</v>
      </c>
      <c r="E190" s="130"/>
      <c r="F190" s="130" t="s">
        <v>215</v>
      </c>
      <c r="G190" s="130" t="s">
        <v>434</v>
      </c>
      <c r="H190" s="130" t="n">
        <v>1</v>
      </c>
      <c r="I190" s="133"/>
      <c r="J190" s="134" t="n">
        <f aca="false">$J$120*H190</f>
        <v>1</v>
      </c>
    </row>
    <row r="191" s="96" customFormat="true" ht="18" hidden="false" customHeight="true" outlineLevel="0" collapsed="false">
      <c r="A191" s="170" t="n">
        <f aca="false">IF(B191="","",+A190+1)</f>
        <v>18</v>
      </c>
      <c r="B191" s="131" t="s">
        <v>579</v>
      </c>
      <c r="C191" s="131" t="s">
        <v>578</v>
      </c>
      <c r="D191" s="132" t="s">
        <v>220</v>
      </c>
      <c r="E191" s="130"/>
      <c r="F191" s="130" t="s">
        <v>220</v>
      </c>
      <c r="G191" s="130" t="s">
        <v>434</v>
      </c>
      <c r="H191" s="130" t="n">
        <v>1</v>
      </c>
      <c r="I191" s="133"/>
      <c r="J191" s="134" t="n">
        <f aca="false">$J$120*H191</f>
        <v>1</v>
      </c>
    </row>
    <row r="192" s="96" customFormat="true" ht="18" hidden="false" customHeight="true" outlineLevel="0" collapsed="false">
      <c r="A192" s="170" t="n">
        <f aca="false">IF(B192="","",+A191+1)</f>
        <v>19</v>
      </c>
      <c r="B192" s="131" t="s">
        <v>580</v>
      </c>
      <c r="C192" s="131" t="s">
        <v>581</v>
      </c>
      <c r="D192" s="132" t="s">
        <v>582</v>
      </c>
      <c r="E192" s="130"/>
      <c r="F192" s="130" t="s">
        <v>582</v>
      </c>
      <c r="G192" s="130" t="s">
        <v>409</v>
      </c>
      <c r="H192" s="173" t="n">
        <f aca="false">((($I$148*$G$148)+($I$149*$G$149))/1000)*$J$120</f>
        <v>4.816</v>
      </c>
      <c r="I192" s="174" t="n">
        <v>100</v>
      </c>
      <c r="J192" s="175" t="n">
        <f aca="false">ROUNDUP((H192)/100,0)</f>
        <v>1</v>
      </c>
    </row>
    <row r="193" s="96" customFormat="true" ht="18" hidden="false" customHeight="true" outlineLevel="0" collapsed="false">
      <c r="A193" s="170" t="n">
        <f aca="false">IF(B193="","",+A192+1)</f>
        <v>20</v>
      </c>
      <c r="B193" s="131" t="s">
        <v>583</v>
      </c>
      <c r="C193" s="131" t="s">
        <v>584</v>
      </c>
      <c r="D193" s="132" t="s">
        <v>585</v>
      </c>
      <c r="E193" s="130"/>
      <c r="F193" s="130" t="s">
        <v>585</v>
      </c>
      <c r="G193" s="130" t="s">
        <v>409</v>
      </c>
      <c r="H193" s="173" t="n">
        <f aca="false">((($I$144*$G$144)+($I$145*$G$145))/1000)*$J$120</f>
        <v>7.224</v>
      </c>
      <c r="I193" s="174" t="n">
        <v>100</v>
      </c>
      <c r="J193" s="175" t="n">
        <f aca="false">ROUNDUP((H193)/100,0)</f>
        <v>1</v>
      </c>
    </row>
    <row r="194" customFormat="false" ht="18" hidden="false" customHeight="true" outlineLevel="0" collapsed="false">
      <c r="A194" s="170" t="n">
        <f aca="false">IF(B194="","",+A193+1)</f>
        <v>21</v>
      </c>
      <c r="B194" s="132" t="str">
        <f aca="false">IF($D$129="Standard",$O$185,IF($D$129="Soumdproof",$O$186,))</f>
        <v>ยางเฟรมกันน้ำ (ธรรมดา)</v>
      </c>
      <c r="C194" s="132" t="str">
        <f aca="false">IF($D$129="Standard",$P$185,IF($D$129="Soumdproof",$P$186,))</f>
        <v>FRAME SEAL (Standard)</v>
      </c>
      <c r="D194" s="132" t="str">
        <f aca="false">IF($D$129="Standard",$Q$185,IF($D$129="Soumdproof",$Q$186,))</f>
        <v>02-026</v>
      </c>
      <c r="E194" s="130" t="n">
        <f aca="false">IF($D$129="Standard",R190,IF($D$129="Soumdproof",R191,))</f>
        <v>0</v>
      </c>
      <c r="F194" s="130" t="str">
        <f aca="false">IF($D$129="Standard",$S$185,IF($D$129="Soumdproof",$S$186,))</f>
        <v>02-026</v>
      </c>
      <c r="G194" s="130" t="str">
        <f aca="false">IF($D$129="Standard",$T$185,IF($D$129="Soumdproof",$T$186,))</f>
        <v>M</v>
      </c>
      <c r="H194" s="173" t="n">
        <f aca="false">IF($D$129="Standard",$U$185,IF($D$129="Soumdproof",$U$186,))</f>
        <v>9.258</v>
      </c>
      <c r="I194" s="174" t="n">
        <f aca="false">IF($D$129="Standard",$V$185,IF($D$129="Soumdproof",$V$186,))</f>
        <v>300</v>
      </c>
      <c r="J194" s="175" t="n">
        <f aca="false">ROUNDUP((H194)/100,0)</f>
        <v>1</v>
      </c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</row>
    <row r="195" s="96" customFormat="true" ht="18" hidden="false" customHeight="true" outlineLevel="0" collapsed="false">
      <c r="A195" s="170" t="n">
        <f aca="false">IF(B195="","",+A194+1)</f>
        <v>22</v>
      </c>
      <c r="B195" s="132" t="str">
        <f aca="false">IF($D$129="Standard",$O$187,IF($D$129="Soumdproof",$O$188,))</f>
        <v>ยางแซชกันน้ำ (ธรรมดา)</v>
      </c>
      <c r="C195" s="132" t="str">
        <f aca="false">IF($D$129="Standard",$P$187,IF($D$129="Soumdproof",$P$188,))</f>
        <v>SASH SEAL FOAM (Standard)</v>
      </c>
      <c r="D195" s="132" t="str">
        <f aca="false">IF($D$129="Standard",$Q$187,IF($D$129="Soumdproof",$Q$188,))</f>
        <v>02-031</v>
      </c>
      <c r="E195" s="130" t="n">
        <f aca="false">IF($D$129="Standard",R192,IF($D$129="Soumdproof",R193,))</f>
        <v>0</v>
      </c>
      <c r="F195" s="130" t="str">
        <f aca="false">IF($D$129="Standard",$S$187,IF($D$129="Soumdproof",$S$188,))</f>
        <v>02-031</v>
      </c>
      <c r="G195" s="130" t="str">
        <f aca="false">IF($D$129="Standard",$T$187,IF($D$129="Soumdproof",$T$188,))</f>
        <v>M</v>
      </c>
      <c r="H195" s="173" t="n">
        <f aca="false">IF($D$129="Standard",$U$187,IF($D$129="Soumdproof",$U$188,))</f>
        <v>54.984</v>
      </c>
      <c r="I195" s="174" t="n">
        <f aca="false">IF($D$129="Standard",$V$187,IF($D$129="Soumdproof",$V$188,))</f>
        <v>350</v>
      </c>
      <c r="J195" s="175" t="n">
        <f aca="false">ROUNDUP((H195)/100,0)</f>
        <v>1</v>
      </c>
    </row>
    <row r="196" s="96" customFormat="true" ht="18" hidden="false" customHeight="true" outlineLevel="0" collapsed="false">
      <c r="A196" s="170" t="n">
        <f aca="false">IF(B196="","",+A195+1)</f>
        <v>23</v>
      </c>
      <c r="B196" s="176" t="str">
        <f aca="false">IF($D$127=5,$O$176,IF($D$127=6,$O$177,IF($D$127=8,$O$178,IF($D$127=10,$O$176,IF($D$127=12,$O$176,IF($D$127=14,$O$178,IF($D$127=18,$O$176,IF($D$127=20,$O$177,IF($D$127=22,"")))))))))</f>
        <v>6,20 mm ยางอัดกระจก</v>
      </c>
      <c r="C196" s="176" t="str">
        <f aca="false">IF($D$127=5,$P$176,IF($D$127=6,$P$177,IF($D$127=8,$P$178,IF($D$127=10,$P$176,IF($D$127=12,$P$176,IF($D$127=14,$P$178,IF($D$127=18,$P$176,IF($D$127=20,$P$177,IF($D$127=22,"")))))))))</f>
        <v>6,20 mm ROLL IN WEDGE</v>
      </c>
      <c r="D196" s="176" t="str">
        <f aca="false">IF($D$127=5,$Q$176,IF($D$127=6,$Q$177,IF($D$127=8,$Q$178,IF($D$127=10,$Q$176,IF($D$127=12,$Q$176,IF($D$127=14,$Q$178,IF($D$127=18,$Q$176,IF($D$127=20,$Q$177,IF($D$127=22,"")))))))))</f>
        <v>02-034</v>
      </c>
      <c r="E196" s="176" t="n">
        <f aca="false">IF($D$127=5,R181,IF($D$127=6,R182,IF($D$127=8,R183,IF($D$127=10,R181,IF($D$127=12,R181,IF($D$127=14,R183,IF($D$127=18,R181,IF($D$127=20,R182,IF($D$127=22,"",)))))))))</f>
        <v>0</v>
      </c>
      <c r="F196" s="167" t="str">
        <f aca="false">IF($D$127=5,$S$176,IF($D$127=6,$S$177,IF($D$127=8,$S$178,IF($D$127=10,$S$176,IF($D$127=12,$S$176,IF($D$127=14,$S$178,IF($D$127=18,$S$176,IF($D$127=20,$S$177,IF($D$127=22,"")))))))))</f>
        <v>02-034</v>
      </c>
      <c r="G196" s="167" t="str">
        <f aca="false">IF($D$127=5,$T$176,IF($D$127=6,$T$177,IF($D$127=8,$T$178,IF($D$127=10,$T$176,IF($D$127=12,$T$176,IF($D$127=14,$T$178,IF($D$127=18,$T$176,IF($D$127=20,$T$177,IF($D$127=22,"")))))))))</f>
        <v>M</v>
      </c>
      <c r="H196" s="173" t="n">
        <f aca="false">IF($D$127=5,$U$176,IF($D$127=6,$U$177,IF($D$127=8,$U$178,IF($D$127=10,$U$176*2,IF($D$127=12,$U$176,IF($D$127=14,$U$178*2,IF($D$127=18,$U$176,IF($D$127=20,$U$177,IF($D$127=22,"")))))))))</f>
        <v>35.72</v>
      </c>
      <c r="I196" s="174" t="n">
        <f aca="false">IF($D$127=5,$V$176,IF($D$127=6,$V$177,IF($D$127=8,$V$178,IF($D$127=10,$V$176,IF($D$127=12,$V$176,IF($D$127=14,$V$178,IF($D$127=18,$V$176,IF($D$127=20,$V$177,IF($D$127=22,"")))))))))</f>
        <v>100</v>
      </c>
      <c r="J196" s="175" t="n">
        <f aca="false">ROUNDUP((H196)/100,0)</f>
        <v>1</v>
      </c>
    </row>
    <row r="197" s="96" customFormat="true" ht="18" hidden="false" customHeight="true" outlineLevel="0" collapsed="false">
      <c r="A197" s="170" t="n">
        <f aca="false">IF(B197="","",+A196+1)</f>
        <v>24</v>
      </c>
      <c r="B197" s="176" t="str">
        <f aca="false">IF($D$127=5,$O$174,IF($D$127=6,$O$174,IF($D$127=8,$O$176,IF($D$127=10,"",IF($D$127=12,$O$175,IF($D$127=14,"",IF($D$127=18,$O$174,IF($D$127=20,$O$175,IF($D$127=22,"",)))))))))</f>
        <v>5,6,18 mm ยางรองกระจก</v>
      </c>
      <c r="C197" s="176" t="str">
        <f aca="false">IF($D$127=5,$P$174,IF($D$127=6,$P$174,IF($D$127=8,$P$176,IF($D$127=10,"",IF($D$127=12,$P$175,IF($D$127=14,"",IF($D$127=18,$P$174,IF($D$127=20,$P$175,IF($D$127=22,"",)))))))))</f>
        <v>5,6,18 mm CAPTIVE WEDGE</v>
      </c>
      <c r="D197" s="176" t="str">
        <f aca="false">IF($D$127=5,$Q$174,IF($D$127=6,$Q$174,IF($D$127=8,$Q$176,IF($D$127=10,"",IF($D$127=12,$Q$175,IF($D$127=14,"",IF($D$127=18,$Q$174,IF($D$127=20,$Q$175,IF($D$127=22,"",)))))))))</f>
        <v>02-022</v>
      </c>
      <c r="E197" s="176" t="n">
        <f aca="false">IF($D$127=5,R179,IF($D$127=6,R179,IF($D$127=8,R181,IF($D$127=10,"",IF($D$127=12,R180,IF($D$127=14,"",IF($D$127=18,R179,IF($D$127=20,R180,IF($D$127=22,"",)))))))))</f>
        <v>0</v>
      </c>
      <c r="F197" s="167" t="str">
        <f aca="false">IF($D$127=5,$S$174,IF($D$127=6,$S$174,IF($D$127=8,$S$176,IF($D$127=10,"",IF($D$127=12,$S$175,IF($D$127=14,"",IF($D$127=18,$S$174,IF($D$127=20,$S$175,IF($D$127=22,"",)))))))))</f>
        <v>02-022</v>
      </c>
      <c r="G197" s="167" t="str">
        <f aca="false">IF($D$127=5,$T$174,IF($D$127=6,$T$174,IF($D$127=8,$T$176,IF($D$127=10,"",IF($D$127=12,$T$175,IF($D$127=14,"",IF($D$127=18,$T$174,IF($D$127=20,$T$175,IF($D$127=22,"",)))))))))</f>
        <v>M</v>
      </c>
      <c r="H197" s="173" t="n">
        <f aca="false">IF($D$127=5,$U$174,IF($D$127=6,$U$174,IF($D$127=8,$U$176,IF($D$127=10,"",IF($D$127=12,$U$175,IF($D$127=14,"",IF($D$127=18,$U$174,IF($D$127=20,$U$175,IF($D$127=22,"")))))))))</f>
        <v>35.72</v>
      </c>
      <c r="I197" s="174" t="n">
        <f aca="false">IF($D$127=5,$V$174,IF($D$127=6,$V$174,IF($D$127=8,$V$176,IF($D$127=10,"",IF($D$127=12,$V$175,IF($D$127=14,"",IF($D$127=18,$V$174,IF($D$127=20,$V$175,IF($D$127=22,"",)))))))))</f>
        <v>100</v>
      </c>
      <c r="J197" s="175" t="n">
        <f aca="false">ROUNDUP((H197)/100,0)</f>
        <v>1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/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$J$120*H204</f>
        <v>0</v>
      </c>
    </row>
    <row r="205" s="96" customFormat="true" ht="18" hidden="false" customHeight="true" outlineLevel="0" collapsed="false">
      <c r="A205" s="179" t="str">
        <f aca="false">IF(B205="","",+""+1)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$J$120*H205</f>
        <v>0</v>
      </c>
    </row>
    <row r="206" customFormat="false" ht="18" hidden="false" customHeight="true" outlineLevel="0" collapsed="false">
      <c r="A206" s="200"/>
      <c r="B206" s="98"/>
      <c r="C206" s="96"/>
      <c r="D206" s="98"/>
      <c r="E206" s="97"/>
      <c r="F206" s="98"/>
      <c r="G206" s="98"/>
      <c r="H206" s="98"/>
      <c r="I206" s="196"/>
      <c r="J206" s="196"/>
    </row>
    <row r="207" customFormat="false" ht="12.75" hidden="false" customHeight="true" outlineLevel="0" collapsed="false">
      <c r="A207" s="97"/>
      <c r="J207" s="92" t="str">
        <f aca="false">LEFT($J$111,13)&amp;"-02"</f>
        <v>FG-240-6P5L1R-02</v>
      </c>
      <c r="K207" s="78"/>
      <c r="L207" s="78"/>
      <c r="M207" s="79"/>
      <c r="N207" s="79"/>
    </row>
    <row r="208" customFormat="false" ht="30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83"/>
      <c r="L208" s="83"/>
      <c r="M208" s="79"/>
      <c r="N208" s="79"/>
    </row>
    <row r="209" customFormat="false" ht="24.75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M210" s="87"/>
      <c r="N210" s="87"/>
    </row>
    <row r="211" s="96" customFormat="true" ht="1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K211" s="87"/>
      <c r="L211" s="87"/>
      <c r="M211" s="87"/>
      <c r="N211" s="87"/>
    </row>
    <row r="212" s="96" customFormat="true" ht="24.7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</row>
    <row r="213" customFormat="false" ht="20.2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4" s="96" customFormat="true" ht="15" hidden="false" customHeight="true" outlineLevel="0" collapsed="false">
      <c r="D214" s="73"/>
      <c r="J214" s="74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565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3440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.7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566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3414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519</v>
      </c>
      <c r="D243" s="98"/>
      <c r="E243" s="97"/>
      <c r="F243" s="98"/>
      <c r="G243" s="97"/>
      <c r="H243" s="97"/>
      <c r="I243" s="196"/>
      <c r="J243" s="196"/>
    </row>
    <row r="244" s="96" customFormat="true" ht="1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.7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3440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97"/>
      <c r="H252" s="97"/>
      <c r="I252" s="196"/>
      <c r="J252" s="196"/>
    </row>
    <row r="253" s="96" customFormat="true" ht="15.75" hidden="false" customHeight="true" outlineLevel="0" collapsed="false">
      <c r="A253" s="191"/>
      <c r="B253" s="191"/>
      <c r="D253" s="192"/>
      <c r="E253" s="191"/>
      <c r="F253" s="191"/>
      <c r="G253" s="97"/>
      <c r="H253" s="97"/>
      <c r="I253" s="196"/>
      <c r="J253" s="196"/>
    </row>
    <row r="254" s="96" customFormat="true" ht="15.75" hidden="false" customHeight="true" outlineLevel="0" collapsed="false">
      <c r="A254" s="190"/>
      <c r="B254" s="190"/>
      <c r="C254" s="184" t="s">
        <v>520</v>
      </c>
      <c r="D254" s="194"/>
      <c r="E254" s="190"/>
      <c r="F254" s="189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459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460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5" t="n">
        <f aca="false">$I$136</f>
        <v>3440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7" t="n">
        <f aca="false">$J$136</f>
        <v>1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C262" s="98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184" t="s">
        <v>696</v>
      </c>
      <c r="D264" s="98"/>
      <c r="E264" s="97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587</v>
      </c>
      <c r="D265" s="181"/>
      <c r="E265" s="181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468</v>
      </c>
      <c r="D266" s="181"/>
      <c r="E266" s="181"/>
      <c r="F266" s="97"/>
      <c r="G266" s="97"/>
      <c r="H266" s="97"/>
      <c r="J266" s="97"/>
    </row>
    <row r="267" s="96" customFormat="true" ht="15.75" hidden="false" customHeight="true" outlineLevel="0" collapsed="false">
      <c r="A267" s="200"/>
      <c r="C267" s="185" t="n">
        <f aca="false">$I$137</f>
        <v>2500</v>
      </c>
      <c r="D267" s="98"/>
      <c r="E267" s="97"/>
      <c r="F267" s="97"/>
      <c r="J267" s="97"/>
    </row>
    <row r="268" s="96" customFormat="true" ht="15.75" hidden="false" customHeight="true" outlineLevel="0" collapsed="false">
      <c r="A268" s="200"/>
      <c r="C268" s="187" t="n">
        <f aca="false">$J$137+$J$138</f>
        <v>2</v>
      </c>
      <c r="D268" s="98"/>
      <c r="E268" s="97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I272" s="196"/>
      <c r="J272" s="196"/>
    </row>
    <row r="273" s="96" customFormat="true" ht="15.75" hidden="false" customHeight="true" outlineLevel="0" collapsed="false">
      <c r="A273" s="200"/>
      <c r="D273" s="98"/>
      <c r="E273" s="97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C274" s="184" t="s">
        <v>523</v>
      </c>
      <c r="D274" s="201"/>
      <c r="E274" s="196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1" t="s">
        <v>470</v>
      </c>
      <c r="D275" s="181"/>
      <c r="E275" s="181"/>
      <c r="F275" s="97"/>
      <c r="G275" s="97"/>
      <c r="I275" s="97"/>
      <c r="J275" s="196"/>
    </row>
    <row r="276" s="96" customFormat="true" ht="15.75" hidden="false" customHeight="true" outlineLevel="0" collapsed="false">
      <c r="A276" s="200"/>
      <c r="C276" s="181" t="s">
        <v>471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5" t="n">
        <f aca="false">$I$139</f>
        <v>2404</v>
      </c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7" t="n">
        <f aca="false">$J$139+$J$140</f>
        <v>2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F279" s="97"/>
      <c r="G279" s="97"/>
      <c r="H279" s="97"/>
      <c r="J279" s="97"/>
    </row>
    <row r="280" s="96" customFormat="true" ht="15.75" hidden="false" customHeight="true" outlineLevel="0" collapsed="false">
      <c r="A280" s="200"/>
      <c r="D280" s="98"/>
      <c r="E280" s="97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I282" s="201"/>
      <c r="J282" s="196"/>
    </row>
    <row r="283" s="96" customFormat="true" ht="15.75" hidden="false" customHeight="true" outlineLevel="0" collapsed="false">
      <c r="A283" s="200"/>
      <c r="C283" s="184" t="s">
        <v>524</v>
      </c>
      <c r="F283" s="97"/>
      <c r="G283" s="97"/>
      <c r="H283" s="97"/>
      <c r="I283" s="97"/>
      <c r="J283" s="196"/>
    </row>
    <row r="284" s="96" customFormat="true" ht="15.75" hidden="false" customHeight="true" outlineLevel="0" collapsed="false">
      <c r="A284" s="200"/>
      <c r="C284" s="83" t="s">
        <v>677</v>
      </c>
      <c r="D284" s="98"/>
      <c r="E284" s="97"/>
      <c r="F284" s="97"/>
      <c r="G284" s="97"/>
      <c r="H284" s="97"/>
      <c r="I284" s="196"/>
      <c r="J284" s="196"/>
    </row>
    <row r="285" s="96" customFormat="true" ht="15.75" hidden="false" customHeight="true" outlineLevel="0" collapsed="false">
      <c r="A285" s="200"/>
      <c r="C285" s="181" t="s">
        <v>678</v>
      </c>
      <c r="D285" s="98"/>
      <c r="E285" s="97"/>
      <c r="F285" s="97"/>
      <c r="G285" s="97"/>
      <c r="H285" s="97"/>
      <c r="I285" s="196"/>
      <c r="J285" s="196"/>
    </row>
    <row r="286" s="202" customFormat="true" ht="15.75" hidden="false" customHeight="true" outlineLevel="0" collapsed="false">
      <c r="A286" s="200"/>
      <c r="B286" s="96"/>
      <c r="C286" s="181" t="s">
        <v>475</v>
      </c>
      <c r="D286" s="181"/>
      <c r="E286" s="181"/>
      <c r="F286" s="97"/>
      <c r="G286" s="97"/>
      <c r="H286" s="96"/>
      <c r="I286" s="196"/>
      <c r="J286" s="196"/>
    </row>
    <row r="287" s="96" customFormat="true" ht="15.75" hidden="false" customHeight="true" outlineLevel="0" collapsed="false">
      <c r="A287" s="200"/>
      <c r="C287" s="181" t="s">
        <v>476</v>
      </c>
      <c r="D287" s="181"/>
      <c r="E287" s="181"/>
      <c r="F287" s="97"/>
      <c r="G287" s="97"/>
      <c r="I287" s="97"/>
      <c r="J287" s="97"/>
    </row>
    <row r="288" s="96" customFormat="true" ht="15.75" hidden="false" customHeight="true" outlineLevel="0" collapsed="false">
      <c r="A288" s="200"/>
      <c r="C288" s="185" t="n">
        <f aca="false">$I$141</f>
        <v>568.666666666667</v>
      </c>
      <c r="F288" s="97"/>
      <c r="G288" s="97"/>
      <c r="I288" s="191"/>
      <c r="J288" s="199"/>
    </row>
    <row r="289" s="96" customFormat="true" ht="15.75" hidden="false" customHeight="true" outlineLevel="0" collapsed="false">
      <c r="A289" s="200"/>
      <c r="C289" s="187" t="n">
        <f aca="false">$J$141+$J$142</f>
        <v>12</v>
      </c>
      <c r="D289" s="98"/>
      <c r="E289" s="97"/>
      <c r="F289" s="97"/>
      <c r="G289" s="97"/>
      <c r="H289" s="98"/>
      <c r="I289" s="189"/>
      <c r="J289" s="190"/>
    </row>
    <row r="290" s="96" customFormat="true" ht="15.75" hidden="false" customHeight="true" outlineLevel="0" collapsed="false">
      <c r="A290" s="200"/>
      <c r="C290" s="185" t="n">
        <f aca="false">$I$143</f>
        <v>2408</v>
      </c>
      <c r="D290" s="98"/>
      <c r="E290" s="97"/>
      <c r="F290" s="97"/>
      <c r="G290" s="97"/>
      <c r="H290" s="97"/>
      <c r="I290" s="196"/>
      <c r="J290" s="196"/>
    </row>
    <row r="291" s="96" customFormat="true" ht="15.75" hidden="false" customHeight="true" outlineLevel="0" collapsed="false">
      <c r="A291" s="200"/>
      <c r="C291" s="187" t="n">
        <f aca="false">$J$143+$J$144+$J$145</f>
        <v>12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D292" s="98"/>
      <c r="E292" s="97"/>
      <c r="F292" s="97"/>
      <c r="G292" s="97"/>
      <c r="H292" s="97"/>
      <c r="I292" s="97"/>
      <c r="J292" s="196"/>
    </row>
    <row r="293" s="96" customFormat="true" ht="15.75" hidden="false" customHeight="true" outlineLevel="0" collapsed="false">
      <c r="A293" s="200"/>
      <c r="C293" s="202"/>
      <c r="D293" s="98"/>
      <c r="E293" s="97"/>
      <c r="F293" s="97"/>
      <c r="G293" s="97"/>
      <c r="H293" s="97"/>
      <c r="I293" s="97"/>
      <c r="J293" s="196"/>
    </row>
    <row r="294" s="96" customFormat="true" ht="15.75" hidden="false" customHeight="true" outlineLevel="0" collapsed="false">
      <c r="A294" s="200"/>
      <c r="C294" s="184" t="s">
        <v>525</v>
      </c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83" t="s">
        <v>677</v>
      </c>
      <c r="D295" s="98"/>
      <c r="E295" s="97"/>
      <c r="F295" s="97"/>
      <c r="G295" s="191"/>
      <c r="H295" s="191"/>
      <c r="I295" s="97"/>
      <c r="J295" s="196"/>
    </row>
    <row r="296" s="96" customFormat="true" ht="15.75" hidden="false" customHeight="true" outlineLevel="0" collapsed="false">
      <c r="A296" s="200"/>
      <c r="C296" s="181" t="s">
        <v>678</v>
      </c>
      <c r="D296" s="181"/>
      <c r="E296" s="181"/>
      <c r="F296" s="97"/>
      <c r="G296" s="190"/>
      <c r="H296" s="189"/>
      <c r="I296" s="97"/>
      <c r="J296" s="196"/>
    </row>
    <row r="297" s="96" customFormat="true" ht="15.75" hidden="false" customHeight="true" outlineLevel="0" collapsed="false">
      <c r="A297" s="107"/>
      <c r="C297" s="181" t="s">
        <v>478</v>
      </c>
      <c r="D297" s="181"/>
      <c r="E297" s="181"/>
      <c r="F297" s="97"/>
      <c r="G297" s="97"/>
      <c r="H297" s="97"/>
      <c r="I297" s="97"/>
      <c r="J297" s="196"/>
    </row>
    <row r="298" s="96" customFormat="true" ht="15.75" hidden="false" customHeight="true" outlineLevel="0" collapsed="false">
      <c r="A298" s="191"/>
      <c r="B298" s="191"/>
      <c r="C298" s="181" t="s">
        <v>479</v>
      </c>
      <c r="D298" s="203"/>
      <c r="E298" s="204"/>
      <c r="F298" s="191"/>
      <c r="G298" s="97"/>
      <c r="H298" s="97"/>
      <c r="I298" s="97"/>
      <c r="J298" s="196"/>
    </row>
    <row r="299" s="96" customFormat="true" ht="15.75" hidden="false" customHeight="true" outlineLevel="0" collapsed="false">
      <c r="A299" s="190"/>
      <c r="B299" s="190"/>
      <c r="C299" s="185" t="n">
        <f aca="false">$I$146</f>
        <v>458.125</v>
      </c>
      <c r="D299" s="205"/>
      <c r="E299" s="206"/>
      <c r="F299" s="189"/>
      <c r="G299" s="97"/>
      <c r="H299" s="97"/>
      <c r="I299" s="97"/>
      <c r="J299" s="196"/>
    </row>
    <row r="300" s="96" customFormat="true" ht="15.75" hidden="false" customHeight="true" outlineLevel="0" collapsed="false">
      <c r="A300" s="97"/>
      <c r="C300" s="187" t="n">
        <f aca="false">$J$146</f>
        <v>12</v>
      </c>
      <c r="D300" s="98"/>
      <c r="F300" s="97"/>
      <c r="G300" s="97"/>
      <c r="H300" s="97"/>
      <c r="I300" s="97"/>
      <c r="J300" s="196"/>
    </row>
    <row r="301" s="96" customFormat="true" ht="15.75" hidden="false" customHeight="true" outlineLevel="0" collapsed="false">
      <c r="A301" s="97"/>
      <c r="C301" s="185" t="n">
        <f aca="false">$I$147</f>
        <v>2258</v>
      </c>
      <c r="D301" s="98"/>
      <c r="F301" s="97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7" t="n">
        <f aca="false">$J$147</f>
        <v>12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C305" s="184" t="s">
        <v>591</v>
      </c>
      <c r="D305" s="98"/>
      <c r="E305" s="97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C306" s="181" t="s">
        <v>475</v>
      </c>
      <c r="D306" s="181"/>
      <c r="E306" s="181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249" t="s">
        <v>476</v>
      </c>
      <c r="D307" s="249"/>
      <c r="E307" s="249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185" t="n">
        <f aca="false">$I$148</f>
        <v>2408</v>
      </c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7" t="n">
        <f aca="false">$J$148+$J$149</f>
        <v>2</v>
      </c>
      <c r="D309" s="181"/>
      <c r="E309" s="181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D310" s="98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customFormat="false" ht="12.75" hidden="false" customHeight="true" outlineLevel="0" collapsed="false">
      <c r="A314" s="200"/>
      <c r="B314" s="96"/>
      <c r="C314" s="96"/>
      <c r="D314" s="201"/>
      <c r="E314" s="196"/>
      <c r="F314" s="97"/>
      <c r="G314" s="97"/>
      <c r="H314" s="97"/>
      <c r="I314" s="200"/>
      <c r="J314" s="92" t="str">
        <f aca="false">LEFT($J$111,13)&amp;"-03"</f>
        <v>FG-240-6P5L1R-03</v>
      </c>
    </row>
    <row r="315" customFormat="false" ht="30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24.75" hidden="false" customHeight="true" outlineLevel="0" collapsed="false">
      <c r="A316" s="97"/>
      <c r="B316" s="49"/>
      <c r="C316" s="49"/>
      <c r="D316" s="207"/>
      <c r="E316" s="200"/>
      <c r="F316" s="200"/>
      <c r="G316" s="200"/>
      <c r="H316" s="200"/>
      <c r="I316" s="208"/>
      <c r="J316" s="77" t="str">
        <f aca="false">$J$2</f>
        <v>HOMELIFE</v>
      </c>
      <c r="K316" s="83"/>
      <c r="L316" s="83"/>
      <c r="M316" s="79"/>
      <c r="N316" s="79"/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M317" s="87"/>
      <c r="N317" s="87"/>
    </row>
    <row r="318" s="96" customFormat="true" ht="1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K318" s="87"/>
      <c r="L318" s="87"/>
      <c r="M318" s="87"/>
      <c r="N318" s="87"/>
    </row>
    <row r="319" customFormat="false" ht="24.7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0.2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</row>
    <row r="321" s="96" customFormat="true" ht="15" hidden="false" customHeight="true" outlineLevel="0" collapsed="false">
      <c r="D321" s="73"/>
      <c r="J321" s="74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240-6 Panel (5L1R)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.7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81"/>
      <c r="B336" s="97"/>
      <c r="C336" s="98"/>
      <c r="D336" s="98"/>
      <c r="E336" s="97"/>
      <c r="F336" s="78"/>
      <c r="H336" s="97"/>
      <c r="I336" s="97"/>
      <c r="J336" s="97"/>
    </row>
    <row r="337" s="96" customFormat="true" ht="15.75" hidden="false" customHeight="true" outlineLevel="0" collapsed="false">
      <c r="A337" s="191"/>
      <c r="C337" s="212"/>
      <c r="D337" s="98"/>
      <c r="E337" s="97"/>
      <c r="F337" s="97"/>
      <c r="G337" s="97"/>
      <c r="H337" s="97"/>
      <c r="I337" s="191"/>
      <c r="J337" s="199"/>
    </row>
    <row r="338" s="96" customFormat="true" ht="15.75" hidden="false" customHeight="true" outlineLevel="0" collapsed="false">
      <c r="A338" s="190"/>
      <c r="C338" s="191"/>
      <c r="D338" s="192"/>
      <c r="E338" s="191"/>
      <c r="F338" s="191"/>
      <c r="G338" s="191"/>
      <c r="H338" s="191"/>
      <c r="I338" s="189"/>
      <c r="J338" s="190"/>
    </row>
    <row r="339" s="96" customFormat="true" ht="15.75" hidden="false" customHeight="true" outlineLevel="0" collapsed="false">
      <c r="A339" s="97"/>
      <c r="C339" s="98"/>
      <c r="D339" s="194"/>
      <c r="E339" s="190"/>
      <c r="F339" s="189"/>
      <c r="G339" s="190"/>
      <c r="H339" s="189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196"/>
      <c r="J340" s="196"/>
    </row>
    <row r="341" s="96" customFormat="true" ht="15.75" hidden="false" customHeight="true" outlineLevel="0" collapsed="false">
      <c r="A341" s="97"/>
      <c r="C341" s="98"/>
      <c r="D341" s="98"/>
      <c r="E341" s="97"/>
      <c r="F341" s="98"/>
      <c r="G341" s="97"/>
      <c r="H341" s="97"/>
      <c r="I341" s="201"/>
      <c r="J341" s="201"/>
    </row>
    <row r="342" s="96" customFormat="true" ht="15.75" hidden="false" customHeight="true" outlineLevel="0" collapsed="false">
      <c r="A342" s="97"/>
      <c r="C342" s="191"/>
      <c r="D342" s="98"/>
      <c r="E342" s="97"/>
      <c r="F342" s="98"/>
      <c r="G342" s="97"/>
      <c r="H342" s="201"/>
      <c r="I342" s="98"/>
      <c r="J342" s="98"/>
    </row>
    <row r="343" s="96" customFormat="true" ht="15.75" hidden="false" customHeight="true" outlineLevel="0" collapsed="false">
      <c r="A343" s="97"/>
      <c r="C343" s="182"/>
      <c r="D343" s="98"/>
      <c r="E343" s="97"/>
      <c r="F343" s="98"/>
      <c r="G343" s="97"/>
      <c r="H343" s="98"/>
      <c r="I343" s="98"/>
      <c r="J343" s="98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8"/>
      <c r="I344" s="97"/>
      <c r="J344" s="196"/>
    </row>
    <row r="345" s="96" customFormat="true" ht="15.75" hidden="false" customHeight="true" outlineLevel="0" collapsed="false">
      <c r="A345" s="97"/>
      <c r="C345" s="98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191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196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97"/>
      <c r="J351" s="196"/>
    </row>
    <row r="352" s="96" customFormat="true" ht="15.75" hidden="false" customHeight="true" outlineLevel="0" collapsed="false">
      <c r="A352" s="97"/>
      <c r="C352" s="98"/>
      <c r="D352" s="98"/>
      <c r="E352" s="97"/>
      <c r="F352" s="98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97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195"/>
      <c r="I354" s="196"/>
      <c r="J354" s="196"/>
    </row>
    <row r="355" s="96" customFormat="true" ht="15.75" hidden="false" customHeight="true" outlineLevel="0" collapsed="false">
      <c r="A355" s="97"/>
      <c r="D355" s="98"/>
      <c r="E355" s="97"/>
      <c r="F355" s="97"/>
      <c r="G355" s="97"/>
      <c r="H355" s="97"/>
      <c r="I355" s="97"/>
      <c r="J355" s="97"/>
    </row>
    <row r="356" s="96" customFormat="true" ht="15.75" hidden="false" customHeight="true" outlineLevel="0" collapsed="false">
      <c r="A356" s="191"/>
      <c r="D356" s="98"/>
      <c r="E356" s="97"/>
      <c r="F356" s="97"/>
      <c r="G356" s="97"/>
      <c r="H356" s="97"/>
      <c r="I356" s="191"/>
      <c r="J356" s="199"/>
    </row>
    <row r="357" s="96" customFormat="true" ht="15.75" hidden="false" customHeight="true" outlineLevel="0" collapsed="false">
      <c r="A357" s="190"/>
      <c r="B357" s="191"/>
      <c r="C357" s="191"/>
      <c r="D357" s="192"/>
      <c r="E357" s="191"/>
      <c r="F357" s="191"/>
      <c r="G357" s="191"/>
      <c r="H357" s="191"/>
      <c r="I357" s="189"/>
      <c r="J357" s="190"/>
    </row>
    <row r="358" s="96" customFormat="true" ht="15.75" hidden="false" customHeight="true" outlineLevel="0" collapsed="false">
      <c r="A358" s="200"/>
      <c r="B358" s="190"/>
      <c r="C358" s="191"/>
      <c r="D358" s="194"/>
      <c r="E358" s="190"/>
      <c r="F358" s="189"/>
      <c r="G358" s="190"/>
      <c r="H358" s="189"/>
      <c r="I358" s="196"/>
      <c r="J358" s="196"/>
    </row>
    <row r="359" s="96" customFormat="true" ht="15.75" hidden="false" customHeight="true" outlineLevel="0" collapsed="false">
      <c r="A359" s="200"/>
      <c r="C359" s="182"/>
      <c r="D359" s="98"/>
      <c r="E359" s="97"/>
      <c r="F359" s="97"/>
      <c r="G359" s="97"/>
      <c r="H359" s="182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98"/>
      <c r="J360" s="98"/>
    </row>
    <row r="361" s="96" customFormat="true" ht="15.75" hidden="false" customHeight="true" outlineLevel="0" collapsed="false">
      <c r="A361" s="200"/>
      <c r="C361" s="98"/>
      <c r="D361" s="98"/>
      <c r="E361" s="97"/>
      <c r="F361" s="97"/>
      <c r="G361" s="97"/>
      <c r="H361" s="98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C365" s="98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G372" s="97"/>
      <c r="H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97"/>
      <c r="I376" s="196"/>
      <c r="J376" s="196"/>
    </row>
    <row r="377" s="96" customFormat="true" ht="15.75" hidden="false" customHeight="true" outlineLevel="0" collapsed="false">
      <c r="A377" s="200"/>
      <c r="D377" s="98"/>
      <c r="E377" s="97"/>
      <c r="F377" s="97"/>
      <c r="G377" s="97"/>
      <c r="H377" s="182"/>
      <c r="I377" s="98"/>
      <c r="J377" s="98"/>
    </row>
    <row r="378" s="96" customFormat="true" ht="15.75" hidden="false" customHeight="true" outlineLevel="0" collapsed="false">
      <c r="A378" s="200"/>
      <c r="C378" s="188"/>
      <c r="D378" s="98"/>
      <c r="E378" s="97"/>
      <c r="F378" s="97"/>
      <c r="G378" s="97"/>
      <c r="H378" s="98"/>
      <c r="I378" s="98"/>
      <c r="J378" s="98"/>
    </row>
    <row r="379" s="96" customFormat="true" ht="15.75" hidden="false" customHeight="true" outlineLevel="0" collapsed="false">
      <c r="A379" s="200"/>
      <c r="D379" s="98"/>
      <c r="E379" s="97"/>
      <c r="F379" s="97"/>
      <c r="G379" s="97"/>
      <c r="H379" s="98"/>
      <c r="I379" s="196"/>
      <c r="J379" s="196"/>
    </row>
    <row r="380" s="96" customFormat="true" ht="15.75" hidden="false" customHeight="true" outlineLevel="0" collapsed="false">
      <c r="A380" s="200"/>
      <c r="C380" s="98"/>
      <c r="D380" s="98"/>
      <c r="E380" s="97"/>
      <c r="F380" s="97"/>
      <c r="G380" s="97"/>
      <c r="H380" s="182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98"/>
      <c r="J381" s="98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8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196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97"/>
      <c r="J388" s="196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97"/>
      <c r="I389" s="213"/>
      <c r="J389" s="213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213"/>
      <c r="I390" s="97"/>
      <c r="J390" s="97"/>
    </row>
    <row r="391" s="96" customFormat="true" ht="15.75" hidden="false" customHeight="true" outlineLevel="0" collapsed="false">
      <c r="A391" s="200"/>
      <c r="D391" s="98"/>
      <c r="E391" s="97"/>
      <c r="F391" s="97"/>
      <c r="G391" s="97"/>
      <c r="H391" s="97"/>
      <c r="I391" s="98"/>
      <c r="J391" s="98"/>
    </row>
    <row r="392" s="96" customFormat="true" ht="15.75" hidden="false" customHeight="true" outlineLevel="0" collapsed="false">
      <c r="A392" s="200"/>
      <c r="C392" s="188"/>
      <c r="D392" s="98"/>
      <c r="E392" s="97"/>
      <c r="F392" s="97"/>
      <c r="G392" s="97"/>
      <c r="H392" s="98"/>
      <c r="I392" s="196"/>
      <c r="J392" s="196"/>
    </row>
    <row r="393" s="96" customFormat="true" ht="15.75" hidden="false" customHeight="true" outlineLevel="0" collapsed="false">
      <c r="A393" s="200"/>
      <c r="D393" s="98"/>
      <c r="E393" s="97"/>
      <c r="F393" s="97"/>
      <c r="G393" s="97"/>
      <c r="H393" s="97"/>
      <c r="I393" s="97"/>
      <c r="J393" s="196"/>
    </row>
    <row r="394" s="96" customFormat="true" ht="15.75" hidden="false" customHeight="true" outlineLevel="0" collapsed="false">
      <c r="A394" s="200"/>
      <c r="C394" s="98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200"/>
      <c r="D396" s="98"/>
      <c r="E396" s="97"/>
      <c r="F396" s="97"/>
      <c r="G396" s="97"/>
      <c r="H396" s="97"/>
      <c r="I396" s="196"/>
      <c r="J396" s="196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07"/>
      <c r="D405" s="98"/>
      <c r="E405" s="97"/>
      <c r="F405" s="97"/>
      <c r="G405" s="97"/>
      <c r="H405" s="97"/>
      <c r="I405" s="97"/>
      <c r="J405" s="97"/>
    </row>
    <row r="406" s="96" customFormat="true" ht="15.75" hidden="false" customHeight="true" outlineLevel="0" collapsed="false">
      <c r="A406" s="191"/>
      <c r="D406" s="98"/>
      <c r="E406" s="97"/>
      <c r="F406" s="97"/>
      <c r="G406" s="97"/>
      <c r="H406" s="97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  <c r="K418" s="214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</row>
    <row r="420" customFormat="false" ht="18" hidden="false" customHeight="true" outlineLevel="0" collapsed="false">
      <c r="A420" s="97"/>
      <c r="B420" s="96"/>
      <c r="C420" s="96"/>
      <c r="D420" s="98"/>
      <c r="E420" s="97"/>
      <c r="F420" s="97"/>
      <c r="G420" s="97"/>
      <c r="H420" s="97"/>
      <c r="I420" s="196"/>
      <c r="J420" s="96"/>
      <c r="K420" s="78"/>
      <c r="L420" s="78"/>
      <c r="M420" s="79"/>
      <c r="N420" s="79"/>
    </row>
    <row r="421" customFormat="false" ht="12.75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LEFT($J$111,13)&amp;"-04"</f>
        <v>FG-240-6P5L1R-04</v>
      </c>
      <c r="K421" s="78"/>
      <c r="L421" s="78"/>
      <c r="M421" s="79"/>
      <c r="N421" s="79"/>
    </row>
    <row r="422" customFormat="false" ht="30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24.75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77" t="str">
        <f aca="false">$J$2</f>
        <v>HOMELIFE</v>
      </c>
      <c r="K423" s="78"/>
      <c r="L423" s="78"/>
      <c r="M423" s="79"/>
      <c r="N423" s="79"/>
    </row>
    <row r="424" customFormat="false" ht="24.75" hidden="false" customHeight="true" outlineLevel="0" collapsed="false">
      <c r="A424" s="97"/>
      <c r="B424" s="96"/>
      <c r="C424" s="96"/>
      <c r="D424" s="98"/>
      <c r="E424" s="97"/>
      <c r="F424" s="97"/>
      <c r="G424" s="97"/>
      <c r="H424" s="97"/>
      <c r="I424" s="97"/>
      <c r="J424" s="80" t="str">
        <f aca="false">$J$3</f>
        <v>Fabricators Guide</v>
      </c>
      <c r="M424" s="87"/>
      <c r="N424" s="87"/>
    </row>
    <row r="425" s="96" customFormat="true" ht="1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$J$4</f>
        <v>240 Series Bi Fold Door </v>
      </c>
      <c r="K425" s="87"/>
      <c r="L425" s="87"/>
      <c r="M425" s="87"/>
      <c r="N425" s="87"/>
    </row>
    <row r="426" s="96" customFormat="true" ht="24.7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1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.75" hidden="false" customHeight="true" outlineLevel="0" collapsed="false">
      <c r="A439" s="211" t="str">
        <f aca="false">A18</f>
        <v>240-6 Panel (5L1R)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81"/>
      <c r="C442" s="98"/>
      <c r="D442" s="98"/>
      <c r="E442" s="97"/>
      <c r="F442" s="78"/>
      <c r="H442" s="191"/>
      <c r="I442" s="191"/>
      <c r="J442" s="199"/>
    </row>
    <row r="443" s="96" customFormat="true" ht="15.75" hidden="false" customHeight="true" outlineLevel="0" collapsed="false">
      <c r="A443" s="81"/>
      <c r="C443" s="98"/>
      <c r="D443" s="98"/>
      <c r="E443" s="97"/>
      <c r="F443" s="78"/>
      <c r="H443" s="191"/>
      <c r="I443" s="191"/>
      <c r="J443" s="199"/>
    </row>
    <row r="444" s="96" customFormat="true" ht="15.75" hidden="false" customHeight="true" outlineLevel="0" collapsed="false">
      <c r="A444" s="81"/>
      <c r="C444" s="98"/>
      <c r="D444" s="98"/>
      <c r="E444" s="97"/>
      <c r="F444" s="78"/>
      <c r="H444" s="191"/>
      <c r="I444" s="191"/>
      <c r="J444" s="199"/>
    </row>
    <row r="445" s="96" customFormat="true" ht="15.75" hidden="false" customHeight="true" outlineLevel="0" collapsed="false">
      <c r="A445" s="191"/>
      <c r="C445" s="212"/>
      <c r="D445" s="98"/>
      <c r="E445" s="97"/>
      <c r="F445" s="97"/>
      <c r="H445" s="191"/>
      <c r="I445" s="191"/>
      <c r="J445" s="199"/>
    </row>
    <row r="446" customFormat="false" ht="14.25" hidden="false" customHeight="false" outlineLevel="0" collapsed="false">
      <c r="A446" s="190"/>
      <c r="B446" s="96"/>
      <c r="C446" s="191"/>
      <c r="D446" s="192"/>
      <c r="E446" s="191"/>
      <c r="F446" s="191"/>
      <c r="G446" s="96"/>
      <c r="H446" s="191"/>
      <c r="I446" s="191"/>
      <c r="J446" s="199"/>
    </row>
    <row r="447" customFormat="false" ht="15" hidden="false" customHeight="true" outlineLevel="0" collapsed="false">
      <c r="B447" s="211"/>
      <c r="C447" s="98"/>
      <c r="D447" s="98"/>
      <c r="E447" s="97"/>
      <c r="F447" s="98"/>
      <c r="G447" s="97"/>
      <c r="H447" s="97"/>
    </row>
    <row r="451" s="96" customFormat="true" ht="15.75" hidden="false" customHeight="true" outlineLevel="0" collapsed="false">
      <c r="D451" s="73"/>
      <c r="J451" s="74"/>
    </row>
    <row r="452" s="96" customFormat="true" ht="15.75" hidden="false" customHeight="true" outlineLevel="0" collapsed="false">
      <c r="A452" s="97"/>
      <c r="D452" s="73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191"/>
      <c r="D456" s="98"/>
      <c r="E456" s="97"/>
      <c r="F456" s="98"/>
      <c r="G456" s="97"/>
      <c r="H456" s="97"/>
      <c r="I456" s="196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196"/>
      <c r="J457" s="196"/>
    </row>
    <row r="458" s="96" customFormat="true" ht="15.75" hidden="false" customHeight="true" outlineLevel="0" collapsed="false">
      <c r="A458" s="97"/>
      <c r="C458" s="98"/>
      <c r="D458" s="98"/>
      <c r="E458" s="97"/>
      <c r="F458" s="98"/>
      <c r="G458" s="97"/>
      <c r="H458" s="97"/>
      <c r="I458" s="97"/>
      <c r="J458" s="196"/>
    </row>
    <row r="459" s="96" customFormat="true" ht="15.75" hidden="false" customHeight="true" outlineLevel="0" collapsed="false">
      <c r="A459" s="97"/>
      <c r="C459" s="98"/>
      <c r="D459" s="98"/>
      <c r="E459" s="97"/>
      <c r="F459" s="98"/>
      <c r="G459" s="97"/>
      <c r="H459" s="97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195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96" customFormat="true" ht="15" hidden="false" customHeight="true" outlineLevel="0" collapsed="false">
      <c r="A477" s="97"/>
      <c r="D477" s="98"/>
      <c r="E477" s="97"/>
      <c r="F477" s="97"/>
      <c r="G477" s="97"/>
      <c r="H477" s="97"/>
      <c r="I477" s="196"/>
      <c r="J477" s="196"/>
    </row>
    <row r="478" s="202" customFormat="true" ht="15.75" hidden="false" customHeight="true" outlineLevel="0" collapsed="false">
      <c r="A478" s="97"/>
      <c r="B478" s="96"/>
      <c r="C478" s="96"/>
      <c r="D478" s="98"/>
      <c r="E478" s="97"/>
      <c r="F478" s="97"/>
      <c r="G478" s="97"/>
      <c r="H478" s="97"/>
      <c r="I478" s="196"/>
      <c r="J478" s="196"/>
    </row>
    <row r="479" s="96" customFormat="true" ht="15.75" hidden="false" customHeight="true" outlineLevel="0" collapsed="false">
      <c r="A479" s="97"/>
      <c r="D479" s="98"/>
      <c r="E479" s="97"/>
      <c r="F479" s="97"/>
      <c r="G479" s="97"/>
      <c r="H479" s="97"/>
      <c r="I479" s="97"/>
      <c r="J479" s="97"/>
    </row>
    <row r="480" s="96" customFormat="true" ht="15.75" hidden="false" customHeight="true" outlineLevel="0" collapsed="false">
      <c r="A480" s="191"/>
      <c r="D480" s="98"/>
      <c r="E480" s="97"/>
      <c r="F480" s="97"/>
      <c r="G480" s="97"/>
      <c r="H480" s="97"/>
      <c r="I480" s="191"/>
      <c r="J480" s="199"/>
    </row>
    <row r="481" s="96" customFormat="true" ht="15.75" hidden="false" customHeight="true" outlineLevel="0" collapsed="false">
      <c r="A481" s="190"/>
      <c r="B481" s="191"/>
      <c r="C481" s="191"/>
      <c r="D481" s="192"/>
      <c r="E481" s="191"/>
      <c r="F481" s="191"/>
      <c r="G481" s="191"/>
      <c r="H481" s="191"/>
      <c r="I481" s="189"/>
      <c r="J481" s="190"/>
    </row>
    <row r="482" s="96" customFormat="true" ht="15.75" hidden="false" customHeight="true" outlineLevel="0" collapsed="false">
      <c r="A482" s="200"/>
      <c r="B482" s="190"/>
      <c r="C482" s="191"/>
      <c r="D482" s="194"/>
      <c r="E482" s="190"/>
      <c r="F482" s="189"/>
      <c r="G482" s="190"/>
      <c r="H482" s="189"/>
      <c r="I482" s="196"/>
      <c r="J482" s="196"/>
    </row>
    <row r="483" s="96" customFormat="true" ht="15.75" hidden="false" customHeight="true" outlineLevel="0" collapsed="false">
      <c r="A483" s="200"/>
      <c r="C483" s="182"/>
      <c r="D483" s="98"/>
      <c r="E483" s="97"/>
      <c r="F483" s="97"/>
      <c r="G483" s="97"/>
      <c r="H483" s="182"/>
      <c r="J483" s="97"/>
    </row>
    <row r="484" s="96" customFormat="true" ht="15.75" hidden="false" customHeight="true" outlineLevel="0" collapsed="false">
      <c r="A484" s="200"/>
      <c r="C484" s="98"/>
      <c r="D484" s="98"/>
      <c r="E484" s="97"/>
      <c r="F484" s="97"/>
      <c r="G484" s="97"/>
      <c r="J484" s="97"/>
    </row>
    <row r="485" s="96" customFormat="true" ht="15.75" hidden="false" customHeight="true" outlineLevel="0" collapsed="false">
      <c r="A485" s="200"/>
      <c r="C485" s="98"/>
      <c r="D485" s="98"/>
      <c r="E485" s="97"/>
      <c r="F485" s="97"/>
      <c r="G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C489" s="98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G495" s="97"/>
      <c r="H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97"/>
      <c r="I499" s="196"/>
      <c r="J499" s="196"/>
    </row>
    <row r="500" s="96" customFormat="true" ht="15.75" hidden="false" customHeight="true" outlineLevel="0" collapsed="false">
      <c r="A500" s="200"/>
      <c r="D500" s="98"/>
      <c r="E500" s="97"/>
      <c r="F500" s="97"/>
      <c r="G500" s="97"/>
      <c r="H500" s="97"/>
      <c r="I500" s="196"/>
      <c r="J500" s="196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H501" s="182"/>
      <c r="J501" s="97"/>
    </row>
    <row r="502" s="96" customFormat="true" ht="15.75" hidden="false" customHeight="true" outlineLevel="0" collapsed="false">
      <c r="A502" s="200"/>
      <c r="C502" s="188"/>
      <c r="D502" s="98"/>
      <c r="E502" s="97"/>
      <c r="F502" s="97"/>
      <c r="G502" s="97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I503" s="196"/>
      <c r="J503" s="196"/>
    </row>
    <row r="504" s="96" customFormat="true" ht="15.75" hidden="false" customHeight="true" outlineLevel="0" collapsed="false">
      <c r="A504" s="200"/>
      <c r="C504" s="98"/>
      <c r="D504" s="98"/>
      <c r="E504" s="97"/>
      <c r="F504" s="97"/>
      <c r="G504" s="97"/>
      <c r="H504" s="182"/>
      <c r="J504" s="97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J505" s="97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196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196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97"/>
      <c r="J513" s="196"/>
    </row>
    <row r="514" s="96" customFormat="true" ht="15.75" hidden="false" customHeight="true" outlineLevel="0" collapsed="false">
      <c r="A514" s="200"/>
      <c r="D514" s="98"/>
      <c r="E514" s="97"/>
      <c r="F514" s="97"/>
      <c r="G514" s="97"/>
      <c r="H514" s="97"/>
      <c r="I514" s="212"/>
      <c r="J514" s="195"/>
    </row>
    <row r="515" s="96" customFormat="true" ht="15.75" hidden="false" customHeight="true" outlineLevel="0" collapsed="false">
      <c r="A515" s="200"/>
      <c r="D515" s="98"/>
      <c r="E515" s="97"/>
      <c r="F515" s="97"/>
      <c r="G515" s="97"/>
      <c r="H515" s="238"/>
      <c r="J515" s="97"/>
    </row>
    <row r="516" s="96" customFormat="true" ht="15.75" hidden="false" customHeight="true" outlineLevel="0" collapsed="false">
      <c r="A516" s="191"/>
      <c r="D516" s="98"/>
      <c r="E516" s="97"/>
      <c r="F516" s="97"/>
      <c r="G516" s="97"/>
      <c r="I516" s="191"/>
      <c r="J516" s="199"/>
    </row>
    <row r="517" s="96" customFormat="true" ht="15.75" hidden="false" customHeight="true" outlineLevel="0" collapsed="false">
      <c r="B517" s="191"/>
      <c r="C517" s="191"/>
      <c r="D517" s="192"/>
      <c r="E517" s="191"/>
      <c r="F517" s="191"/>
      <c r="G517" s="191"/>
      <c r="H517" s="191"/>
    </row>
    <row r="518" s="96" customFormat="true" ht="24.75" hidden="false" customHeight="true" outlineLevel="0" collapsed="false"/>
    <row r="519" s="96" customFormat="true" ht="34.5" hidden="false" customHeight="true" outlineLevel="0" collapsed="false">
      <c r="A519" s="88" t="s">
        <v>482</v>
      </c>
      <c r="B519" s="88"/>
      <c r="C519" s="88"/>
      <c r="D519" s="88"/>
      <c r="E519" s="88"/>
      <c r="F519" s="88"/>
      <c r="G519" s="88"/>
      <c r="H519" s="88"/>
      <c r="I519" s="88"/>
      <c r="J519" s="88"/>
      <c r="N519" s="118" t="s">
        <v>168</v>
      </c>
      <c r="O519" s="118" t="s">
        <v>168</v>
      </c>
    </row>
    <row r="520" s="96" customFormat="true" ht="15.75" hidden="false" customHeight="true" outlineLevel="0" collapsed="false">
      <c r="A520" s="114" t="s">
        <v>319</v>
      </c>
      <c r="B520" s="115" t="s">
        <v>168</v>
      </c>
      <c r="C520" s="115" t="s">
        <v>168</v>
      </c>
      <c r="D520" s="116" t="s">
        <v>483</v>
      </c>
      <c r="E520" s="115" t="s">
        <v>321</v>
      </c>
      <c r="F520" s="239" t="s">
        <v>484</v>
      </c>
      <c r="G520" s="240"/>
      <c r="H520" s="116" t="s">
        <v>484</v>
      </c>
      <c r="I520" s="116" t="s">
        <v>485</v>
      </c>
      <c r="J520" s="117" t="s">
        <v>323</v>
      </c>
      <c r="M520" s="96" t="n">
        <f aca="false">ROW()</f>
        <v>520</v>
      </c>
      <c r="N520" s="62" t="s">
        <v>489</v>
      </c>
      <c r="O520" s="62" t="s">
        <v>490</v>
      </c>
    </row>
    <row r="521" s="96" customFormat="true" ht="15.75" hidden="false" customHeight="true" outlineLevel="0" collapsed="false">
      <c r="A521" s="120" t="n">
        <f aca="false">IF(C521="","",1)</f>
        <v>1</v>
      </c>
      <c r="B521" s="121" t="str">
        <f aca="false">IF($D$127=5,N520,IF($D$127=6,N521,IF($D$127=8,N522,IF($D$127=10,N523,IF($D$127=12,N524,IF($D$127=14,N525,IF($D$127=18,N526,IF($D$127=20,N527,IF($D$127=22,N528,)))))))))</f>
        <v>กระจก 6 mm (สูง) (กว้าง)</v>
      </c>
      <c r="C521" s="121" t="str">
        <f aca="false">IF($D$127=5,O520,IF($D$127=6,O521,IF($D$127=8,O522,IF($D$127=10,O523,IF($D$127=12,O524,IF($D$127=14,O525,IF($D$127=18,O526,IF($D$127=20,O527,IF($D$127=22,O528,)))))))))</f>
        <v>GLASS thk.6 mm (H) (W)</v>
      </c>
      <c r="D521" s="123" t="n">
        <f aca="false">$J$123-215</f>
        <v>2285</v>
      </c>
      <c r="E521" s="120" t="s">
        <v>486</v>
      </c>
      <c r="F521" s="224" t="s">
        <v>487</v>
      </c>
      <c r="G521" s="224"/>
      <c r="H521" s="120" t="s">
        <v>680</v>
      </c>
      <c r="I521" s="225" t="n">
        <f aca="false">(($J$126-185-(113.25*5))/6)-13</f>
        <v>445.125</v>
      </c>
      <c r="J521" s="226" t="n">
        <f aca="false">$J$120*6</f>
        <v>6</v>
      </c>
      <c r="M521" s="96" t="n">
        <f aca="false">ROW()</f>
        <v>521</v>
      </c>
      <c r="N521" s="62" t="s">
        <v>491</v>
      </c>
      <c r="O521" s="62" t="s">
        <v>492</v>
      </c>
    </row>
    <row r="522" s="96" customFormat="true" ht="15.75" hidden="false" customHeight="true" outlineLevel="0" collapsed="false">
      <c r="A522" s="269"/>
      <c r="B522" s="228"/>
      <c r="C522" s="228"/>
      <c r="D522" s="176"/>
      <c r="E522" s="167"/>
      <c r="F522" s="229"/>
      <c r="G522" s="230"/>
      <c r="H522" s="167"/>
      <c r="I522" s="231"/>
      <c r="J522" s="232"/>
      <c r="M522" s="96" t="n">
        <f aca="false">ROW()</f>
        <v>522</v>
      </c>
      <c r="N522" s="62" t="s">
        <v>493</v>
      </c>
      <c r="O522" s="62" t="s">
        <v>494</v>
      </c>
    </row>
    <row r="523" s="96" customFormat="true" ht="15.75" hidden="false" customHeight="true" outlineLevel="0" collapsed="false">
      <c r="A523" s="269"/>
      <c r="B523" s="228"/>
      <c r="C523" s="228"/>
      <c r="D523" s="176"/>
      <c r="E523" s="167"/>
      <c r="F523" s="229"/>
      <c r="G523" s="230"/>
      <c r="H523" s="167"/>
      <c r="I523" s="231"/>
      <c r="J523" s="232"/>
      <c r="M523" s="96" t="n">
        <f aca="false">ROW()</f>
        <v>523</v>
      </c>
      <c r="N523" s="62" t="s">
        <v>495</v>
      </c>
      <c r="O523" s="62" t="s">
        <v>496</v>
      </c>
    </row>
    <row r="524" s="96" customFormat="true" ht="15.75" hidden="false" customHeight="true" outlineLevel="0" collapsed="false">
      <c r="A524" s="130" t="str">
        <f aca="false">IF(B524="","",+""+1)</f>
        <v/>
      </c>
      <c r="B524" s="131"/>
      <c r="C524" s="131"/>
      <c r="D524" s="132"/>
      <c r="E524" s="130"/>
      <c r="F524" s="233"/>
      <c r="G524" s="270"/>
      <c r="H524" s="130"/>
      <c r="I524" s="142"/>
      <c r="J524" s="133"/>
      <c r="M524" s="96" t="n">
        <f aca="false">ROW()</f>
        <v>524</v>
      </c>
      <c r="N524" s="62" t="s">
        <v>497</v>
      </c>
      <c r="O524" s="62" t="s">
        <v>498</v>
      </c>
    </row>
    <row r="525" s="96" customFormat="true" ht="15.75" hidden="false" customHeight="true" outlineLevel="0" collapsed="false">
      <c r="A525" s="136" t="str">
        <f aca="false">IF(B525="","",+A524+1)</f>
        <v/>
      </c>
      <c r="B525" s="135"/>
      <c r="C525" s="135"/>
      <c r="D525" s="139"/>
      <c r="E525" s="136"/>
      <c r="F525" s="236"/>
      <c r="G525" s="237"/>
      <c r="H525" s="136"/>
      <c r="I525" s="180"/>
      <c r="J525" s="140"/>
      <c r="M525" s="96" t="n">
        <f aca="false">ROW()</f>
        <v>525</v>
      </c>
      <c r="N525" s="62" t="s">
        <v>499</v>
      </c>
      <c r="O525" s="62" t="s">
        <v>500</v>
      </c>
    </row>
    <row r="526" customFormat="false" ht="14.25" hidden="false" customHeight="false" outlineLevel="0" collapsed="false">
      <c r="A526" s="97"/>
      <c r="B526" s="96"/>
      <c r="C526" s="96"/>
      <c r="D526" s="98"/>
      <c r="E526" s="97"/>
      <c r="F526" s="97"/>
      <c r="G526" s="97"/>
      <c r="H526" s="97"/>
      <c r="I526" s="97"/>
      <c r="J526" s="196"/>
      <c r="M526" s="96" t="n">
        <f aca="false">ROW()</f>
        <v>526</v>
      </c>
      <c r="N526" s="62" t="s">
        <v>501</v>
      </c>
      <c r="O526" s="62" t="s">
        <v>502</v>
      </c>
    </row>
    <row r="527" customFormat="false" ht="14.25" hidden="false" customHeight="false" outlineLevel="0" collapsed="false">
      <c r="J527" s="92" t="str">
        <f aca="false">LEFT($J$111,13)&amp;"-05"</f>
        <v>FG-240-6P5L1R-05</v>
      </c>
      <c r="M527" s="96" t="n">
        <f aca="false">ROW()</f>
        <v>527</v>
      </c>
      <c r="N527" s="62" t="s">
        <v>503</v>
      </c>
      <c r="O527" s="62" t="s">
        <v>504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505</v>
      </c>
      <c r="O528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7"/>
    <mergeCell ref="H163:H167"/>
    <mergeCell ref="I166:J167"/>
    <mergeCell ref="D168:D169"/>
    <mergeCell ref="H168:H169"/>
    <mergeCell ref="I168:J168"/>
    <mergeCell ref="D170:D171"/>
    <mergeCell ref="H170:H171"/>
    <mergeCell ref="A172:J172"/>
    <mergeCell ref="A213:J213"/>
    <mergeCell ref="C307:E307"/>
    <mergeCell ref="A320:J320"/>
    <mergeCell ref="F330:G330"/>
    <mergeCell ref="F331:G331"/>
    <mergeCell ref="F334:G334"/>
    <mergeCell ref="A427:J427"/>
    <mergeCell ref="A519:J519"/>
    <mergeCell ref="F521:G521"/>
  </mergeCells>
  <dataValidations count="4">
    <dataValidation allowBlank="true" errorStyle="stop" operator="between" showDropDown="false" showErrorMessage="true" showInputMessage="true" sqref="D127:G127" type="list">
      <formula1>$N$120:$N$128</formula1>
      <formula2>0</formula2>
    </dataValidation>
    <dataValidation allowBlank="true" errorStyle="stop" operator="between" showDropDown="false" showErrorMessage="true" showInputMessage="true" sqref="C206" type="list">
      <formula1>$O$174:$O$192</formula1>
      <formula2>0</formula2>
    </dataValidation>
    <dataValidation allowBlank="true" errorStyle="stop" operator="between" showDropDown="false" showErrorMessage="true" showInputMessage="true" sqref="D129:G129" type="list">
      <formula1>$O$120</formula1>
      <formula2>0</formula2>
    </dataValidation>
    <dataValidation allowBlank="true" errorStyle="stop" operator="between" showDropDown="false" showErrorMessage="true" showInputMessage="true" sqref="D123:G123" type="list">
      <formula1>$P$119:$P$128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3" man="true" max="16383" min="0"/>
    <brk id="421" man="true" max="16383" min="0"/>
  </rowBreak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528"/>
  <sheetViews>
    <sheetView showFormulas="false" showGridLines="false" showRowColHeaders="true" showZeros="true" rightToLeft="false" tabSelected="false" showOutlineSymbols="true" defaultGridColor="true" view="pageBreakPreview" topLeftCell="A115" colorId="64" zoomScale="75" zoomScaleNormal="75" zoomScalePageLayoutView="75" workbookViewId="0">
      <selection pane="topLeft" activeCell="H126" activeCellId="0" sqref="H126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34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7.88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3.44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697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>
      <c r="G45" s="91"/>
    </row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698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246" t="s">
        <v>285</v>
      </c>
      <c r="B117" s="246"/>
      <c r="C117" s="246"/>
      <c r="D117" s="246"/>
      <c r="E117" s="246"/>
      <c r="F117" s="246"/>
      <c r="G117" s="246"/>
      <c r="H117" s="246"/>
      <c r="I117" s="246"/>
      <c r="J117" s="246"/>
      <c r="K117" s="83"/>
      <c r="L117" s="87"/>
      <c r="M117" s="87"/>
      <c r="N117" s="87"/>
    </row>
    <row r="118" s="96" customFormat="true" ht="15" hidden="false" customHeight="true" outlineLevel="0" collapsed="false">
      <c r="A118" s="97"/>
      <c r="C118" s="81"/>
      <c r="D118" s="98"/>
      <c r="E118" s="83"/>
      <c r="J118" s="99"/>
      <c r="K118" s="83"/>
    </row>
    <row r="119" s="96" customFormat="true" ht="15" hidden="false" customHeight="true" outlineLevel="0" collapsed="false">
      <c r="A119" s="97"/>
      <c r="C119" s="100" t="s">
        <v>286</v>
      </c>
      <c r="D119" s="101" t="s">
        <v>671</v>
      </c>
      <c r="E119" s="101"/>
      <c r="F119" s="101"/>
      <c r="G119" s="101"/>
      <c r="I119" s="83"/>
      <c r="J119" s="97"/>
      <c r="N119" s="258" t="s">
        <v>288</v>
      </c>
      <c r="O119" s="97" t="s">
        <v>289</v>
      </c>
      <c r="P119" s="102" t="s">
        <v>290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5</v>
      </c>
      <c r="O120" s="97" t="s">
        <v>509</v>
      </c>
      <c r="P120" s="106" t="s">
        <v>294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6</v>
      </c>
      <c r="O121" s="97" t="s">
        <v>296</v>
      </c>
      <c r="P121" s="106" t="s">
        <v>297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8</v>
      </c>
      <c r="P122" s="106" t="s">
        <v>299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305</v>
      </c>
      <c r="E123" s="101"/>
      <c r="F123" s="101"/>
      <c r="G123" s="101"/>
      <c r="H123" s="104" t="s">
        <v>302</v>
      </c>
      <c r="I123" s="104"/>
      <c r="J123" s="105" t="n">
        <v>3000</v>
      </c>
      <c r="N123" s="259" t="n">
        <v>10</v>
      </c>
      <c r="P123" s="106" t="s">
        <v>303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12</v>
      </c>
      <c r="P124" s="106" t="s">
        <v>305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699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14</v>
      </c>
      <c r="P125" s="106" t="s">
        <v>308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4200</v>
      </c>
      <c r="K126" s="110"/>
      <c r="L126" s="110"/>
      <c r="N126" s="259" t="n">
        <v>18</v>
      </c>
      <c r="P126" s="106" t="s">
        <v>311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5</v>
      </c>
      <c r="E127" s="111"/>
      <c r="F127" s="111"/>
      <c r="G127" s="111"/>
      <c r="H127" s="104"/>
      <c r="I127" s="104"/>
      <c r="J127" s="105"/>
      <c r="N127" s="259" t="n">
        <v>20</v>
      </c>
      <c r="P127" s="106" t="s">
        <v>313</v>
      </c>
    </row>
    <row r="128" s="96" customFormat="true" ht="18.75" hidden="false" customHeight="true" outlineLevel="0" collapsed="false">
      <c r="C128" s="108" t="s">
        <v>314</v>
      </c>
      <c r="I128" s="97"/>
      <c r="J128" s="97"/>
      <c r="N128" s="259" t="n">
        <v>22</v>
      </c>
      <c r="P128" s="106" t="s">
        <v>315</v>
      </c>
    </row>
    <row r="129" s="96" customFormat="true" ht="15" hidden="false" customHeight="true" outlineLevel="0" collapsed="false">
      <c r="A129" s="89" t="str">
        <f aca="false">A18</f>
        <v>240-6 Panel (6L)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330</v>
      </c>
      <c r="G133" s="120" t="n">
        <v>1</v>
      </c>
      <c r="H133" s="120" t="s">
        <v>331</v>
      </c>
      <c r="I133" s="123" t="n">
        <f aca="false">$J$126-60</f>
        <v>4140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12</v>
      </c>
      <c r="U133" s="127" t="s">
        <v>700</v>
      </c>
      <c r="V133" s="128" t="n">
        <f aca="false">($J$126-182-(113.25*5))/6</f>
        <v>575.291666666667</v>
      </c>
      <c r="W133" s="129" t="n">
        <f aca="false">$J$121*T133</f>
        <v>0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4114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12</v>
      </c>
      <c r="U134" s="130" t="s">
        <v>700</v>
      </c>
      <c r="V134" s="128" t="n">
        <f aca="false">($J$126-182-(113.25*5))/6</f>
        <v>575.291666666667</v>
      </c>
      <c r="W134" s="134" t="n">
        <f aca="false">$J$121*T134</f>
        <v>0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4140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12</v>
      </c>
      <c r="U135" s="136" t="s">
        <v>700</v>
      </c>
      <c r="V135" s="128" t="n">
        <f aca="false">($J$126-182-(113.25*5))/6</f>
        <v>575.291666666667</v>
      </c>
      <c r="W135" s="137" t="n">
        <f aca="false">$J$121*T135</f>
        <v>0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4140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12</v>
      </c>
      <c r="U136" s="127" t="s">
        <v>360</v>
      </c>
      <c r="V136" s="138" t="n">
        <f aca="false">$J$123-242</f>
        <v>2758</v>
      </c>
      <c r="W136" s="129" t="n">
        <f aca="false">$J$121*T136</f>
        <v>0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3000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12</v>
      </c>
      <c r="U137" s="130" t="s">
        <v>360</v>
      </c>
      <c r="V137" s="133" t="n">
        <f aca="false">$J$123-242</f>
        <v>2758</v>
      </c>
      <c r="W137" s="134" t="n">
        <f aca="false">$J$121*T137</f>
        <v>0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529</v>
      </c>
      <c r="G138" s="130" t="n">
        <v>1</v>
      </c>
      <c r="H138" s="130" t="s">
        <v>332</v>
      </c>
      <c r="I138" s="133" t="n">
        <f aca="false">$J$123</f>
        <v>3000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12</v>
      </c>
      <c r="U138" s="136" t="s">
        <v>360</v>
      </c>
      <c r="V138" s="140" t="n">
        <f aca="false">$J$123-242</f>
        <v>2758</v>
      </c>
      <c r="W138" s="137" t="n">
        <f aca="false">$J$121*T138</f>
        <v>0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2904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2904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6</v>
      </c>
      <c r="H141" s="130" t="s">
        <v>675</v>
      </c>
      <c r="I141" s="141" t="n">
        <f aca="false">($J$126-60-(6+1)*4)/6</f>
        <v>685.333333333333</v>
      </c>
      <c r="J141" s="134" t="n">
        <f aca="false">$J$120*G141</f>
        <v>6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6</v>
      </c>
      <c r="H142" s="130" t="s">
        <v>675</v>
      </c>
      <c r="I142" s="141" t="n">
        <f aca="false">($J$126-60-(6+1)*4)/6</f>
        <v>685.333333333333</v>
      </c>
      <c r="J142" s="134" t="n">
        <f aca="false">$J$120*G142</f>
        <v>6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9</v>
      </c>
      <c r="H143" s="130" t="s">
        <v>389</v>
      </c>
      <c r="I143" s="133" t="n">
        <f aca="false">$J$123-92</f>
        <v>2908</v>
      </c>
      <c r="J143" s="134" t="n">
        <f aca="false">$J$120*G143</f>
        <v>9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3</v>
      </c>
      <c r="H144" s="130" t="s">
        <v>389</v>
      </c>
      <c r="I144" s="133" t="n">
        <f aca="false">$J$123-92</f>
        <v>2908</v>
      </c>
      <c r="J144" s="134" t="n">
        <f aca="false">$J$120*G144</f>
        <v>3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5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5" s="131" t="str">
        <f aca="false">IF($D$127=5,Q133,IF($D$127=6,Q133,IF($D$127=8,Q134,IF($D$127=10,Q134,IF($D$127=12,Q134,IF($D$127=14,Q135,IF($D$127=18,Q135,IF($D$127=20,Q135,IF($D$127=22,Q135,)))))))))</f>
        <v>B24008</v>
      </c>
      <c r="E145" s="131" t="n">
        <f aca="false">IF($D$127=5,R133,IF($D$127=6,R133,IF($D$127=8,R134,IF($D$127=10,R134,IF($D$127=12,R134,IF($D$127=14,R135,IF($D$127=18,R135,IF($D$127=20,R135,IF($D$127=22,R135,)))))))))</f>
        <v>0.231</v>
      </c>
      <c r="F145" s="131" t="str">
        <f aca="false">IF($D$127=5,S133,IF($D$127=6,S133,IF($D$127=8,S134,IF($D$127=10,S134,IF($D$127=12,S134,IF($D$127=14,S135,IF($D$127=18,S135,IF($D$127=20,S135,IF($D$127=22,S135,)))))))))</f>
        <v>B24008-001</v>
      </c>
      <c r="G145" s="130" t="n">
        <f aca="false">IF($D$127=5,T133,IF($D$127=6,T133,IF($D$127=8,T134,IF($D$127=10,T134,IF($D$127=12,T134,IF($D$127=14,T135,IF($D$127=18,T135,IF($D$127=20,T135,IF($D$127=22,T135,)))))))))</f>
        <v>12</v>
      </c>
      <c r="H145" s="130" t="str">
        <f aca="false">IF($D$127=5,U133,IF($D$127=6,U133,IF($D$127=8,U134,IF($D$127=10,U134,IF($D$127=12,U134,IF($D$127=14,U135,IF($D$127=18,U135,IF($D$127=20,U135,IF($D$127=22,U135,)))))))))</f>
        <v>(W-182-(113.25 × 5))/6</v>
      </c>
      <c r="I145" s="141" t="n">
        <f aca="false">IF($D$127=5,V133,IF($D$127=6,V133,IF($D$127=8,V134,IF($D$127=10,V134,IF($D$127=12,V134,IF($D$127=14,V135,IF($D$127=18,V135,IF($D$127=20,V135,IF($D$127=22,V135,)))))))))</f>
        <v>575.291666666667</v>
      </c>
      <c r="J145" s="134" t="n">
        <f aca="false">$J$120*G145</f>
        <v>12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6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6" s="131" t="str">
        <f aca="false">IF($D$127=5,Q136,IF($D$127=6,Q136,IF($D$127=8,Q137,IF($D$127=10,Q137,IF($D$127=12,Q137,IF($D$127=14,Q138,IF($D$127=18,Q138,IF($D$127=20,Q138,IF($D$127=22,Q138,)))))))))</f>
        <v>B24008</v>
      </c>
      <c r="E146" s="131" t="n">
        <f aca="false">IF($D$127=5,R136,IF($D$127=6,R136,IF($D$127=8,R137,IF($D$127=10,R137,IF($D$127=12,R137,IF($D$127=14,R138,IF($D$127=18,R138,IF($D$127=20,R138,IF($D$127=22,R138,)))))))))</f>
        <v>0.231</v>
      </c>
      <c r="F146" s="131" t="str">
        <f aca="false">IF($D$127=5,S136,IF($D$127=6,S136,IF($D$127=8,S137,IF($D$127=10,S137,IF($D$127=12,S137,IF($D$127=14,S138,IF($D$127=18,S138,IF($D$127=20,S138,IF($D$127=22,S138,)))))))))</f>
        <v>B24008-002</v>
      </c>
      <c r="G146" s="130" t="n">
        <f aca="false">IF($D$127=5,T136,IF($D$127=6,T136,IF($D$127=8,T137,IF($D$127=10,T137,IF($D$127=12,T137,IF($D$127=14,T138,IF($D$127=18,T138,IF($D$127=20,T138,IF($D$127=22,T138,)))))))))</f>
        <v>12</v>
      </c>
      <c r="H146" s="130" t="str">
        <f aca="false">IF($D$127=5,U136,IF($D$127=6,U136,IF($D$127=8,U137,IF($D$127=10,U137,IF($D$127=12,U137,IF($D$127=14,U138,IF($D$127=18,U138,IF($D$127=20,U138,IF($D$127=22,U138,)))))))))</f>
        <v>H-242</v>
      </c>
      <c r="I146" s="133" t="n">
        <f aca="false">IF($D$127=5,V136,IF($D$127=6,V136,IF($D$127=8,V137,IF($D$127=10,V137,IF($D$127=12,V137,IF($D$127=14,V138,IF($D$127=18,V138,IF($D$127=20,V138,IF($D$127=22,V138,)))))))))</f>
        <v>2758</v>
      </c>
      <c r="J146" s="134" t="n">
        <f aca="false">$J$120*G146</f>
        <v>12</v>
      </c>
    </row>
    <row r="147" s="96" customFormat="true" ht="18" hidden="false" customHeight="true" outlineLevel="0" collapsed="false">
      <c r="A147" s="130" t="str">
        <f aca="false">IF(B147="","",+A146+1)</f>
        <v/>
      </c>
      <c r="B147" s="131"/>
      <c r="C147" s="131"/>
      <c r="D147" s="132"/>
      <c r="E147" s="130"/>
      <c r="F147" s="132"/>
      <c r="G147" s="130"/>
      <c r="H147" s="130"/>
      <c r="I147" s="133"/>
      <c r="J147" s="134" t="n">
        <f aca="false">$J$120*G147</f>
        <v>0</v>
      </c>
    </row>
    <row r="148" s="96" customFormat="true" ht="18" hidden="false" customHeight="true" outlineLevel="0" collapsed="false">
      <c r="A148" s="130" t="str">
        <f aca="false">IF(B148="","",+A147+1)</f>
        <v/>
      </c>
      <c r="B148" s="131"/>
      <c r="C148" s="131"/>
      <c r="D148" s="132"/>
      <c r="E148" s="130"/>
      <c r="F148" s="132"/>
      <c r="G148" s="130"/>
      <c r="H148" s="130"/>
      <c r="I148" s="133"/>
      <c r="J148" s="134" t="n">
        <f aca="false">$J$120*G148</f>
        <v>0</v>
      </c>
    </row>
    <row r="149" s="96" customFormat="true" ht="18" hidden="false" customHeight="true" outlineLevel="0" collapsed="false">
      <c r="A149" s="130" t="str">
        <f aca="false">IF(B149="","",+A148+1)</f>
        <v/>
      </c>
      <c r="B149" s="131"/>
      <c r="C149" s="131"/>
      <c r="D149" s="132"/>
      <c r="E149" s="130"/>
      <c r="F149" s="132"/>
      <c r="G149" s="130"/>
      <c r="H149" s="130"/>
      <c r="I149" s="133"/>
      <c r="J149" s="134"/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33"/>
      <c r="J150" s="134" t="n">
        <f aca="false">$J$120*G150</f>
        <v>0</v>
      </c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33"/>
      <c r="J151" s="134" t="n">
        <f aca="false">$J$120*G151</f>
        <v>0</v>
      </c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4140</v>
      </c>
      <c r="G155" s="155" t="n">
        <f aca="false">VLOOKUP(C155,$C$133:$J$153,8,0)</f>
        <v>1</v>
      </c>
      <c r="H155" s="264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VLOOKUP(C156,$C$133:$J$153,7,0)</f>
        <v>4114</v>
      </c>
      <c r="G156" s="155" t="n">
        <f aca="false">VLOOKUP(C156,$C$133:$J$153,8,0)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VLOOKUP(C157,$C$133:$J$153,7,0)</f>
        <v>4140</v>
      </c>
      <c r="G157" s="155" t="n">
        <f aca="false">VLOOKUP(C157,$C$133:$J$153,8,0)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VLOOKUP(C158,$C$133:$J$153,7,0)</f>
        <v>4140</v>
      </c>
      <c r="G158" s="155" t="n">
        <f aca="false">VLOOKUP(C158,$C$133:$J$153,8,0)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VLOOKUP(C159,$C$133:$J$153,7,0)</f>
        <v>3000</v>
      </c>
      <c r="G159" s="155" t="n">
        <f aca="false">VLOOKUP(C159,$C$133:$J$153,8,0)</f>
        <v>1</v>
      </c>
      <c r="H159" s="160" t="n">
        <f aca="false">ROUNDUP(((F159*G159)+(F160*G160))/6400,0)</f>
        <v>1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VLOOKUP(C160,$C$133:$J$153,7,0)</f>
        <v>3000</v>
      </c>
      <c r="G160" s="155" t="n">
        <f aca="false">VLOOKUP(C160,$C$133:$J$153,8,0)</f>
        <v>1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VLOOKUP(C161,$C$133:$J$153,7,0)</f>
        <v>2904</v>
      </c>
      <c r="G161" s="155" t="n">
        <f aca="false">VLOOKUP(C161,$C$133:$J$153,8,0)</f>
        <v>1</v>
      </c>
      <c r="H161" s="160" t="n">
        <f aca="false">ROUNDUP(((F161*G161)+(F162*G162))/6400,0)</f>
        <v>1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155" t="n">
        <f aca="false">VLOOKUP(C162,$C$133:$H$153,3,0)</f>
        <v>0.235</v>
      </c>
      <c r="F162" s="263" t="n">
        <f aca="false">VLOOKUP(C162,$C$133:$J$153,7,0)</f>
        <v>2904</v>
      </c>
      <c r="G162" s="155" t="n">
        <f aca="false">VLOOKUP(C162,$C$133:$J$153,8,0)</f>
        <v>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155" t="n">
        <f aca="false">VLOOKUP(C163,$C$133:$H$153,3,0)</f>
        <v>1.106</v>
      </c>
      <c r="F163" s="267" t="n">
        <f aca="false">VLOOKUP(C163,$C$133:$J$153,7,0)</f>
        <v>685.333333333333</v>
      </c>
      <c r="G163" s="155" t="n">
        <f aca="false">VLOOKUP(C163,$C$133:$J$153,8,0)</f>
        <v>6</v>
      </c>
      <c r="H163" s="160" t="n">
        <f aca="false">ROUNDUP(((F163*G163)+(F164*G164)+(F165*G165)+(F166*G166))/6400,0)</f>
        <v>7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155" t="n">
        <f aca="false">VLOOKUP(C164,$C$133:$H$153,3,0)</f>
        <v>1.106</v>
      </c>
      <c r="F164" s="267" t="n">
        <f aca="false">VLOOKUP(C164,$C$133:$J$153,7,0)</f>
        <v>685.333333333333</v>
      </c>
      <c r="G164" s="155" t="n">
        <f aca="false">VLOOKUP(C164,$C$133:$J$153,8,0)</f>
        <v>6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155" t="n">
        <f aca="false">VLOOKUP(C165,$C$133:$H$153,3,0)</f>
        <v>1.106</v>
      </c>
      <c r="F165" s="263" t="n">
        <f aca="false">VLOOKUP(C165,$C$133:$J$153,7,0)</f>
        <v>2908</v>
      </c>
      <c r="G165" s="155" t="n">
        <f aca="false">VLOOKUP(C165,$C$133:$J$153,8,0)</f>
        <v>9</v>
      </c>
      <c r="H165" s="160"/>
      <c r="I165" s="161"/>
      <c r="J165" s="161"/>
    </row>
    <row r="166" s="96" customFormat="true" ht="1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155" t="n">
        <f aca="false">VLOOKUP(C166,$C$133:$H$153,3,0)</f>
        <v>1.106</v>
      </c>
      <c r="F166" s="263" t="n">
        <f aca="false">VLOOKUP(C166,$C$133:$J$153,7,0)</f>
        <v>2908</v>
      </c>
      <c r="G166" s="155" t="n">
        <f aca="false">VLOOKUP(C166,$C$133:$J$153,8,0)</f>
        <v>3</v>
      </c>
      <c r="H166" s="160"/>
      <c r="I166" s="161"/>
      <c r="J166" s="161"/>
    </row>
    <row r="167" s="96" customFormat="true" ht="15" hidden="false" customHeight="true" outlineLevel="1" collapsed="false">
      <c r="A167" s="158" t="n">
        <f aca="false">IF(B167="","",+A166+1)</f>
        <v>13</v>
      </c>
      <c r="B167" s="153" t="str">
        <f aca="false">B145</f>
        <v>5-6mm คิ้วตบกระจกแนวนอน</v>
      </c>
      <c r="C167" s="153" t="str">
        <f aca="false">C145</f>
        <v>5-6mm GLAZING BEAD HORIZONTAL</v>
      </c>
      <c r="D167" s="163" t="str">
        <f aca="false">VLOOKUP(C167,$C$133:$H$153,2,0)</f>
        <v>B24008</v>
      </c>
      <c r="E167" s="155" t="n">
        <f aca="false">VLOOKUP(C167,$C$133:$H$153,3,0)</f>
        <v>0.231</v>
      </c>
      <c r="F167" s="267" t="n">
        <f aca="false">VLOOKUP(C167,$C$133:$J$153,7,0)</f>
        <v>575.291666666667</v>
      </c>
      <c r="G167" s="155" t="n">
        <f aca="false">VLOOKUP(C167,$C$133:$J$153,8,0)</f>
        <v>12</v>
      </c>
      <c r="H167" s="160" t="n">
        <f aca="false">ROUNDUP(((F167*G167)+(F168*G168))/6400,0)</f>
        <v>7</v>
      </c>
      <c r="I167" s="161"/>
      <c r="J167" s="161"/>
    </row>
    <row r="168" s="96" customFormat="true" ht="14.25" hidden="false" customHeight="false" outlineLevel="1" collapsed="false">
      <c r="A168" s="158" t="n">
        <f aca="false">IF(B168="","",+A167+1)</f>
        <v>14</v>
      </c>
      <c r="B168" s="153" t="str">
        <f aca="false">B146</f>
        <v>5-6mm คิ้วตบกระจกแนวตั้ง</v>
      </c>
      <c r="C168" s="153" t="str">
        <f aca="false">C146</f>
        <v>5-6mm GLAZING BEAD VERTICAL</v>
      </c>
      <c r="D168" s="163"/>
      <c r="E168" s="155" t="n">
        <f aca="false">VLOOKUP(C168,$C$133:$H$153,3,0)</f>
        <v>0.231</v>
      </c>
      <c r="F168" s="263" t="n">
        <f aca="false">VLOOKUP(C168,$C$133:$J$153,7,0)</f>
        <v>2758</v>
      </c>
      <c r="G168" s="155" t="n">
        <f aca="false">VLOOKUP(C168,$C$133:$J$153,8,0)</f>
        <v>12</v>
      </c>
      <c r="H168" s="160"/>
      <c r="I168" s="265"/>
      <c r="J168" s="265"/>
    </row>
    <row r="169" s="96" customFormat="true" ht="24.75" hidden="false" customHeight="true" outlineLevel="0" collapsed="false">
      <c r="A169" s="113" t="s">
        <v>396</v>
      </c>
      <c r="B169" s="113"/>
      <c r="C169" s="113"/>
      <c r="D169" s="113"/>
      <c r="E169" s="113"/>
      <c r="F169" s="113"/>
      <c r="G169" s="113"/>
      <c r="H169" s="113"/>
      <c r="I169" s="113"/>
      <c r="J169" s="113"/>
    </row>
    <row r="170" s="96" customFormat="true" ht="34.5" hidden="false" customHeight="true" outlineLevel="0" collapsed="false">
      <c r="A170" s="114" t="s">
        <v>319</v>
      </c>
      <c r="B170" s="115" t="s">
        <v>320</v>
      </c>
      <c r="C170" s="115" t="s">
        <v>168</v>
      </c>
      <c r="D170" s="115" t="s">
        <v>397</v>
      </c>
      <c r="E170" s="115" t="s">
        <v>321</v>
      </c>
      <c r="F170" s="116" t="s">
        <v>398</v>
      </c>
      <c r="G170" s="115" t="s">
        <v>399</v>
      </c>
      <c r="H170" s="116" t="s">
        <v>400</v>
      </c>
      <c r="I170" s="116" t="s">
        <v>401</v>
      </c>
      <c r="J170" s="117" t="s">
        <v>402</v>
      </c>
      <c r="N170" s="107" t="s">
        <v>288</v>
      </c>
      <c r="O170" s="165" t="s">
        <v>320</v>
      </c>
      <c r="P170" s="165" t="s">
        <v>168</v>
      </c>
      <c r="Q170" s="165" t="s">
        <v>397</v>
      </c>
      <c r="R170" s="165" t="s">
        <v>321</v>
      </c>
      <c r="S170" s="165" t="s">
        <v>398</v>
      </c>
      <c r="T170" s="165" t="s">
        <v>399</v>
      </c>
      <c r="U170" s="165" t="s">
        <v>400</v>
      </c>
      <c r="V170" s="165" t="s">
        <v>401</v>
      </c>
      <c r="W170" s="165" t="s">
        <v>402</v>
      </c>
    </row>
    <row r="171" s="96" customFormat="true" ht="18" hidden="false" customHeight="true" outlineLevel="0" collapsed="false">
      <c r="A171" s="166" t="n">
        <f aca="false">IF(B171="","",1)</f>
        <v>1</v>
      </c>
      <c r="B171" s="131" t="s">
        <v>410</v>
      </c>
      <c r="C171" s="131" t="s">
        <v>411</v>
      </c>
      <c r="D171" s="132" t="s">
        <v>267</v>
      </c>
      <c r="E171" s="130"/>
      <c r="F171" s="130" t="s">
        <v>267</v>
      </c>
      <c r="G171" s="130" t="s">
        <v>405</v>
      </c>
      <c r="H171" s="130" t="n">
        <v>12</v>
      </c>
      <c r="I171" s="305"/>
      <c r="J171" s="134" t="n">
        <f aca="false">$J$120*H171</f>
        <v>12</v>
      </c>
      <c r="N171" s="107" t="s">
        <v>406</v>
      </c>
      <c r="O171" s="55" t="s">
        <v>407</v>
      </c>
      <c r="P171" s="62" t="s">
        <v>408</v>
      </c>
      <c r="Q171" s="55" t="s">
        <v>227</v>
      </c>
      <c r="R171" s="158"/>
      <c r="S171" s="158" t="s">
        <v>227</v>
      </c>
      <c r="T171" s="158" t="s">
        <v>409</v>
      </c>
      <c r="U171" s="168" t="n">
        <f aca="false">((($I$141*$G$141)+($I$142*$G$142)+($I$143*$G$143)+($I$144*$G$144))/1000)*$J$120</f>
        <v>43.12</v>
      </c>
      <c r="V171" s="168" t="n">
        <v>100</v>
      </c>
      <c r="W171" s="169" t="n">
        <f aca="false">ROUNDUP((U171)/100,0)</f>
        <v>1</v>
      </c>
    </row>
    <row r="172" s="96" customFormat="true" ht="18" hidden="false" customHeight="true" outlineLevel="0" collapsed="false">
      <c r="A172" s="170" t="n">
        <f aca="false">IF(B172="","",+A171+1)</f>
        <v>2</v>
      </c>
      <c r="B172" s="131" t="s">
        <v>415</v>
      </c>
      <c r="C172" s="131" t="s">
        <v>416</v>
      </c>
      <c r="D172" s="132" t="s">
        <v>222</v>
      </c>
      <c r="E172" s="130"/>
      <c r="F172" s="130" t="s">
        <v>222</v>
      </c>
      <c r="G172" s="130" t="s">
        <v>405</v>
      </c>
      <c r="H172" s="130" t="n">
        <v>2</v>
      </c>
      <c r="I172" s="305"/>
      <c r="J172" s="134" t="n">
        <f aca="false">$J$120*H172</f>
        <v>2</v>
      </c>
      <c r="N172" s="107" t="s">
        <v>412</v>
      </c>
      <c r="O172" s="55" t="s">
        <v>413</v>
      </c>
      <c r="P172" s="62" t="s">
        <v>414</v>
      </c>
      <c r="Q172" s="55" t="s">
        <v>234</v>
      </c>
      <c r="R172" s="158"/>
      <c r="S172" s="158" t="s">
        <v>234</v>
      </c>
      <c r="T172" s="158" t="s">
        <v>409</v>
      </c>
      <c r="U172" s="168" t="n">
        <f aca="false">((($I$141*$G$141)+($I$142*$G$142)+($I$143*$G$143)+($I$144*$G$144))/1000)*$J$120</f>
        <v>43.12</v>
      </c>
      <c r="V172" s="168" t="n">
        <v>100</v>
      </c>
      <c r="W172" s="169" t="n">
        <f aca="false">ROUNDUP((U172)/100,0)</f>
        <v>1</v>
      </c>
    </row>
    <row r="173" s="96" customFormat="true" ht="18" hidden="false" customHeight="true" outlineLevel="0" collapsed="false">
      <c r="A173" s="170" t="n">
        <f aca="false">IF(B173="","",+A172+1)</f>
        <v>3</v>
      </c>
      <c r="B173" s="131" t="s">
        <v>420</v>
      </c>
      <c r="C173" s="131" t="s">
        <v>421</v>
      </c>
      <c r="D173" s="132" t="s">
        <v>225</v>
      </c>
      <c r="E173" s="130"/>
      <c r="F173" s="130" t="s">
        <v>225</v>
      </c>
      <c r="G173" s="130" t="s">
        <v>405</v>
      </c>
      <c r="H173" s="130" t="n">
        <v>2</v>
      </c>
      <c r="I173" s="133"/>
      <c r="J173" s="134" t="n">
        <f aca="false">$J$120*H173</f>
        <v>2</v>
      </c>
      <c r="N173" s="107" t="s">
        <v>417</v>
      </c>
      <c r="O173" s="62" t="s">
        <v>418</v>
      </c>
      <c r="P173" s="62" t="s">
        <v>419</v>
      </c>
      <c r="Q173" s="55" t="s">
        <v>236</v>
      </c>
      <c r="R173" s="158"/>
      <c r="S173" s="158" t="s">
        <v>236</v>
      </c>
      <c r="T173" s="158" t="s">
        <v>409</v>
      </c>
      <c r="U173" s="168" t="n">
        <f aca="false">((($I$141*$G$141)+($I$142*$G$142)+($I$143*$G$143)+($I$144*$G$144))/1000)*$J$120</f>
        <v>43.12</v>
      </c>
      <c r="V173" s="168" t="n">
        <v>100</v>
      </c>
      <c r="W173" s="169" t="n">
        <f aca="false">ROUNDUP((U173)/100,0)</f>
        <v>1</v>
      </c>
    </row>
    <row r="174" s="96" customFormat="true" ht="18" hidden="false" customHeight="true" outlineLevel="0" collapsed="false">
      <c r="A174" s="170" t="n">
        <f aca="false">IF(B174="","",+A173+1)</f>
        <v>4</v>
      </c>
      <c r="B174" s="131" t="s">
        <v>425</v>
      </c>
      <c r="C174" s="131" t="s">
        <v>426</v>
      </c>
      <c r="D174" s="132" t="n">
        <v>9</v>
      </c>
      <c r="E174" s="130"/>
      <c r="F174" s="130" t="n">
        <v>9</v>
      </c>
      <c r="G174" s="130" t="s">
        <v>405</v>
      </c>
      <c r="H174" s="130" t="n">
        <v>8</v>
      </c>
      <c r="I174" s="133"/>
      <c r="J174" s="134" t="n">
        <f aca="false">$J$120*H174</f>
        <v>8</v>
      </c>
      <c r="N174" s="107" t="s">
        <v>422</v>
      </c>
      <c r="O174" s="62" t="s">
        <v>423</v>
      </c>
      <c r="P174" s="62" t="s">
        <v>424</v>
      </c>
      <c r="Q174" s="55" t="s">
        <v>238</v>
      </c>
      <c r="R174" s="158"/>
      <c r="S174" s="158" t="s">
        <v>238</v>
      </c>
      <c r="T174" s="158" t="s">
        <v>409</v>
      </c>
      <c r="U174" s="168" t="n">
        <f aca="false">((($I$141*$G$141)+($I$142*$G$142)+($I$143*$G$143)+($I$144*$G$144))/1000)*$J$120</f>
        <v>43.12</v>
      </c>
      <c r="V174" s="168" t="n">
        <v>100</v>
      </c>
      <c r="W174" s="169" t="n">
        <f aca="false">ROUNDUP((U174)/100,0)</f>
        <v>1</v>
      </c>
    </row>
    <row r="175" s="96" customFormat="true" ht="18" hidden="false" customHeight="true" outlineLevel="0" collapsed="false">
      <c r="A175" s="170" t="n">
        <f aca="false">IF(B175="","",+A174+1)</f>
        <v>5</v>
      </c>
      <c r="B175" s="131" t="s">
        <v>430</v>
      </c>
      <c r="C175" s="131" t="s">
        <v>431</v>
      </c>
      <c r="D175" s="132" t="n">
        <v>9</v>
      </c>
      <c r="E175" s="130"/>
      <c r="F175" s="130" t="n">
        <v>9</v>
      </c>
      <c r="G175" s="130" t="s">
        <v>405</v>
      </c>
      <c r="H175" s="130" t="n">
        <v>110</v>
      </c>
      <c r="I175" s="133"/>
      <c r="J175" s="134" t="n">
        <f aca="false">$J$120*H175</f>
        <v>110</v>
      </c>
      <c r="N175" s="107" t="s">
        <v>427</v>
      </c>
      <c r="O175" s="62" t="s">
        <v>428</v>
      </c>
      <c r="P175" s="62" t="s">
        <v>429</v>
      </c>
      <c r="Q175" s="55" t="s">
        <v>240</v>
      </c>
      <c r="R175" s="158"/>
      <c r="S175" s="158" t="s">
        <v>240</v>
      </c>
      <c r="T175" s="158" t="s">
        <v>409</v>
      </c>
      <c r="U175" s="168" t="n">
        <f aca="false">((($I$141*$G$141)+($I$142*$G$142)+($I$143*$G$143)+($I$144*$G$144))/1000)*$J$120</f>
        <v>43.12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6</v>
      </c>
      <c r="B176" s="131" t="s">
        <v>603</v>
      </c>
      <c r="C176" s="131" t="s">
        <v>438</v>
      </c>
      <c r="D176" s="132" t="s">
        <v>4</v>
      </c>
      <c r="E176" s="130"/>
      <c r="F176" s="130" t="s">
        <v>4</v>
      </c>
      <c r="G176" s="130" t="s">
        <v>434</v>
      </c>
      <c r="H176" s="130" t="n">
        <v>1</v>
      </c>
      <c r="I176" s="133"/>
      <c r="J176" s="134" t="n">
        <f aca="false">$J$120*H176</f>
        <v>1</v>
      </c>
    </row>
    <row r="177" s="96" customFormat="true" ht="18" hidden="false" customHeight="true" outlineLevel="0" collapsed="false">
      <c r="A177" s="170" t="n">
        <f aca="false">IF(B177="","",+A176+1)</f>
        <v>7</v>
      </c>
      <c r="B177" s="131" t="s">
        <v>556</v>
      </c>
      <c r="C177" s="131" t="s">
        <v>557</v>
      </c>
      <c r="D177" s="132" t="s">
        <v>5</v>
      </c>
      <c r="E177" s="130"/>
      <c r="F177" s="130" t="s">
        <v>5</v>
      </c>
      <c r="G177" s="130" t="s">
        <v>434</v>
      </c>
      <c r="H177" s="130" t="n">
        <v>2</v>
      </c>
      <c r="I177" s="133"/>
      <c r="J177" s="134" t="n">
        <f aca="false">$J$120*H177</f>
        <v>2</v>
      </c>
    </row>
    <row r="178" s="96" customFormat="true" ht="18" hidden="false" customHeight="true" outlineLevel="0" collapsed="false">
      <c r="A178" s="170" t="n">
        <f aca="false">IF(B178="","",+A177+1)</f>
        <v>8</v>
      </c>
      <c r="B178" s="131" t="s">
        <v>432</v>
      </c>
      <c r="C178" s="131" t="s">
        <v>433</v>
      </c>
      <c r="D178" s="132" t="s">
        <v>6</v>
      </c>
      <c r="E178" s="130"/>
      <c r="F178" s="130" t="s">
        <v>6</v>
      </c>
      <c r="G178" s="130" t="s">
        <v>434</v>
      </c>
      <c r="H178" s="130" t="n">
        <v>1</v>
      </c>
      <c r="I178" s="133"/>
      <c r="J178" s="134" t="n">
        <f aca="false">$J$120*H178</f>
        <v>1</v>
      </c>
    </row>
    <row r="179" s="96" customFormat="true" ht="18" hidden="false" customHeight="true" outlineLevel="0" collapsed="false">
      <c r="A179" s="170" t="n">
        <f aca="false">IF(B179="","",+A178+1)</f>
        <v>9</v>
      </c>
      <c r="B179" s="131" t="s">
        <v>435</v>
      </c>
      <c r="C179" s="131" t="s">
        <v>436</v>
      </c>
      <c r="D179" s="132" t="s">
        <v>9</v>
      </c>
      <c r="E179" s="130"/>
      <c r="F179" s="130" t="s">
        <v>9</v>
      </c>
      <c r="G179" s="130" t="s">
        <v>434</v>
      </c>
      <c r="H179" s="130" t="n">
        <v>1</v>
      </c>
      <c r="I179" s="133"/>
      <c r="J179" s="134" t="n">
        <f aca="false">$J$120*H179</f>
        <v>1</v>
      </c>
    </row>
    <row r="180" s="96" customFormat="true" ht="18" hidden="false" customHeight="true" outlineLevel="0" collapsed="false">
      <c r="A180" s="170" t="n">
        <f aca="false">IF(B180="","",+A179+1)</f>
        <v>10</v>
      </c>
      <c r="B180" s="131" t="s">
        <v>554</v>
      </c>
      <c r="C180" s="131" t="s">
        <v>555</v>
      </c>
      <c r="D180" s="132" t="s">
        <v>11</v>
      </c>
      <c r="E180" s="130"/>
      <c r="F180" s="130" t="s">
        <v>11</v>
      </c>
      <c r="G180" s="130" t="s">
        <v>434</v>
      </c>
      <c r="H180" s="130" t="n">
        <v>2</v>
      </c>
      <c r="I180" s="133"/>
      <c r="J180" s="134" t="n">
        <f aca="false">$J$120*H180</f>
        <v>2</v>
      </c>
      <c r="Q180" s="172"/>
      <c r="R180" s="172"/>
      <c r="S180" s="172"/>
      <c r="T180" s="97"/>
      <c r="U180" s="97"/>
      <c r="V180" s="97"/>
    </row>
    <row r="181" s="96" customFormat="true" ht="18" hidden="false" customHeight="true" outlineLevel="0" collapsed="false">
      <c r="A181" s="170" t="n">
        <f aca="false">IF(B181="","",+A180+1)</f>
        <v>11</v>
      </c>
      <c r="B181" s="131" t="s">
        <v>439</v>
      </c>
      <c r="C181" s="131" t="s">
        <v>440</v>
      </c>
      <c r="D181" s="132" t="s">
        <v>12</v>
      </c>
      <c r="E181" s="130"/>
      <c r="F181" s="130" t="s">
        <v>12</v>
      </c>
      <c r="G181" s="130" t="s">
        <v>434</v>
      </c>
      <c r="H181" s="130" t="n">
        <v>3</v>
      </c>
      <c r="I181" s="142"/>
      <c r="J181" s="134" t="n">
        <f aca="false">$J$120*H181</f>
        <v>3</v>
      </c>
      <c r="N181" s="107" t="s">
        <v>289</v>
      </c>
      <c r="O181" s="165" t="s">
        <v>320</v>
      </c>
      <c r="P181" s="165" t="s">
        <v>168</v>
      </c>
      <c r="Q181" s="165" t="s">
        <v>397</v>
      </c>
      <c r="R181" s="165" t="s">
        <v>321</v>
      </c>
      <c r="S181" s="165" t="s">
        <v>398</v>
      </c>
      <c r="T181" s="165" t="s">
        <v>399</v>
      </c>
      <c r="U181" s="165" t="s">
        <v>400</v>
      </c>
      <c r="V181" s="165" t="s">
        <v>401</v>
      </c>
      <c r="W181" s="165" t="s">
        <v>402</v>
      </c>
    </row>
    <row r="182" s="96" customFormat="true" ht="18" hidden="false" customHeight="true" outlineLevel="0" collapsed="false">
      <c r="A182" s="170" t="n">
        <f aca="false">IF(B182="","",+A181+1)</f>
        <v>12</v>
      </c>
      <c r="B182" s="131" t="s">
        <v>441</v>
      </c>
      <c r="C182" s="131" t="s">
        <v>442</v>
      </c>
      <c r="D182" s="132" t="s">
        <v>274</v>
      </c>
      <c r="E182" s="130"/>
      <c r="F182" s="130" t="s">
        <v>274</v>
      </c>
      <c r="G182" s="130" t="s">
        <v>405</v>
      </c>
      <c r="H182" s="130" t="n">
        <v>6</v>
      </c>
      <c r="I182" s="142"/>
      <c r="J182" s="134" t="n">
        <f aca="false">$J$120*H182</f>
        <v>6</v>
      </c>
      <c r="N182" s="107" t="s">
        <v>445</v>
      </c>
      <c r="O182" s="62" t="s">
        <v>446</v>
      </c>
      <c r="P182" s="62" t="s">
        <v>447</v>
      </c>
      <c r="Q182" s="55" t="s">
        <v>230</v>
      </c>
      <c r="R182" s="158"/>
      <c r="S182" s="158" t="s">
        <v>230</v>
      </c>
      <c r="T182" s="158" t="s">
        <v>409</v>
      </c>
      <c r="U182" s="168" t="n">
        <f aca="false">((($I$134*$G$134)+($I$136*$G$136)+($I$139*$G$139))/1000)*$J$120</f>
        <v>11.158</v>
      </c>
      <c r="V182" s="168" t="n">
        <v>300</v>
      </c>
      <c r="W182" s="169" t="n">
        <f aca="false">ROUNDUP((U182)/V182,0)</f>
        <v>1</v>
      </c>
    </row>
    <row r="183" s="96" customFormat="true" ht="18" hidden="false" customHeight="true" outlineLevel="0" collapsed="false">
      <c r="A183" s="170" t="n">
        <f aca="false">IF(B183="","",+A182+1)</f>
        <v>13</v>
      </c>
      <c r="B183" s="131" t="s">
        <v>443</v>
      </c>
      <c r="C183" s="131" t="s">
        <v>444</v>
      </c>
      <c r="D183" s="132" t="s">
        <v>272</v>
      </c>
      <c r="E183" s="130"/>
      <c r="F183" s="130" t="s">
        <v>272</v>
      </c>
      <c r="G183" s="130" t="s">
        <v>405</v>
      </c>
      <c r="H183" s="130" t="n">
        <v>1</v>
      </c>
      <c r="I183" s="142"/>
      <c r="J183" s="134" t="n">
        <f aca="false">$J$120*H183</f>
        <v>1</v>
      </c>
      <c r="N183" s="107" t="s">
        <v>448</v>
      </c>
      <c r="O183" s="62" t="s">
        <v>449</v>
      </c>
      <c r="P183" s="62" t="s">
        <v>450</v>
      </c>
      <c r="Q183" s="55" t="s">
        <v>451</v>
      </c>
      <c r="R183" s="158"/>
      <c r="S183" s="158" t="s">
        <v>451</v>
      </c>
      <c r="T183" s="158" t="s">
        <v>409</v>
      </c>
      <c r="U183" s="168" t="n">
        <f aca="false">((($I$134*$G$134)+($I$136*$G$136)+($I$139*$G$139))/1000)*$J$120</f>
        <v>11.158</v>
      </c>
      <c r="V183" s="168" t="n">
        <v>100</v>
      </c>
      <c r="W183" s="169" t="n">
        <f aca="false">ROUNDUP((U183)/V183,0)</f>
        <v>1</v>
      </c>
    </row>
    <row r="184" s="96" customFormat="true" ht="18" hidden="false" customHeight="true" outlineLevel="0" collapsed="false">
      <c r="A184" s="170" t="n">
        <f aca="false">IF(B184="","",+A183+1)</f>
        <v>14</v>
      </c>
      <c r="B184" s="131" t="s">
        <v>403</v>
      </c>
      <c r="C184" s="131" t="s">
        <v>404</v>
      </c>
      <c r="D184" s="132" t="s">
        <v>276</v>
      </c>
      <c r="E184" s="130"/>
      <c r="F184" s="130" t="s">
        <v>276</v>
      </c>
      <c r="G184" s="130" t="s">
        <v>405</v>
      </c>
      <c r="H184" s="130" t="n">
        <v>3</v>
      </c>
      <c r="I184" s="133"/>
      <c r="J184" s="134" t="n">
        <f aca="false">$J$120*H184</f>
        <v>3</v>
      </c>
      <c r="N184" s="107" t="s">
        <v>445</v>
      </c>
      <c r="O184" s="62" t="s">
        <v>452</v>
      </c>
      <c r="P184" s="62" t="s">
        <v>453</v>
      </c>
      <c r="Q184" s="55" t="s">
        <v>232</v>
      </c>
      <c r="R184" s="158"/>
      <c r="S184" s="158" t="s">
        <v>232</v>
      </c>
      <c r="T184" s="158" t="s">
        <v>409</v>
      </c>
      <c r="U184" s="168" t="n">
        <f aca="false">((($I$141*$G$141*2)+($I$142*$G$142*2)+($I$143*$G$143*2)+($I$144*$G$144*2))/1000)*$J$120</f>
        <v>86.24</v>
      </c>
      <c r="V184" s="168" t="n">
        <v>350</v>
      </c>
      <c r="W184" s="169" t="n">
        <f aca="false">ROUNDUP((U184)/V184,0)</f>
        <v>1</v>
      </c>
    </row>
    <row r="185" s="96" customFormat="true" ht="18" hidden="false" customHeight="true" outlineLevel="0" collapsed="false">
      <c r="A185" s="170" t="n">
        <f aca="false">IF(B185="","",+A184+1)</f>
        <v>15</v>
      </c>
      <c r="B185" s="132" t="str">
        <f aca="false">IF($D$129="Standard",$O$182,IF($D$129="Soumdproof",$O$183,))</f>
        <v>ยางเฟรมกันน้ำ (ธรรมดา)</v>
      </c>
      <c r="C185" s="132" t="str">
        <f aca="false">IF($D$129="Standard",$P$182,IF($D$129="Soumdproof",$P$183,))</f>
        <v>FRAME SEAL (Standard)</v>
      </c>
      <c r="D185" s="132" t="str">
        <f aca="false">IF($D$129="Standard",$Q$182,IF($D$129="Soumdproof",$Q$183,))</f>
        <v>02-026</v>
      </c>
      <c r="E185" s="130" t="n">
        <f aca="false">IF($D$129="Standard",R183,IF($D$129="Soumdproof",R184,))</f>
        <v>0</v>
      </c>
      <c r="F185" s="130" t="str">
        <f aca="false">IF($D$129="Standard",$S$182,IF($D$129="Soumdproof",$S$183,))</f>
        <v>02-026</v>
      </c>
      <c r="G185" s="130" t="str">
        <f aca="false">IF($D$129="Standard",$T$182,IF($D$129="Soumdproof",$T$183,))</f>
        <v>M</v>
      </c>
      <c r="H185" s="173" t="n">
        <f aca="false">IF($D$129="Standard",$U$182,IF($D$129="Soumdproof",$U$183,))</f>
        <v>11.158</v>
      </c>
      <c r="I185" s="174" t="n">
        <f aca="false">IF($D$129="Standard",$V$182,IF($D$129="Soumdproof",$V$183,))</f>
        <v>300</v>
      </c>
      <c r="J185" s="175" t="n">
        <f aca="false">ROUNDUP((H185)/100,0)</f>
        <v>1</v>
      </c>
      <c r="N185" s="107" t="s">
        <v>448</v>
      </c>
      <c r="O185" s="62" t="s">
        <v>454</v>
      </c>
      <c r="P185" s="62" t="s">
        <v>455</v>
      </c>
      <c r="Q185" s="55" t="s">
        <v>456</v>
      </c>
      <c r="R185" s="158"/>
      <c r="S185" s="158" t="s">
        <v>456</v>
      </c>
      <c r="T185" s="158" t="s">
        <v>409</v>
      </c>
      <c r="U185" s="168" t="n">
        <f aca="false">((($I$141*$G$141*2)+($I$142*$G$142*2)+($I$143*$G$143*2)+($I$144*$G$144*2))/1000)*$J$120</f>
        <v>86.24</v>
      </c>
      <c r="V185" s="168" t="n">
        <v>100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16</v>
      </c>
      <c r="B186" s="132" t="str">
        <f aca="false">IF($D$129="Standard",$O$184,IF($D$129="Soumdproof",$O$185,))</f>
        <v>ยางแซชกันน้ำ (ธรรมดา)</v>
      </c>
      <c r="C186" s="132" t="str">
        <f aca="false">IF($D$129="Standard",$P$184,IF($D$129="Soumdproof",$P$185,))</f>
        <v>SASH SEAL FOAM (Standard)</v>
      </c>
      <c r="D186" s="132" t="str">
        <f aca="false">IF($D$129="Standard",$Q$184,IF($D$129="Soumdproof",$Q$185,))</f>
        <v>02-031</v>
      </c>
      <c r="E186" s="130" t="n">
        <f aca="false">IF($D$129="Standard",R185,IF($D$129="Soumdproof",R186,))</f>
        <v>0</v>
      </c>
      <c r="F186" s="130" t="str">
        <f aca="false">IF($D$129="Standard",$S$184,IF($D$129="Soumdproof",$S$185,))</f>
        <v>02-031</v>
      </c>
      <c r="G186" s="130" t="str">
        <f aca="false">IF($D$129="Standard",$T$184,IF($D$129="Soumdproof",$T$185,))</f>
        <v>M</v>
      </c>
      <c r="H186" s="173" t="n">
        <f aca="false">IF($D$129="Standard",$U$184,IF($D$129="Soumdproof",$U$185,))</f>
        <v>86.24</v>
      </c>
      <c r="I186" s="174" t="n">
        <f aca="false">IF($D$129="Standard",$V$184,IF($D$129="Soumdproof",$V$185,))</f>
        <v>350</v>
      </c>
      <c r="J186" s="175" t="n">
        <f aca="false">ROUNDUP((H186)/100,0)</f>
        <v>1</v>
      </c>
    </row>
    <row r="187" s="96" customFormat="true" ht="18" hidden="false" customHeight="true" outlineLevel="0" collapsed="false">
      <c r="A187" s="170" t="n">
        <f aca="false">IF(B187="","",+A186+1)</f>
        <v>17</v>
      </c>
      <c r="B187" s="176" t="str">
        <f aca="false">IF($D$127=5,$O$173,IF($D$127=6,$O$174,IF($D$127=8,$O$175,IF($D$127=10,$O$173,IF($D$127=12,$O$173,IF($D$127=14,$O$175,IF($D$127=18,$O$173,IF($D$127=20,$O$174,IF($D$127=22,"")))))))))</f>
        <v>5,8,10,12,18 mmยางอัดกระจก</v>
      </c>
      <c r="C187" s="176" t="str">
        <f aca="false">IF($D$127=5,$P$173,IF($D$127=6,$P$174,IF($D$127=8,$P$175,IF($D$127=10,$P$173,IF($D$127=12,$P$173,IF($D$127=14,$P$175,IF($D$127=18,$P$173,IF($D$127=20,$P$174,IF($D$127=22,"")))))))))</f>
        <v>5,8,10,12,18 mm ROLL IN WEDGE</v>
      </c>
      <c r="D187" s="176" t="str">
        <f aca="false">IF($D$127=5,$Q$173,IF($D$127=6,$Q$174,IF($D$127=8,$Q$175,IF($D$127=10,$Q$173,IF($D$127=12,$Q$173,IF($D$127=14,$Q$175,IF($D$127=18,$Q$173,IF($D$127=20,$Q$174,IF($D$127=22,"")))))))))</f>
        <v>02-033</v>
      </c>
      <c r="E187" s="176" t="n">
        <f aca="false">IF($D$127=5,R174,IF($D$127=6,R175,IF($D$127=8,R176,IF($D$127=10,R174,IF($D$127=12,R174,IF($D$127=14,R176,IF($D$127=18,R174,IF($D$127=20,R175,IF($D$127=22,"",)))))))))</f>
        <v>0</v>
      </c>
      <c r="F187" s="167" t="str">
        <f aca="false">IF($D$127=5,$S$173,IF($D$127=6,$S$174,IF($D$127=8,$S$175,IF($D$127=10,$S$173,IF($D$127=12,$S$173,IF($D$127=14,$S$175,IF($D$127=18,$S$173,IF($D$127=20,$S$174,IF($D$127=22,"")))))))))</f>
        <v>02-033</v>
      </c>
      <c r="G187" s="167" t="str">
        <f aca="false">IF($D$127=5,$T$173,IF($D$127=6,$T$174,IF($D$127=8,$T$175,IF($D$127=10,$T$173,IF($D$127=12,$T$173,IF($D$127=14,$T$175,IF($D$127=18,$T$173,IF($D$127=20,$T$174,IF($D$127=22,"")))))))))</f>
        <v>M</v>
      </c>
      <c r="H187" s="173" t="n">
        <f aca="false">IF($D$127=5,$U$173,IF($D$127=6,$U$174,IF($D$127=8,$U$175,IF($D$127=10,$U$173*2,IF($D$127=12,$U$173,IF($D$127=14,$U$175*2,IF($D$127=18,$U$173,IF($D$127=20,$U$174,IF($D$127=22,"")))))))))</f>
        <v>43.12</v>
      </c>
      <c r="I187" s="174" t="n">
        <f aca="false">IF($D$127=5,$V$173,IF($D$127=6,$V$174,IF($D$127=8,$V$175,IF($D$127=10,$V$173,IF($D$127=12,$V$173,IF($D$127=14,$V$175,IF($D$127=18,$V$173,IF($D$127=20,$V$174,IF($D$127=22,"")))))))))</f>
        <v>100</v>
      </c>
      <c r="J187" s="175" t="n">
        <f aca="false">ROUNDUP((H187)/100,0)</f>
        <v>1</v>
      </c>
    </row>
    <row r="188" s="96" customFormat="true" ht="18" hidden="false" customHeight="true" outlineLevel="0" collapsed="false">
      <c r="A188" s="170" t="n">
        <f aca="false">IF(B188="","",+A187+1)</f>
        <v>18</v>
      </c>
      <c r="B188" s="176" t="str">
        <f aca="false">IF($D$127=5,$O$171,IF($D$127=6,$O$171,IF($D$127=8,$O$173,IF($D$127=10,"",IF($D$127=12,$O$172,IF($D$127=14,"",IF($D$127=18,$O$171,IF($D$127=20,$O$172,IF($D$127=22,"",)))))))))</f>
        <v>5,6,18 mm ยางรองกระจก</v>
      </c>
      <c r="C188" s="176" t="str">
        <f aca="false">IF($D$127=5,$P$171,IF($D$127=6,$P$171,IF($D$127=8,$P$173,IF($D$127=10,"",IF($D$127=12,$P$172,IF($D$127=14,"",IF($D$127=18,$P$171,IF($D$127=20,$P$172,IF($D$127=22,"",)))))))))</f>
        <v>5,6,18 mm CAPTIVE WEDGE</v>
      </c>
      <c r="D188" s="176" t="str">
        <f aca="false">IF($D$127=5,$Q$171,IF($D$127=6,$Q$171,IF($D$127=8,$Q$173,IF($D$127=10,"",IF($D$127=12,$Q$172,IF($D$127=14,"",IF($D$127=18,$Q$171,IF($D$127=20,$Q$172,IF($D$127=22,"",)))))))))</f>
        <v>02-022</v>
      </c>
      <c r="E188" s="176" t="n">
        <f aca="false">IF($D$127=5,R172,IF($D$127=6,R172,IF($D$127=8,R174,IF($D$127=10,"",IF($D$127=12,R173,IF($D$127=14,"",IF($D$127=18,R172,IF($D$127=20,R173,IF($D$127=22,"",)))))))))</f>
        <v>0</v>
      </c>
      <c r="F188" s="167" t="str">
        <f aca="false">IF($D$127=5,$S$171,IF($D$127=6,$S$171,IF($D$127=8,$S$173,IF($D$127=10,"",IF($D$127=12,$S$172,IF($D$127=14,"",IF($D$127=18,$S$171,IF($D$127=20,$S$172,IF($D$127=22,"",)))))))))</f>
        <v>02-022</v>
      </c>
      <c r="G188" s="167" t="str">
        <f aca="false">IF($D$127=5,$T$171,IF($D$127=6,$T$171,IF($D$127=8,$T$173,IF($D$127=10,"",IF($D$127=12,$T$172,IF($D$127=14,"",IF($D$127=18,$T$171,IF($D$127=20,$T$172,IF($D$127=22,"",)))))))))</f>
        <v>M</v>
      </c>
      <c r="H188" s="173" t="n">
        <f aca="false">IF($D$127=5,$U$171,IF($D$127=6,$U$171,IF($D$127=8,$U$173,IF($D$127=10,"",IF($D$127=12,$U$172,IF($D$127=14,"",IF($D$127=18,$U$171,IF($D$127=20,$U$172,IF($D$127=22,"")))))))))</f>
        <v>43.12</v>
      </c>
      <c r="I188" s="174" t="n">
        <f aca="false">IF($D$127=5,$V$171,IF($D$127=6,$V$171,IF($D$127=8,$V$173,IF($D$127=10,"",IF($D$127=12,$V$172,IF($D$127=14,"",IF($D$127=18,$V$171,IF($D$127=20,$V$172,IF($D$127=22,"",)))))))))</f>
        <v>100</v>
      </c>
      <c r="J188" s="175" t="n">
        <f aca="false">ROUNDUP((H188)/100,0)</f>
        <v>1</v>
      </c>
    </row>
    <row r="189" s="96" customFormat="true" ht="18" hidden="false" customHeight="true" outlineLevel="0" collapsed="false">
      <c r="A189" s="170" t="str">
        <f aca="false">IF(B189="","",+A188+1)</f>
        <v/>
      </c>
      <c r="B189" s="131"/>
      <c r="C189" s="131"/>
      <c r="D189" s="132"/>
      <c r="E189" s="130"/>
      <c r="F189" s="130"/>
      <c r="G189" s="130"/>
      <c r="H189" s="130"/>
      <c r="I189" s="142"/>
      <c r="J189" s="134" t="n">
        <f aca="false">$J$120*H189</f>
        <v>0</v>
      </c>
    </row>
    <row r="190" s="96" customFormat="true" ht="18" hidden="false" customHeight="true" outlineLevel="0" collapsed="false">
      <c r="A190" s="170" t="str">
        <f aca="false">IF(B190="","",+A189+1)</f>
        <v/>
      </c>
      <c r="B190" s="131"/>
      <c r="C190" s="131"/>
      <c r="D190" s="132"/>
      <c r="E190" s="130"/>
      <c r="F190" s="130"/>
      <c r="G190" s="130"/>
      <c r="H190" s="130"/>
      <c r="I190" s="133"/>
      <c r="J190" s="134" t="n">
        <f aca="false">$J$120*H190</f>
        <v>0</v>
      </c>
    </row>
    <row r="191" customFormat="false" ht="18" hidden="false" customHeight="true" outlineLevel="0" collapsed="false">
      <c r="A191" s="170" t="str">
        <f aca="false">IF(B191="","",+A190+1)</f>
        <v/>
      </c>
      <c r="B191" s="131"/>
      <c r="C191" s="131"/>
      <c r="D191" s="132"/>
      <c r="E191" s="130"/>
      <c r="F191" s="130"/>
      <c r="G191" s="130"/>
      <c r="H191" s="130"/>
      <c r="I191" s="133"/>
      <c r="J191" s="134" t="n">
        <f aca="false">$J$120*H191</f>
        <v>0</v>
      </c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</row>
    <row r="192" s="96" customFormat="true" ht="18" hidden="false" customHeight="true" outlineLevel="0" collapsed="false">
      <c r="A192" s="170" t="str">
        <f aca="false">IF(B192="","",+A191+1)</f>
        <v/>
      </c>
      <c r="B192" s="131"/>
      <c r="C192" s="131"/>
      <c r="D192" s="132"/>
      <c r="E192" s="130"/>
      <c r="F192" s="130"/>
      <c r="G192" s="130"/>
      <c r="H192" s="130"/>
      <c r="I192" s="133"/>
      <c r="J192" s="134" t="n">
        <f aca="false">$J$120*H192</f>
        <v>0</v>
      </c>
    </row>
    <row r="193" s="96" customFormat="true" ht="18" hidden="false" customHeight="true" outlineLevel="0" collapsed="false">
      <c r="A193" s="170" t="str">
        <f aca="false">IF(B193="","",+A192+1)</f>
        <v/>
      </c>
      <c r="B193" s="131"/>
      <c r="C193" s="131"/>
      <c r="D193" s="132"/>
      <c r="E193" s="130"/>
      <c r="F193" s="130"/>
      <c r="G193" s="130"/>
      <c r="H193" s="130"/>
      <c r="I193" s="133"/>
      <c r="J193" s="134" t="n">
        <f aca="false">$J$120*H193</f>
        <v>0</v>
      </c>
    </row>
    <row r="194" s="96" customFormat="true" ht="18" hidden="false" customHeight="true" outlineLevel="0" collapsed="false">
      <c r="A194" s="170" t="str">
        <f aca="false">IF(B194="","",+A193+1)</f>
        <v/>
      </c>
      <c r="B194" s="131"/>
      <c r="C194" s="131"/>
      <c r="D194" s="132"/>
      <c r="E194" s="130"/>
      <c r="F194" s="130"/>
      <c r="G194" s="130"/>
      <c r="H194" s="130"/>
      <c r="I194" s="133"/>
      <c r="J194" s="134" t="n">
        <f aca="false">$J$120*H194</f>
        <v>0</v>
      </c>
    </row>
    <row r="195" s="96" customFormat="true" ht="18" hidden="false" customHeight="true" outlineLevel="0" collapsed="false">
      <c r="A195" s="170" t="str">
        <f aca="false">IF(B195="","",+A194+1)</f>
        <v/>
      </c>
      <c r="B195" s="131"/>
      <c r="C195" s="131"/>
      <c r="D195" s="132"/>
      <c r="E195" s="130"/>
      <c r="F195" s="130"/>
      <c r="G195" s="130"/>
      <c r="H195" s="130"/>
      <c r="I195" s="133"/>
      <c r="J195" s="134" t="n">
        <f aca="false">$J$120*H195</f>
        <v>0</v>
      </c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30"/>
      <c r="I196" s="133"/>
      <c r="J196" s="134" t="n">
        <f aca="false">$J$120*H196</f>
        <v>0</v>
      </c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$J$120*H197</f>
        <v>0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$J$120*H198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9" t="str">
        <f aca="false">IF(B204="","",+A203+1)</f>
        <v/>
      </c>
      <c r="B204" s="135"/>
      <c r="C204" s="135"/>
      <c r="D204" s="139"/>
      <c r="E204" s="136"/>
      <c r="F204" s="136"/>
      <c r="G204" s="136"/>
      <c r="H204" s="136"/>
      <c r="I204" s="140"/>
      <c r="J204" s="137" t="n">
        <f aca="false">$J$120*G204</f>
        <v>0</v>
      </c>
    </row>
    <row r="205" s="96" customFormat="true" ht="18" hidden="false" customHeight="true" outlineLevel="0" collapsed="false">
      <c r="A205" s="200"/>
      <c r="B205" s="98"/>
      <c r="D205" s="98"/>
      <c r="E205" s="97"/>
      <c r="F205" s="98"/>
      <c r="G205" s="98"/>
      <c r="H205" s="98"/>
      <c r="I205" s="196"/>
      <c r="J205" s="196"/>
    </row>
    <row r="206" customFormat="false" ht="18" hidden="false" customHeight="true" outlineLevel="0" collapsed="false">
      <c r="A206" s="97"/>
      <c r="J206" s="92" t="str">
        <f aca="false">LEFT($J$111,11)&amp;"-02"</f>
        <v>FG-240-6P6L-02</v>
      </c>
    </row>
    <row r="207" customFormat="false" ht="12.75" hidden="false" customHeight="true" outlineLevel="0" collapsed="false">
      <c r="B207" s="96"/>
      <c r="C207" s="96"/>
      <c r="D207" s="98"/>
      <c r="E207" s="97"/>
      <c r="F207" s="97"/>
      <c r="G207" s="97"/>
      <c r="H207" s="97"/>
      <c r="K207" s="78"/>
      <c r="L207" s="78"/>
      <c r="M207" s="79"/>
      <c r="N207" s="79"/>
    </row>
    <row r="208" customFormat="false" ht="30" hidden="false" customHeight="true" outlineLevel="0" collapsed="false">
      <c r="I208" s="76"/>
      <c r="J208" s="77" t="str">
        <f aca="false">$J$2</f>
        <v>HOMELIFE</v>
      </c>
      <c r="K208" s="83"/>
      <c r="L208" s="83"/>
      <c r="M208" s="79"/>
      <c r="N208" s="79"/>
    </row>
    <row r="209" customFormat="false" ht="24.75" hidden="false" customHeight="true" outlineLevel="0" collapsed="false">
      <c r="C209" s="75"/>
      <c r="D209" s="76"/>
      <c r="E209" s="76"/>
      <c r="F209" s="76"/>
      <c r="G209" s="76"/>
      <c r="H209" s="76"/>
      <c r="I209" s="82"/>
      <c r="J209" s="80" t="str">
        <f aca="false">$J$3</f>
        <v>Fabricators Guide</v>
      </c>
      <c r="K209" s="83"/>
      <c r="L209" s="83"/>
      <c r="M209" s="79"/>
      <c r="N209" s="79"/>
    </row>
    <row r="210" customFormat="false" ht="24.75" hidden="false" customHeight="true" outlineLevel="0" collapsed="false">
      <c r="C210" s="82"/>
      <c r="D210" s="82"/>
      <c r="E210" s="82"/>
      <c r="F210" s="82"/>
      <c r="G210" s="82"/>
      <c r="H210" s="82"/>
      <c r="I210" s="82"/>
      <c r="J210" s="80" t="str">
        <f aca="false">$J$4</f>
        <v>240 Series Bi Fold Door </v>
      </c>
      <c r="M210" s="87"/>
      <c r="N210" s="87"/>
    </row>
    <row r="211" s="96" customFormat="true" ht="15" hidden="false" customHeight="true" outlineLevel="0" collapsed="false">
      <c r="A211" s="84"/>
      <c r="B211" s="81"/>
      <c r="C211" s="82"/>
      <c r="D211" s="82"/>
      <c r="E211" s="82"/>
      <c r="F211" s="82"/>
      <c r="G211" s="82"/>
      <c r="H211" s="82"/>
      <c r="I211" s="84"/>
      <c r="J211" s="94"/>
      <c r="K211" s="87"/>
      <c r="L211" s="87"/>
      <c r="M211" s="87"/>
      <c r="N211" s="87"/>
    </row>
    <row r="212" s="96" customFormat="true" ht="24.75" hidden="false" customHeight="true" outlineLevel="0" collapsed="false">
      <c r="A212" s="88" t="s">
        <v>457</v>
      </c>
      <c r="B212" s="88"/>
      <c r="C212" s="88"/>
      <c r="D212" s="88"/>
      <c r="E212" s="88"/>
      <c r="F212" s="88"/>
      <c r="G212" s="88"/>
      <c r="H212" s="88"/>
      <c r="I212" s="88"/>
      <c r="J212" s="88"/>
    </row>
    <row r="214" s="96" customFormat="true" ht="15" hidden="false" customHeight="true" outlineLevel="0" collapsed="false">
      <c r="A214" s="182"/>
      <c r="D214" s="73"/>
      <c r="I214" s="183"/>
      <c r="J214" s="99"/>
    </row>
    <row r="215" s="96" customFormat="true" ht="15" hidden="false" customHeight="true" outlineLevel="0" collapsed="false">
      <c r="A215" s="97"/>
      <c r="B215" s="182"/>
      <c r="D215" s="98"/>
      <c r="E215" s="83"/>
      <c r="F215" s="183"/>
      <c r="G215" s="183"/>
      <c r="H215" s="183"/>
      <c r="J215" s="97"/>
    </row>
    <row r="216" s="96" customFormat="true" ht="15" hidden="false" customHeight="true" outlineLevel="0" collapsed="false">
      <c r="A216" s="97"/>
      <c r="C216" s="181"/>
      <c r="D216" s="98"/>
      <c r="E216" s="83"/>
      <c r="F216" s="98"/>
      <c r="J216" s="97"/>
    </row>
    <row r="217" s="96" customFormat="true" ht="15" hidden="false" customHeight="true" outlineLevel="0" collapsed="false">
      <c r="A217" s="97"/>
      <c r="C217" s="181"/>
      <c r="D217" s="98"/>
      <c r="E217" s="97"/>
      <c r="F217" s="98"/>
      <c r="H217" s="181"/>
      <c r="J217" s="97"/>
    </row>
    <row r="218" s="96" customFormat="true" ht="15" hidden="false" customHeight="true" outlineLevel="0" collapsed="false">
      <c r="A218" s="182"/>
      <c r="B218" s="182"/>
      <c r="D218" s="98"/>
      <c r="E218" s="83"/>
      <c r="F218" s="183"/>
      <c r="H218" s="181"/>
      <c r="I218" s="97"/>
      <c r="J218" s="97"/>
    </row>
    <row r="219" s="96" customFormat="true" ht="15" hidden="false" customHeight="true" outlineLevel="0" collapsed="false">
      <c r="A219" s="97"/>
      <c r="C219" s="184" t="s">
        <v>516</v>
      </c>
      <c r="D219" s="98"/>
      <c r="E219" s="83"/>
      <c r="F219" s="98"/>
      <c r="I219" s="97"/>
      <c r="J219" s="97"/>
    </row>
    <row r="220" s="96" customFormat="true" ht="15" hidden="false" customHeight="true" outlineLevel="0" collapsed="false">
      <c r="A220" s="97"/>
      <c r="C220" s="181" t="s">
        <v>459</v>
      </c>
      <c r="D220" s="98"/>
      <c r="E220" s="83"/>
      <c r="F220" s="98"/>
      <c r="H220" s="184"/>
      <c r="J220" s="97"/>
    </row>
    <row r="221" s="96" customFormat="true" ht="15" hidden="false" customHeight="true" outlineLevel="0" collapsed="false">
      <c r="A221" s="97"/>
      <c r="C221" s="181" t="s">
        <v>460</v>
      </c>
      <c r="D221" s="98"/>
      <c r="E221" s="97"/>
      <c r="F221" s="98"/>
      <c r="J221" s="97"/>
    </row>
    <row r="222" s="96" customFormat="true" ht="15" hidden="false" customHeight="true" outlineLevel="0" collapsed="false">
      <c r="A222" s="97"/>
      <c r="C222" s="185" t="n">
        <f aca="false">$I$133</f>
        <v>4140</v>
      </c>
      <c r="D222" s="98"/>
      <c r="E222" s="83"/>
      <c r="F222" s="98"/>
      <c r="G222" s="186"/>
      <c r="J222" s="97"/>
    </row>
    <row r="223" s="96" customFormat="true" ht="15" hidden="false" customHeight="true" outlineLevel="0" collapsed="false">
      <c r="A223" s="97"/>
      <c r="C223" s="187" t="n">
        <f aca="false">$J$133</f>
        <v>1</v>
      </c>
      <c r="D223" s="98"/>
      <c r="E223" s="83"/>
      <c r="F223" s="98"/>
      <c r="G223" s="110"/>
      <c r="I223" s="97"/>
      <c r="J223" s="97"/>
    </row>
    <row r="224" s="96" customFormat="true" ht="15" hidden="false" customHeight="true" outlineLevel="0" collapsed="false">
      <c r="A224" s="97"/>
      <c r="D224" s="98"/>
      <c r="E224" s="97"/>
      <c r="F224" s="98"/>
      <c r="G224" s="110"/>
      <c r="I224" s="97"/>
      <c r="J224" s="97"/>
    </row>
    <row r="225" s="96" customFormat="true" ht="15.75" hidden="false" customHeight="true" outlineLevel="0" collapsed="false">
      <c r="A225" s="99"/>
      <c r="B225" s="99"/>
      <c r="C225" s="83"/>
      <c r="D225" s="98"/>
      <c r="E225" s="97"/>
      <c r="F225" s="98"/>
      <c r="G225" s="186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H226" s="97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189"/>
      <c r="J227" s="190"/>
    </row>
    <row r="228" s="96" customFormat="true" ht="15.75" hidden="false" customHeight="true" outlineLevel="0" collapsed="false">
      <c r="A228" s="99"/>
      <c r="B228" s="99"/>
      <c r="C228" s="181"/>
      <c r="D228" s="98"/>
      <c r="E228" s="97"/>
      <c r="F228" s="98"/>
      <c r="H228" s="97"/>
      <c r="I228" s="181"/>
      <c r="J228" s="193"/>
    </row>
    <row r="229" s="96" customFormat="true" ht="15.75" hidden="false" customHeight="true" outlineLevel="0" collapsed="false">
      <c r="A229" s="188"/>
      <c r="B229" s="188"/>
      <c r="D229" s="98"/>
      <c r="E229" s="97"/>
      <c r="F229" s="98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566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4114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81"/>
      <c r="J240" s="193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197"/>
      <c r="I242" s="196"/>
      <c r="J242" s="196"/>
    </row>
    <row r="243" s="96" customFormat="true" ht="15.75" hidden="false" customHeight="true" outlineLevel="0" collapsed="false">
      <c r="A243" s="97"/>
      <c r="D243" s="98"/>
      <c r="E243" s="97"/>
      <c r="F243" s="98"/>
      <c r="G243" s="97"/>
      <c r="H243" s="97"/>
      <c r="I243" s="97"/>
      <c r="J243" s="196"/>
    </row>
    <row r="244" s="96" customFormat="true" ht="15.75" hidden="false" customHeight="true" outlineLevel="0" collapsed="false">
      <c r="A244" s="97"/>
      <c r="C244" s="184" t="s">
        <v>519</v>
      </c>
      <c r="D244" s="98"/>
      <c r="E244" s="97"/>
      <c r="F244" s="98"/>
      <c r="G244" s="97"/>
      <c r="H244" s="97"/>
      <c r="I244" s="196"/>
      <c r="J244" s="196"/>
    </row>
    <row r="245" s="96" customFormat="true" ht="15.75" hidden="false" customHeight="true" outlineLevel="0" collapsed="false">
      <c r="A245" s="97"/>
      <c r="C245" s="181" t="s">
        <v>459</v>
      </c>
      <c r="D245" s="98"/>
      <c r="E245" s="97"/>
      <c r="F245" s="98"/>
      <c r="G245" s="97"/>
      <c r="H245" s="97"/>
      <c r="I245" s="196"/>
      <c r="J245" s="196"/>
    </row>
    <row r="246" s="96" customFormat="true" ht="15" hidden="false" customHeight="true" outlineLevel="0" collapsed="false">
      <c r="A246" s="97"/>
      <c r="C246" s="181" t="s">
        <v>460</v>
      </c>
      <c r="D246" s="98"/>
      <c r="E246" s="97"/>
      <c r="F246" s="98"/>
      <c r="G246" s="97"/>
      <c r="H246" s="97"/>
      <c r="I246" s="196"/>
      <c r="J246" s="196"/>
    </row>
    <row r="247" s="96" customFormat="true" ht="15.75" hidden="false" customHeight="true" outlineLevel="0" collapsed="false">
      <c r="A247" s="97"/>
      <c r="C247" s="185" t="n">
        <f aca="false">$I$135</f>
        <v>4140</v>
      </c>
      <c r="D247" s="98"/>
      <c r="E247" s="97"/>
      <c r="F247" s="98"/>
      <c r="G247" s="97"/>
      <c r="H247" s="97"/>
      <c r="I247" s="191"/>
      <c r="J247" s="199"/>
    </row>
    <row r="248" s="96" customFormat="true" ht="15.75" hidden="false" customHeight="true" outlineLevel="0" collapsed="false">
      <c r="A248" s="97"/>
      <c r="C248" s="187" t="n">
        <f aca="false">$J$135</f>
        <v>1</v>
      </c>
      <c r="D248" s="98"/>
      <c r="E248" s="97"/>
      <c r="F248" s="98"/>
      <c r="G248" s="97"/>
      <c r="H248" s="97"/>
      <c r="I248" s="189"/>
      <c r="J248" s="190"/>
    </row>
    <row r="249" s="96" customFormat="true" ht="15.75" hidden="false" customHeight="true" outlineLevel="0" collapsed="false">
      <c r="A249" s="97"/>
      <c r="C249" s="98"/>
      <c r="D249" s="98"/>
      <c r="E249" s="97"/>
      <c r="F249" s="98"/>
      <c r="G249" s="97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1"/>
      <c r="H251" s="97"/>
      <c r="J251" s="97"/>
    </row>
    <row r="252" s="96" customFormat="true" ht="15.75" hidden="false" customHeight="true" outlineLevel="0" collapsed="false">
      <c r="A252" s="97"/>
      <c r="D252" s="98"/>
      <c r="E252" s="97"/>
      <c r="F252" s="97"/>
      <c r="G252" s="191"/>
      <c r="H252" s="97"/>
      <c r="J252" s="97"/>
    </row>
    <row r="253" s="96" customFormat="true" ht="15.75" hidden="false" customHeight="true" outlineLevel="0" collapsed="false">
      <c r="A253" s="97"/>
      <c r="D253" s="98"/>
      <c r="E253" s="97"/>
      <c r="F253" s="97"/>
      <c r="G253" s="190"/>
      <c r="H253" s="97"/>
      <c r="I253" s="196"/>
      <c r="J253" s="196"/>
    </row>
    <row r="254" s="96" customFormat="true" ht="15.75" hidden="false" customHeight="true" outlineLevel="0" collapsed="false">
      <c r="A254" s="97"/>
      <c r="D254" s="98"/>
      <c r="E254" s="97"/>
      <c r="F254" s="97"/>
      <c r="G254" s="97"/>
      <c r="H254" s="97"/>
      <c r="I254" s="196"/>
      <c r="J254" s="196"/>
    </row>
    <row r="255" s="96" customFormat="true" ht="15.75" hidden="false" customHeight="true" outlineLevel="0" collapsed="false">
      <c r="A255" s="191"/>
      <c r="B255" s="191"/>
      <c r="D255" s="192"/>
      <c r="E255" s="191"/>
      <c r="F255" s="191"/>
      <c r="G255" s="97"/>
      <c r="H255" s="97"/>
      <c r="I255" s="196"/>
      <c r="J255" s="196"/>
    </row>
    <row r="256" s="96" customFormat="true" ht="15.75" hidden="false" customHeight="true" outlineLevel="0" collapsed="false">
      <c r="A256" s="190"/>
      <c r="B256" s="190"/>
      <c r="C256" s="184" t="s">
        <v>520</v>
      </c>
      <c r="D256" s="194"/>
      <c r="E256" s="190"/>
      <c r="F256" s="189"/>
      <c r="G256" s="97"/>
      <c r="I256" s="196"/>
      <c r="J256" s="196"/>
    </row>
    <row r="257" s="96" customFormat="true" ht="15.75" hidden="false" customHeight="true" outlineLevel="0" collapsed="false">
      <c r="A257" s="200"/>
      <c r="C257" s="181" t="s">
        <v>459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1" t="s">
        <v>460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C259" s="185" t="n">
        <f aca="false">$I$136</f>
        <v>4140</v>
      </c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C260" s="187" t="n">
        <f aca="false">$J$136</f>
        <v>1</v>
      </c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D264" s="98"/>
      <c r="E264" s="97"/>
      <c r="F264" s="97"/>
      <c r="G264" s="97"/>
      <c r="I264" s="196"/>
      <c r="J264" s="196"/>
    </row>
    <row r="265" s="96" customFormat="true" ht="15.75" hidden="false" customHeight="true" outlineLevel="0" collapsed="false">
      <c r="A265" s="200"/>
      <c r="C265" s="98"/>
      <c r="D265" s="98"/>
      <c r="E265" s="97"/>
      <c r="F265" s="97"/>
      <c r="G265" s="97"/>
      <c r="I265" s="196"/>
      <c r="J265" s="196"/>
    </row>
    <row r="266" s="96" customFormat="true" ht="15.75" hidden="false" customHeight="true" outlineLevel="0" collapsed="false">
      <c r="A266" s="200"/>
      <c r="D266" s="98"/>
      <c r="E266" s="97"/>
      <c r="F266" s="97"/>
      <c r="G266" s="97"/>
      <c r="I266" s="196"/>
      <c r="J266" s="196"/>
    </row>
    <row r="267" s="96" customFormat="true" ht="15.75" hidden="false" customHeight="true" outlineLevel="0" collapsed="false">
      <c r="A267" s="200"/>
      <c r="C267" s="184" t="s">
        <v>586</v>
      </c>
      <c r="D267" s="98"/>
      <c r="E267" s="97"/>
      <c r="F267" s="97"/>
      <c r="G267" s="97"/>
      <c r="H267" s="97"/>
      <c r="I267" s="196"/>
      <c r="J267" s="196"/>
    </row>
    <row r="268" s="96" customFormat="true" ht="15.75" hidden="false" customHeight="true" outlineLevel="0" collapsed="false">
      <c r="A268" s="200"/>
      <c r="C268" s="181" t="s">
        <v>522</v>
      </c>
      <c r="D268" s="181"/>
      <c r="E268" s="181"/>
      <c r="F268" s="97"/>
      <c r="G268" s="97"/>
      <c r="H268" s="97"/>
      <c r="I268" s="196"/>
      <c r="J268" s="196"/>
    </row>
    <row r="269" s="96" customFormat="true" ht="15.75" hidden="false" customHeight="true" outlineLevel="0" collapsed="false">
      <c r="A269" s="200"/>
      <c r="C269" s="181" t="s">
        <v>468</v>
      </c>
      <c r="D269" s="181"/>
      <c r="E269" s="181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C270" s="185" t="n">
        <f aca="false">$I$137</f>
        <v>3000</v>
      </c>
      <c r="D270" s="98"/>
      <c r="E270" s="97"/>
      <c r="F270" s="97"/>
      <c r="J270" s="97"/>
    </row>
    <row r="271" s="96" customFormat="true" ht="15.75" hidden="false" customHeight="true" outlineLevel="0" collapsed="false">
      <c r="A271" s="200"/>
      <c r="C271" s="187" t="n">
        <f aca="false">$J$137+$J$138</f>
        <v>2</v>
      </c>
      <c r="D271" s="98"/>
      <c r="E271" s="97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4"/>
      <c r="E272" s="184"/>
      <c r="F272" s="97"/>
      <c r="G272" s="97"/>
      <c r="H272" s="97"/>
      <c r="J272" s="97"/>
    </row>
    <row r="273" s="96" customFormat="true" ht="15.75" hidden="false" customHeight="true" outlineLevel="0" collapsed="false">
      <c r="A273" s="200"/>
      <c r="D273" s="184"/>
      <c r="E273" s="184"/>
      <c r="F273" s="97"/>
      <c r="G273" s="97"/>
      <c r="H273" s="97"/>
      <c r="J273" s="97"/>
    </row>
    <row r="274" s="96" customFormat="true" ht="15.75" hidden="false" customHeight="true" outlineLevel="0" collapsed="false">
      <c r="A274" s="200"/>
      <c r="D274" s="184"/>
      <c r="E274" s="184"/>
      <c r="F274" s="97"/>
      <c r="G274" s="97"/>
      <c r="H274" s="97"/>
      <c r="J274" s="97"/>
    </row>
    <row r="275" s="96" customFormat="true" ht="15.75" hidden="false" customHeight="true" outlineLevel="0" collapsed="false">
      <c r="A275" s="200"/>
      <c r="D275" s="181"/>
      <c r="E275" s="181"/>
      <c r="F275" s="97"/>
      <c r="G275" s="97"/>
      <c r="H275" s="97"/>
      <c r="J275" s="97"/>
    </row>
    <row r="276" s="96" customFormat="true" ht="15.75" hidden="false" customHeight="true" outlineLevel="0" collapsed="false">
      <c r="A276" s="200"/>
      <c r="D276" s="181"/>
      <c r="E276" s="181"/>
      <c r="F276" s="97"/>
      <c r="G276" s="97"/>
      <c r="I276" s="196"/>
      <c r="J276" s="196"/>
    </row>
    <row r="277" s="96" customFormat="true" ht="15.75" hidden="false" customHeight="true" outlineLevel="0" collapsed="false">
      <c r="A277" s="200"/>
      <c r="D277" s="98"/>
      <c r="E277" s="97"/>
      <c r="F277" s="97"/>
      <c r="G277" s="97"/>
      <c r="I277" s="196"/>
      <c r="J277" s="196"/>
    </row>
    <row r="278" s="96" customFormat="true" ht="15.75" hidden="false" customHeight="true" outlineLevel="0" collapsed="false">
      <c r="A278" s="200"/>
      <c r="C278" s="184" t="s">
        <v>523</v>
      </c>
      <c r="D278" s="201"/>
      <c r="E278" s="196"/>
      <c r="F278" s="97"/>
      <c r="G278" s="97"/>
      <c r="I278" s="196"/>
      <c r="J278" s="196"/>
    </row>
    <row r="279" s="96" customFormat="true" ht="15.75" hidden="false" customHeight="true" outlineLevel="0" collapsed="false">
      <c r="A279" s="200"/>
      <c r="C279" s="181" t="s">
        <v>470</v>
      </c>
      <c r="D279" s="181"/>
      <c r="E279" s="181"/>
      <c r="F279" s="97"/>
      <c r="G279" s="97"/>
      <c r="I279" s="97"/>
      <c r="J279" s="196"/>
    </row>
    <row r="280" s="96" customFormat="true" ht="15.75" hidden="false" customHeight="true" outlineLevel="0" collapsed="false">
      <c r="A280" s="200"/>
      <c r="C280" s="181" t="s">
        <v>471</v>
      </c>
      <c r="D280" s="181"/>
      <c r="E280" s="181"/>
      <c r="F280" s="97"/>
      <c r="G280" s="97"/>
      <c r="I280" s="97"/>
      <c r="J280" s="196"/>
    </row>
    <row r="281" s="96" customFormat="true" ht="15.75" hidden="false" customHeight="true" outlineLevel="0" collapsed="false">
      <c r="A281" s="200"/>
      <c r="C281" s="185" t="n">
        <f aca="false">$I$139</f>
        <v>2904</v>
      </c>
      <c r="F281" s="97"/>
      <c r="G281" s="97"/>
      <c r="I281" s="97"/>
      <c r="J281" s="196"/>
    </row>
    <row r="282" s="96" customFormat="true" ht="15.75" hidden="false" customHeight="true" outlineLevel="0" collapsed="false">
      <c r="A282" s="200"/>
      <c r="C282" s="187" t="n">
        <f aca="false">$J$139+$J$140</f>
        <v>2</v>
      </c>
      <c r="F282" s="97"/>
      <c r="G282" s="97"/>
      <c r="I282" s="97"/>
      <c r="J282" s="196"/>
    </row>
    <row r="283" s="96" customFormat="true" ht="15.75" hidden="false" customHeight="true" outlineLevel="0" collapsed="false">
      <c r="A283" s="200"/>
      <c r="F283" s="97"/>
      <c r="G283" s="97"/>
      <c r="H283" s="97"/>
      <c r="J283" s="97"/>
    </row>
    <row r="284" s="96" customFormat="true" ht="15.75" hidden="false" customHeight="true" outlineLevel="0" collapsed="false">
      <c r="A284" s="200"/>
      <c r="F284" s="97"/>
      <c r="G284" s="97"/>
      <c r="H284" s="97"/>
      <c r="J284" s="97"/>
    </row>
    <row r="285" s="96" customFormat="true" ht="15.75" hidden="false" customHeight="true" outlineLevel="0" collapsed="false">
      <c r="A285" s="200"/>
      <c r="D285" s="98"/>
      <c r="E285" s="97"/>
      <c r="F285" s="97"/>
      <c r="G285" s="97"/>
      <c r="H285" s="97"/>
      <c r="J285" s="97"/>
    </row>
    <row r="286" s="96" customFormat="true" ht="15.75" hidden="false" customHeight="true" outlineLevel="0" collapsed="false">
      <c r="A286" s="200"/>
      <c r="F286" s="97"/>
      <c r="G286" s="97"/>
      <c r="H286" s="97"/>
      <c r="J286" s="97"/>
    </row>
    <row r="287" s="96" customFormat="true" ht="15.75" hidden="false" customHeight="true" outlineLevel="0" collapsed="false">
      <c r="A287" s="200"/>
      <c r="F287" s="97"/>
      <c r="G287" s="97"/>
      <c r="H287" s="97"/>
      <c r="I287" s="201"/>
      <c r="J287" s="196"/>
    </row>
    <row r="288" s="96" customFormat="true" ht="15.75" hidden="false" customHeight="true" outlineLevel="0" collapsed="false">
      <c r="A288" s="200"/>
      <c r="C288" s="184" t="s">
        <v>524</v>
      </c>
      <c r="F288" s="97"/>
      <c r="G288" s="97"/>
      <c r="H288" s="97"/>
      <c r="I288" s="97"/>
      <c r="J288" s="196"/>
    </row>
    <row r="289" s="96" customFormat="true" ht="15.75" hidden="false" customHeight="true" outlineLevel="0" collapsed="false">
      <c r="A289" s="200"/>
      <c r="C289" s="83" t="s">
        <v>701</v>
      </c>
      <c r="D289" s="98"/>
      <c r="E289" s="97"/>
      <c r="F289" s="97"/>
      <c r="G289" s="97"/>
      <c r="H289" s="97"/>
      <c r="I289" s="196"/>
      <c r="J289" s="196"/>
    </row>
    <row r="290" s="96" customFormat="true" ht="15.75" hidden="false" customHeight="true" outlineLevel="0" collapsed="false">
      <c r="A290" s="200"/>
      <c r="C290" s="181" t="s">
        <v>702</v>
      </c>
      <c r="D290" s="98"/>
      <c r="E290" s="97"/>
      <c r="F290" s="97"/>
      <c r="G290" s="97"/>
      <c r="H290" s="97"/>
      <c r="I290" s="196"/>
      <c r="J290" s="196"/>
    </row>
    <row r="291" s="96" customFormat="true" ht="15.75" hidden="false" customHeight="true" outlineLevel="0" collapsed="false">
      <c r="A291" s="200"/>
      <c r="C291" s="181" t="s">
        <v>475</v>
      </c>
      <c r="D291" s="181"/>
      <c r="E291" s="181"/>
      <c r="F291" s="97"/>
      <c r="G291" s="97"/>
      <c r="I291" s="196"/>
      <c r="J291" s="196"/>
    </row>
    <row r="292" s="202" customFormat="true" ht="15.75" hidden="false" customHeight="true" outlineLevel="0" collapsed="false">
      <c r="A292" s="200"/>
      <c r="B292" s="96"/>
      <c r="C292" s="181" t="s">
        <v>476</v>
      </c>
      <c r="D292" s="181"/>
      <c r="E292" s="181"/>
      <c r="F292" s="97"/>
      <c r="G292" s="97"/>
      <c r="H292" s="96"/>
      <c r="I292" s="97"/>
      <c r="J292" s="97"/>
    </row>
    <row r="293" s="96" customFormat="true" ht="15.75" hidden="false" customHeight="true" outlineLevel="0" collapsed="false">
      <c r="A293" s="200"/>
      <c r="C293" s="185" t="n">
        <f aca="false">$I$141</f>
        <v>685.333333333333</v>
      </c>
      <c r="F293" s="97"/>
      <c r="G293" s="97"/>
      <c r="I293" s="191"/>
      <c r="J293" s="199"/>
    </row>
    <row r="294" s="96" customFormat="true" ht="15.75" hidden="false" customHeight="true" outlineLevel="0" collapsed="false">
      <c r="A294" s="200"/>
      <c r="C294" s="187" t="n">
        <f aca="false">$J$141+$J$142</f>
        <v>12</v>
      </c>
      <c r="D294" s="98"/>
      <c r="E294" s="97"/>
      <c r="F294" s="97"/>
      <c r="G294" s="97"/>
      <c r="H294" s="98"/>
      <c r="I294" s="189"/>
      <c r="J294" s="190"/>
    </row>
    <row r="295" s="96" customFormat="true" ht="15.75" hidden="false" customHeight="true" outlineLevel="0" collapsed="false">
      <c r="A295" s="200"/>
      <c r="C295" s="185" t="n">
        <f aca="false">$I$143</f>
        <v>2908</v>
      </c>
      <c r="D295" s="98"/>
      <c r="E295" s="97"/>
      <c r="F295" s="97"/>
      <c r="G295" s="97"/>
      <c r="H295" s="97"/>
      <c r="I295" s="196"/>
      <c r="J295" s="196"/>
    </row>
    <row r="296" s="96" customFormat="true" ht="15.75" hidden="false" customHeight="true" outlineLevel="0" collapsed="false">
      <c r="A296" s="200"/>
      <c r="C296" s="187" t="n">
        <f aca="false">$J$143+$J$144</f>
        <v>12</v>
      </c>
      <c r="D296" s="98"/>
      <c r="E296" s="97"/>
      <c r="F296" s="97"/>
      <c r="G296" s="97"/>
      <c r="H296" s="97"/>
      <c r="I296" s="196"/>
      <c r="J296" s="196"/>
    </row>
    <row r="297" s="96" customFormat="true" ht="15.75" hidden="false" customHeight="true" outlineLevel="0" collapsed="false">
      <c r="A297" s="200"/>
      <c r="D297" s="98"/>
      <c r="E297" s="97"/>
      <c r="F297" s="97"/>
      <c r="G297" s="97"/>
      <c r="H297" s="97"/>
      <c r="I297" s="196"/>
      <c r="J297" s="196"/>
    </row>
    <row r="298" s="96" customFormat="true" ht="15.75" hidden="false" customHeight="true" outlineLevel="0" collapsed="false">
      <c r="A298" s="200"/>
      <c r="D298" s="98"/>
      <c r="E298" s="97"/>
      <c r="F298" s="97"/>
      <c r="G298" s="97"/>
      <c r="H298" s="97"/>
      <c r="I298" s="196"/>
      <c r="J298" s="196"/>
    </row>
    <row r="299" s="96" customFormat="true" ht="15.75" hidden="false" customHeight="true" outlineLevel="0" collapsed="false">
      <c r="A299" s="200"/>
      <c r="D299" s="98"/>
      <c r="E299" s="97"/>
      <c r="F299" s="97"/>
      <c r="G299" s="97"/>
      <c r="H299" s="97"/>
      <c r="I299" s="97"/>
      <c r="J299" s="196"/>
    </row>
    <row r="300" s="96" customFormat="true" ht="15.75" hidden="false" customHeight="true" outlineLevel="0" collapsed="false">
      <c r="A300" s="200"/>
      <c r="C300" s="202"/>
      <c r="D300" s="98"/>
      <c r="E300" s="97"/>
      <c r="F300" s="97"/>
      <c r="G300" s="97"/>
      <c r="H300" s="97"/>
      <c r="I300" s="97"/>
      <c r="J300" s="196"/>
    </row>
    <row r="301" s="96" customFormat="true" ht="15.75" hidden="false" customHeight="true" outlineLevel="0" collapsed="false">
      <c r="A301" s="200"/>
      <c r="C301" s="184" t="s">
        <v>525</v>
      </c>
      <c r="D301" s="98"/>
      <c r="E301" s="97"/>
      <c r="F301" s="97"/>
      <c r="G301" s="97"/>
      <c r="H301" s="97"/>
      <c r="I301" s="97"/>
      <c r="J301" s="196"/>
    </row>
    <row r="302" s="96" customFormat="true" ht="15.75" hidden="false" customHeight="true" outlineLevel="0" collapsed="false">
      <c r="A302" s="200"/>
      <c r="C302" s="83" t="s">
        <v>701</v>
      </c>
      <c r="D302" s="98"/>
      <c r="E302" s="97"/>
      <c r="F302" s="97"/>
      <c r="G302" s="191"/>
      <c r="H302" s="191"/>
      <c r="I302" s="97"/>
      <c r="J302" s="196"/>
    </row>
    <row r="303" s="96" customFormat="true" ht="15.75" hidden="false" customHeight="true" outlineLevel="0" collapsed="false">
      <c r="A303" s="200"/>
      <c r="C303" s="181" t="s">
        <v>702</v>
      </c>
      <c r="D303" s="181"/>
      <c r="E303" s="181"/>
      <c r="F303" s="97"/>
      <c r="G303" s="190"/>
      <c r="H303" s="189"/>
      <c r="I303" s="97"/>
      <c r="J303" s="196"/>
    </row>
    <row r="304" s="96" customFormat="true" ht="15.75" hidden="false" customHeight="true" outlineLevel="0" collapsed="false">
      <c r="A304" s="107"/>
      <c r="C304" s="181" t="s">
        <v>478</v>
      </c>
      <c r="D304" s="181"/>
      <c r="E304" s="181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191"/>
      <c r="B305" s="191"/>
      <c r="C305" s="181" t="s">
        <v>479</v>
      </c>
      <c r="D305" s="203"/>
      <c r="E305" s="204"/>
      <c r="F305" s="191"/>
      <c r="G305" s="97"/>
      <c r="H305" s="97"/>
      <c r="I305" s="97"/>
      <c r="J305" s="196"/>
    </row>
    <row r="306" s="96" customFormat="true" ht="15.75" hidden="false" customHeight="true" outlineLevel="0" collapsed="false">
      <c r="A306" s="190"/>
      <c r="B306" s="190"/>
      <c r="C306" s="185" t="n">
        <f aca="false">$I$145</f>
        <v>575.291666666667</v>
      </c>
      <c r="D306" s="205"/>
      <c r="E306" s="206"/>
      <c r="F306" s="189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7" t="n">
        <f aca="false">$J$145</f>
        <v>12</v>
      </c>
      <c r="D307" s="98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185" t="n">
        <f aca="false">$I$146</f>
        <v>2758</v>
      </c>
      <c r="D308" s="98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7" t="n">
        <f aca="false">$J$146</f>
        <v>12</v>
      </c>
      <c r="D309" s="98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D310" s="98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C311" s="184"/>
      <c r="D311" s="98"/>
      <c r="E311" s="97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C312" s="181"/>
      <c r="D312" s="181"/>
      <c r="E312" s="181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200"/>
      <c r="D313" s="201"/>
      <c r="E313" s="196"/>
      <c r="F313" s="97"/>
      <c r="G313" s="97"/>
      <c r="H313" s="97"/>
      <c r="I313" s="200"/>
      <c r="J313" s="92" t="str">
        <f aca="false">LEFT($J$111,11)&amp;"-03"</f>
        <v>FG-240-6P6L-03</v>
      </c>
    </row>
    <row r="314" customFormat="false" ht="12.75" hidden="false" customHeight="true" outlineLevel="0" collapsed="false">
      <c r="A314" s="97"/>
      <c r="B314" s="49"/>
      <c r="C314" s="49"/>
      <c r="D314" s="207"/>
      <c r="E314" s="200"/>
      <c r="F314" s="200"/>
      <c r="G314" s="200"/>
      <c r="H314" s="200"/>
      <c r="I314" s="208"/>
      <c r="J314" s="208"/>
    </row>
    <row r="315" customFormat="false" ht="30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77" t="str">
        <f aca="false">$J$2</f>
        <v>HOMELIFE</v>
      </c>
    </row>
    <row r="316" customFormat="false" ht="24.75" hidden="false" customHeight="true" outlineLevel="0" collapsed="false">
      <c r="C316" s="75"/>
      <c r="D316" s="76"/>
      <c r="E316" s="76"/>
      <c r="F316" s="76"/>
      <c r="G316" s="76"/>
      <c r="H316" s="76"/>
      <c r="I316" s="82"/>
      <c r="J316" s="80" t="str">
        <f aca="false">$J$3</f>
        <v>Fabricators Guide</v>
      </c>
      <c r="K316" s="83"/>
      <c r="L316" s="83"/>
      <c r="M316" s="79"/>
      <c r="N316" s="79"/>
    </row>
    <row r="317" customFormat="false" ht="24.75" hidden="false" customHeight="true" outlineLevel="0" collapsed="false">
      <c r="C317" s="82"/>
      <c r="D317" s="82"/>
      <c r="E317" s="82"/>
      <c r="F317" s="82"/>
      <c r="G317" s="82"/>
      <c r="H317" s="82"/>
      <c r="I317" s="82"/>
      <c r="J317" s="80" t="str">
        <f aca="false">$J$4</f>
        <v>240 Series Bi Fold Door </v>
      </c>
      <c r="M317" s="87"/>
      <c r="N317" s="87"/>
    </row>
    <row r="318" s="96" customFormat="true" ht="15" hidden="false" customHeight="true" outlineLevel="0" collapsed="false">
      <c r="A318" s="84"/>
      <c r="B318" s="81"/>
      <c r="C318" s="82"/>
      <c r="D318" s="82"/>
      <c r="E318" s="82"/>
      <c r="F318" s="82"/>
      <c r="G318" s="82"/>
      <c r="H318" s="82"/>
      <c r="I318" s="84"/>
      <c r="J318" s="94"/>
      <c r="K318" s="87"/>
      <c r="L318" s="87"/>
      <c r="M318" s="87"/>
      <c r="N318" s="87"/>
    </row>
    <row r="319" customFormat="false" ht="24.75" hidden="false" customHeight="true" outlineLevel="0" collapsed="false">
      <c r="A319" s="88" t="s">
        <v>480</v>
      </c>
      <c r="B319" s="88"/>
      <c r="C319" s="88"/>
      <c r="D319" s="88"/>
      <c r="E319" s="88"/>
      <c r="F319" s="88"/>
      <c r="G319" s="88"/>
      <c r="H319" s="88"/>
      <c r="I319" s="88"/>
      <c r="J319" s="88"/>
      <c r="K319" s="87"/>
      <c r="L319" s="87"/>
      <c r="M319" s="87"/>
      <c r="N319" s="87"/>
    </row>
    <row r="321" s="96" customFormat="true" ht="15" hidden="false" customHeight="true" outlineLevel="0" collapsed="false">
      <c r="A321" s="188"/>
      <c r="D321" s="73"/>
      <c r="I321" s="183"/>
      <c r="J321" s="99"/>
    </row>
    <row r="322" s="96" customFormat="true" ht="15" hidden="false" customHeight="true" outlineLevel="0" collapsed="false">
      <c r="A322" s="97"/>
      <c r="B322" s="81"/>
      <c r="D322" s="98"/>
      <c r="E322" s="83"/>
      <c r="F322" s="183"/>
      <c r="G322" s="183"/>
      <c r="H322" s="183"/>
      <c r="I322" s="83"/>
      <c r="J322" s="97"/>
    </row>
    <row r="323" s="96" customFormat="true" ht="15" hidden="false" customHeight="true" outlineLevel="0" collapsed="false">
      <c r="A323" s="97"/>
      <c r="D323" s="98"/>
      <c r="E323" s="83"/>
      <c r="F323" s="98"/>
      <c r="G323" s="83"/>
      <c r="H323" s="83"/>
      <c r="I323" s="97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C325" s="98"/>
      <c r="D325" s="98"/>
      <c r="E325" s="83"/>
      <c r="F325" s="98"/>
      <c r="G325" s="97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97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83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182"/>
      <c r="J328" s="97"/>
    </row>
    <row r="329" s="96" customFormat="true" ht="15" hidden="false" customHeight="true" outlineLevel="0" collapsed="false">
      <c r="A329" s="81"/>
      <c r="C329" s="182"/>
      <c r="D329" s="98"/>
      <c r="E329" s="97"/>
      <c r="F329" s="209"/>
      <c r="G329" s="209"/>
      <c r="H329" s="110"/>
      <c r="I329" s="98"/>
      <c r="J329" s="97"/>
    </row>
    <row r="330" s="96" customFormat="true" ht="15" hidden="false" customHeight="true" outlineLevel="0" collapsed="false">
      <c r="A330" s="99"/>
      <c r="B330" s="81"/>
      <c r="C330" s="98"/>
      <c r="D330" s="98"/>
      <c r="E330" s="97"/>
      <c r="F330" s="210"/>
      <c r="G330" s="210"/>
      <c r="H330" s="110"/>
      <c r="I330" s="98"/>
      <c r="J330" s="97"/>
    </row>
    <row r="331" s="96" customFormat="true" ht="15" hidden="false" customHeight="true" outlineLevel="0" collapsed="false">
      <c r="A331" s="211" t="str">
        <f aca="false">A18</f>
        <v>240-6 Panel (6L)</v>
      </c>
      <c r="B331" s="99"/>
      <c r="C331" s="98"/>
      <c r="D331" s="98"/>
      <c r="E331" s="97"/>
      <c r="F331" s="110"/>
      <c r="G331" s="110"/>
      <c r="H331" s="110"/>
      <c r="I331" s="97"/>
      <c r="J331" s="97"/>
    </row>
    <row r="332" s="96" customFormat="true" ht="15" hidden="false" customHeight="true" outlineLevel="0" collapsed="false">
      <c r="A332" s="90" t="str">
        <f aca="false">A19</f>
        <v>Outside Bi Fold Door 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.75" hidden="false" customHeight="true" outlineLevel="0" collapsed="false">
      <c r="A333" s="97"/>
      <c r="B333" s="188"/>
      <c r="C333" s="182"/>
      <c r="D333" s="98"/>
      <c r="E333" s="97"/>
      <c r="F333" s="210"/>
      <c r="G333" s="210"/>
      <c r="H333" s="110"/>
      <c r="I333" s="97"/>
      <c r="J333" s="97"/>
    </row>
    <row r="334" s="96" customFormat="true" ht="15.75" hidden="false" customHeight="true" outlineLevel="0" collapsed="false">
      <c r="A334" s="81"/>
      <c r="B334" s="97"/>
      <c r="C334" s="98"/>
      <c r="D334" s="98"/>
      <c r="E334" s="97"/>
      <c r="F334" s="78"/>
      <c r="H334" s="97"/>
      <c r="I334" s="97"/>
      <c r="J334" s="97"/>
    </row>
    <row r="335" s="96" customFormat="true" ht="15.75" hidden="false" customHeight="true" outlineLevel="0" collapsed="false">
      <c r="A335" s="191"/>
      <c r="C335" s="212"/>
      <c r="D335" s="98"/>
      <c r="E335" s="97"/>
      <c r="F335" s="97"/>
      <c r="G335" s="97"/>
      <c r="H335" s="97"/>
      <c r="I335" s="191"/>
      <c r="J335" s="199"/>
    </row>
    <row r="336" s="96" customFormat="true" ht="15.75" hidden="false" customHeight="true" outlineLevel="0" collapsed="false">
      <c r="A336" s="190"/>
      <c r="C336" s="191"/>
      <c r="D336" s="192"/>
      <c r="E336" s="191"/>
      <c r="F336" s="191"/>
      <c r="G336" s="191"/>
      <c r="H336" s="191"/>
      <c r="I336" s="189"/>
      <c r="J336" s="190"/>
    </row>
    <row r="337" s="96" customFormat="true" ht="15.75" hidden="false" customHeight="true" outlineLevel="0" collapsed="false">
      <c r="A337" s="97"/>
      <c r="C337" s="98"/>
      <c r="D337" s="194"/>
      <c r="E337" s="190"/>
      <c r="F337" s="189"/>
      <c r="G337" s="190"/>
      <c r="H337" s="189"/>
      <c r="I337" s="196"/>
      <c r="J337" s="196"/>
    </row>
    <row r="338" s="96" customFormat="true" ht="15.75" hidden="false" customHeight="true" outlineLevel="0" collapsed="false">
      <c r="A338" s="97"/>
      <c r="C338" s="98"/>
      <c r="D338" s="98"/>
      <c r="E338" s="97"/>
      <c r="F338" s="98"/>
      <c r="G338" s="97"/>
      <c r="H338" s="97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201"/>
      <c r="J339" s="201"/>
    </row>
    <row r="340" s="96" customFormat="true" ht="15.75" hidden="false" customHeight="true" outlineLevel="0" collapsed="false">
      <c r="A340" s="97"/>
      <c r="C340" s="191"/>
      <c r="D340" s="98"/>
      <c r="E340" s="97"/>
      <c r="F340" s="98"/>
      <c r="G340" s="97"/>
      <c r="H340" s="201"/>
      <c r="I340" s="98"/>
      <c r="J340" s="98"/>
    </row>
    <row r="341" s="96" customFormat="true" ht="15.75" hidden="false" customHeight="true" outlineLevel="0" collapsed="false">
      <c r="A341" s="97"/>
      <c r="C341" s="182"/>
      <c r="D341" s="98"/>
      <c r="E341" s="97"/>
      <c r="F341" s="98"/>
      <c r="G341" s="97"/>
      <c r="H341" s="98"/>
      <c r="I341" s="98"/>
      <c r="J341" s="98"/>
    </row>
    <row r="342" s="96" customFormat="true" ht="15.75" hidden="false" customHeight="true" outlineLevel="0" collapsed="false">
      <c r="A342" s="97"/>
      <c r="C342" s="98"/>
      <c r="D342" s="98"/>
      <c r="E342" s="97"/>
      <c r="F342" s="98"/>
      <c r="G342" s="97"/>
      <c r="H342" s="98"/>
      <c r="I342" s="97"/>
      <c r="J342" s="196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7"/>
      <c r="I343" s="196"/>
      <c r="J343" s="196"/>
    </row>
    <row r="344" s="96" customFormat="true" ht="15.75" hidden="false" customHeight="true" outlineLevel="0" collapsed="false">
      <c r="A344" s="97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C347" s="191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98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97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196"/>
      <c r="J350" s="196"/>
    </row>
    <row r="351" s="96" customFormat="true" ht="15.75" hidden="false" customHeight="true" outlineLevel="0" collapsed="false">
      <c r="A351" s="97"/>
      <c r="D351" s="98"/>
      <c r="E351" s="97"/>
      <c r="F351" s="97"/>
      <c r="G351" s="97"/>
      <c r="H351" s="97"/>
      <c r="I351" s="196"/>
      <c r="J351" s="196"/>
    </row>
    <row r="352" s="96" customFormat="true" ht="15" hidden="false" customHeight="true" outlineLevel="0" collapsed="false">
      <c r="A352" s="97"/>
      <c r="D352" s="98"/>
      <c r="E352" s="97"/>
      <c r="F352" s="97"/>
      <c r="G352" s="97"/>
      <c r="H352" s="195"/>
      <c r="I352" s="196"/>
      <c r="J352" s="196"/>
    </row>
    <row r="353" s="202" customFormat="true" ht="15.75" hidden="false" customHeight="true" outlineLevel="0" collapsed="false">
      <c r="A353" s="97"/>
      <c r="B353" s="96"/>
      <c r="C353" s="96"/>
      <c r="D353" s="98"/>
      <c r="E353" s="97"/>
      <c r="F353" s="97"/>
      <c r="G353" s="97"/>
      <c r="H353" s="97"/>
      <c r="I353" s="97"/>
      <c r="J353" s="97"/>
    </row>
    <row r="354" s="96" customFormat="true" ht="15.75" hidden="false" customHeight="true" outlineLevel="0" collapsed="false">
      <c r="A354" s="191"/>
      <c r="D354" s="98"/>
      <c r="E354" s="97"/>
      <c r="F354" s="97"/>
      <c r="G354" s="97"/>
      <c r="H354" s="97"/>
      <c r="I354" s="191"/>
      <c r="J354" s="199"/>
    </row>
    <row r="355" s="96" customFormat="true" ht="15.75" hidden="false" customHeight="true" outlineLevel="0" collapsed="false">
      <c r="A355" s="190"/>
      <c r="B355" s="191"/>
      <c r="C355" s="191"/>
      <c r="D355" s="192"/>
      <c r="E355" s="191"/>
      <c r="F355" s="191"/>
      <c r="G355" s="191"/>
      <c r="H355" s="191"/>
      <c r="I355" s="189"/>
      <c r="J355" s="190"/>
    </row>
    <row r="356" s="96" customFormat="true" ht="15.75" hidden="false" customHeight="true" outlineLevel="0" collapsed="false">
      <c r="A356" s="200"/>
      <c r="B356" s="190"/>
      <c r="C356" s="191"/>
      <c r="D356" s="194"/>
      <c r="E356" s="190"/>
      <c r="F356" s="189"/>
      <c r="G356" s="190"/>
      <c r="H356" s="189"/>
      <c r="I356" s="196"/>
      <c r="J356" s="196"/>
    </row>
    <row r="357" s="96" customFormat="true" ht="15.75" hidden="false" customHeight="true" outlineLevel="0" collapsed="false">
      <c r="A357" s="200"/>
      <c r="C357" s="182"/>
      <c r="D357" s="98"/>
      <c r="E357" s="97"/>
      <c r="F357" s="97"/>
      <c r="G357" s="97"/>
      <c r="H357" s="182"/>
      <c r="I357" s="98"/>
      <c r="J357" s="98"/>
    </row>
    <row r="358" s="96" customFormat="true" ht="15.75" hidden="false" customHeight="true" outlineLevel="0" collapsed="false">
      <c r="A358" s="200"/>
      <c r="C358" s="98"/>
      <c r="D358" s="98"/>
      <c r="E358" s="97"/>
      <c r="F358" s="97"/>
      <c r="G358" s="97"/>
      <c r="H358" s="98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196"/>
      <c r="J359" s="196"/>
    </row>
    <row r="360" s="96" customFormat="true" ht="15.75" hidden="false" customHeight="true" outlineLevel="0" collapsed="false">
      <c r="A360" s="200"/>
      <c r="D360" s="98"/>
      <c r="E360" s="97"/>
      <c r="F360" s="97"/>
      <c r="G360" s="97"/>
      <c r="H360" s="97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C363" s="98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G372" s="97"/>
      <c r="H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182"/>
      <c r="I375" s="98"/>
      <c r="J375" s="98"/>
    </row>
    <row r="376" s="96" customFormat="true" ht="15.75" hidden="false" customHeight="true" outlineLevel="0" collapsed="false">
      <c r="A376" s="200"/>
      <c r="C376" s="188"/>
      <c r="D376" s="98"/>
      <c r="E376" s="97"/>
      <c r="F376" s="97"/>
      <c r="G376" s="97"/>
      <c r="H376" s="98"/>
      <c r="I376" s="98"/>
      <c r="J376" s="98"/>
    </row>
    <row r="377" s="96" customFormat="true" ht="15.75" hidden="false" customHeight="true" outlineLevel="0" collapsed="false">
      <c r="A377" s="200"/>
      <c r="D377" s="98"/>
      <c r="E377" s="97"/>
      <c r="F377" s="97"/>
      <c r="G377" s="97"/>
      <c r="H377" s="98"/>
      <c r="I377" s="196"/>
      <c r="J377" s="196"/>
    </row>
    <row r="378" s="96" customFormat="true" ht="15.75" hidden="false" customHeight="true" outlineLevel="0" collapsed="false">
      <c r="A378" s="200"/>
      <c r="C378" s="98"/>
      <c r="D378" s="98"/>
      <c r="E378" s="97"/>
      <c r="F378" s="97"/>
      <c r="G378" s="97"/>
      <c r="H378" s="182"/>
      <c r="I378" s="98"/>
      <c r="J378" s="98"/>
    </row>
    <row r="379" s="96" customFormat="true" ht="15.75" hidden="false" customHeight="true" outlineLevel="0" collapsed="false">
      <c r="A379" s="200"/>
      <c r="D379" s="98"/>
      <c r="E379" s="97"/>
      <c r="F379" s="97"/>
      <c r="G379" s="97"/>
      <c r="H379" s="98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196"/>
      <c r="J380" s="196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7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97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213"/>
      <c r="J387" s="213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213"/>
      <c r="I388" s="97"/>
      <c r="J388" s="97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97"/>
      <c r="I389" s="98"/>
      <c r="J389" s="98"/>
    </row>
    <row r="390" s="96" customFormat="true" ht="15.75" hidden="false" customHeight="true" outlineLevel="0" collapsed="false">
      <c r="A390" s="200"/>
      <c r="C390" s="188"/>
      <c r="D390" s="98"/>
      <c r="E390" s="97"/>
      <c r="F390" s="97"/>
      <c r="G390" s="97"/>
      <c r="H390" s="98"/>
      <c r="I390" s="196"/>
      <c r="J390" s="196"/>
    </row>
    <row r="391" s="96" customFormat="true" ht="15.75" hidden="false" customHeight="true" outlineLevel="0" collapsed="false">
      <c r="A391" s="200"/>
      <c r="D391" s="98"/>
      <c r="E391" s="97"/>
      <c r="F391" s="97"/>
      <c r="G391" s="97"/>
      <c r="H391" s="97"/>
      <c r="I391" s="97"/>
      <c r="J391" s="196"/>
    </row>
    <row r="392" s="96" customFormat="true" ht="15.75" hidden="false" customHeight="true" outlineLevel="0" collapsed="false">
      <c r="A392" s="200"/>
      <c r="C392" s="98"/>
      <c r="D392" s="98"/>
      <c r="E392" s="97"/>
      <c r="F392" s="97"/>
      <c r="G392" s="97"/>
      <c r="H392" s="97"/>
      <c r="I392" s="196"/>
      <c r="J392" s="196"/>
    </row>
    <row r="393" s="96" customFormat="true" ht="15.75" hidden="false" customHeight="true" outlineLevel="0" collapsed="false">
      <c r="A393" s="200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107"/>
      <c r="D395" s="98"/>
      <c r="E395" s="97"/>
      <c r="F395" s="97"/>
      <c r="G395" s="97"/>
      <c r="H395" s="97"/>
      <c r="I395" s="97"/>
      <c r="J395" s="97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202" customFormat="true" ht="15.75" hidden="false" customHeight="true" outlineLevel="0" collapsed="false">
      <c r="A403" s="107"/>
      <c r="B403" s="96"/>
      <c r="C403" s="96"/>
      <c r="D403" s="98"/>
      <c r="E403" s="97"/>
      <c r="F403" s="97"/>
      <c r="G403" s="97"/>
      <c r="H403" s="97"/>
      <c r="I403" s="97"/>
      <c r="J403" s="97"/>
    </row>
    <row r="404" s="96" customFormat="true" ht="15.75" hidden="false" customHeight="true" outlineLevel="0" collapsed="false">
      <c r="A404" s="191"/>
      <c r="D404" s="98"/>
      <c r="E404" s="97"/>
      <c r="F404" s="97"/>
      <c r="G404" s="97"/>
      <c r="H404" s="97"/>
      <c r="I404" s="191"/>
      <c r="J404" s="199"/>
    </row>
    <row r="405" s="96" customFormat="true" ht="15.75" hidden="false" customHeight="true" outlineLevel="0" collapsed="false">
      <c r="A405" s="191"/>
      <c r="B405" s="191"/>
      <c r="C405" s="191"/>
      <c r="D405" s="192"/>
      <c r="E405" s="191"/>
      <c r="F405" s="191"/>
      <c r="G405" s="191"/>
      <c r="H405" s="191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97"/>
      <c r="B418" s="191"/>
      <c r="C418" s="191"/>
      <c r="D418" s="192"/>
      <c r="E418" s="191"/>
      <c r="F418" s="191"/>
      <c r="G418" s="191"/>
      <c r="H418" s="191"/>
      <c r="I418" s="196"/>
      <c r="J418" s="196"/>
      <c r="K418" s="214"/>
    </row>
    <row r="419" s="96" customFormat="true" ht="15.75" hidden="false" customHeight="true" outlineLevel="0" collapsed="false">
      <c r="A419" s="97"/>
      <c r="D419" s="98"/>
      <c r="E419" s="97"/>
      <c r="F419" s="97"/>
      <c r="G419" s="97"/>
      <c r="H419" s="97"/>
      <c r="I419" s="196"/>
    </row>
    <row r="420" customFormat="false" ht="18" hidden="false" customHeight="true" outlineLevel="0" collapsed="false">
      <c r="A420" s="97"/>
      <c r="B420" s="96"/>
      <c r="C420" s="96"/>
      <c r="D420" s="98"/>
      <c r="E420" s="97"/>
      <c r="F420" s="97"/>
      <c r="G420" s="97"/>
      <c r="H420" s="97"/>
      <c r="I420" s="97"/>
      <c r="J420" s="92" t="str">
        <f aca="false">LEFT($J$111,11)&amp;"-04"</f>
        <v>FG-240-6P6L-04</v>
      </c>
      <c r="K420" s="78"/>
      <c r="L420" s="78"/>
      <c r="M420" s="79"/>
      <c r="N420" s="79"/>
    </row>
    <row r="421" customFormat="false" ht="12.75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215"/>
      <c r="K421" s="78"/>
      <c r="L421" s="78"/>
      <c r="M421" s="79"/>
      <c r="N421" s="79"/>
    </row>
    <row r="422" customFormat="false" ht="30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77" t="str">
        <f aca="false">$J$2</f>
        <v>HOMELIFE</v>
      </c>
      <c r="K422" s="78"/>
      <c r="L422" s="78"/>
      <c r="M422" s="79"/>
      <c r="N422" s="79"/>
    </row>
    <row r="423" customFormat="false" ht="24.75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80" t="str">
        <f aca="false">$J$3</f>
        <v>Fabricators Guide</v>
      </c>
      <c r="K423" s="78"/>
      <c r="L423" s="78"/>
      <c r="M423" s="79"/>
      <c r="N423" s="79"/>
    </row>
    <row r="424" customFormat="false" ht="24.75" hidden="false" customHeight="true" outlineLevel="0" collapsed="false">
      <c r="C424" s="82"/>
      <c r="D424" s="82"/>
      <c r="E424" s="82"/>
      <c r="F424" s="82"/>
      <c r="G424" s="82"/>
      <c r="H424" s="82"/>
      <c r="I424" s="82"/>
      <c r="J424" s="80" t="str">
        <f aca="false">$J$4</f>
        <v>240 Series Bi Fold Door </v>
      </c>
      <c r="M424" s="87"/>
      <c r="N424" s="87"/>
    </row>
    <row r="425" s="96" customFormat="true" ht="15" hidden="false" customHeight="true" outlineLevel="0" collapsed="false">
      <c r="A425" s="84"/>
      <c r="B425" s="81"/>
      <c r="C425" s="82"/>
      <c r="D425" s="82"/>
      <c r="E425" s="82"/>
      <c r="F425" s="82"/>
      <c r="G425" s="82"/>
      <c r="H425" s="82"/>
      <c r="I425" s="84"/>
      <c r="J425" s="86"/>
      <c r="K425" s="87"/>
      <c r="L425" s="87"/>
      <c r="M425" s="87"/>
      <c r="N425" s="87"/>
    </row>
    <row r="426" s="96" customFormat="true" ht="24.75" hidden="false" customHeight="true" outlineLevel="0" collapsed="false">
      <c r="A426" s="88" t="s">
        <v>481</v>
      </c>
      <c r="B426" s="88"/>
      <c r="C426" s="88"/>
      <c r="D426" s="88"/>
      <c r="E426" s="88"/>
      <c r="F426" s="88"/>
      <c r="G426" s="88"/>
      <c r="H426" s="88"/>
      <c r="I426" s="88"/>
      <c r="J426" s="88"/>
      <c r="K426" s="87"/>
      <c r="L426" s="87"/>
      <c r="M426" s="87"/>
      <c r="N426" s="87"/>
    </row>
    <row r="427" s="96" customFormat="true" ht="15" hidden="false" customHeight="true" outlineLevel="0" collapsed="false">
      <c r="B427" s="268"/>
      <c r="C427" s="268"/>
      <c r="D427" s="268"/>
      <c r="E427" s="268"/>
      <c r="F427" s="268"/>
      <c r="G427" s="268"/>
      <c r="H427" s="268"/>
    </row>
    <row r="428" s="96" customFormat="true" ht="15" hidden="false" customHeight="true" outlineLevel="0" collapsed="false">
      <c r="A428" s="188"/>
      <c r="I428" s="191"/>
      <c r="J428" s="199"/>
    </row>
    <row r="429" s="96" customFormat="true" ht="15" hidden="false" customHeight="true" outlineLevel="0" collapsed="false">
      <c r="A429" s="97"/>
      <c r="B429" s="81"/>
      <c r="D429" s="98"/>
      <c r="E429" s="83"/>
      <c r="F429" s="81"/>
      <c r="H429" s="191"/>
      <c r="I429" s="191"/>
      <c r="J429" s="199"/>
    </row>
    <row r="430" s="96" customFormat="true" ht="15" hidden="false" customHeight="true" outlineLevel="0" collapsed="false">
      <c r="A430" s="97"/>
      <c r="D430" s="98"/>
      <c r="E430" s="83"/>
      <c r="F430" s="98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C432" s="98"/>
      <c r="D432" s="98"/>
      <c r="E432" s="97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83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81"/>
      <c r="C435" s="182"/>
      <c r="D435" s="98"/>
      <c r="E435" s="97"/>
      <c r="F435" s="216"/>
      <c r="H435" s="191"/>
      <c r="I435" s="191"/>
      <c r="J435" s="199"/>
    </row>
    <row r="436" s="96" customFormat="true" ht="15" hidden="false" customHeight="true" outlineLevel="0" collapsed="false">
      <c r="A436" s="99"/>
      <c r="B436" s="81"/>
      <c r="C436" s="98"/>
      <c r="D436" s="98"/>
      <c r="E436" s="97"/>
      <c r="F436" s="186"/>
      <c r="H436" s="191"/>
      <c r="I436" s="191"/>
      <c r="J436" s="199"/>
    </row>
    <row r="437" s="96" customFormat="true" ht="15" hidden="false" customHeight="true" outlineLevel="0" collapsed="false">
      <c r="B437" s="99"/>
      <c r="C437" s="98"/>
      <c r="D437" s="98"/>
      <c r="E437" s="97"/>
      <c r="F437" s="110"/>
      <c r="H437" s="191"/>
      <c r="I437" s="191"/>
      <c r="J437" s="199"/>
    </row>
    <row r="438" s="96" customFormat="true" ht="15" hidden="false" customHeight="true" outlineLevel="0" collapsed="false">
      <c r="A438" s="211" t="str">
        <f aca="false">A18</f>
        <v>240-6 Panel (6L)</v>
      </c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.75" hidden="false" customHeight="true" outlineLevel="0" collapsed="false">
      <c r="A439" s="90" t="str">
        <f aca="false">A19</f>
        <v>Outside Bi Fold Door </v>
      </c>
      <c r="C439" s="182"/>
      <c r="D439" s="98"/>
      <c r="E439" s="97"/>
      <c r="F439" s="186"/>
      <c r="H439" s="191"/>
      <c r="I439" s="191"/>
      <c r="J439" s="199"/>
    </row>
    <row r="440" s="96" customFormat="true" ht="15.75" hidden="false" customHeight="true" outlineLevel="0" collapsed="false">
      <c r="A440" s="81"/>
      <c r="C440" s="98"/>
      <c r="D440" s="98"/>
      <c r="E440" s="97"/>
      <c r="F440" s="78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81"/>
      <c r="C442" s="98"/>
      <c r="D442" s="98"/>
      <c r="E442" s="97"/>
      <c r="F442" s="78"/>
      <c r="H442" s="191"/>
      <c r="I442" s="191"/>
      <c r="J442" s="199"/>
    </row>
    <row r="443" s="96" customFormat="true" ht="15.75" hidden="false" customHeight="true" outlineLevel="0" collapsed="false">
      <c r="A443" s="191"/>
      <c r="C443" s="212"/>
      <c r="D443" s="98"/>
      <c r="E443" s="97"/>
      <c r="F443" s="97"/>
      <c r="H443" s="191"/>
      <c r="I443" s="191"/>
      <c r="J443" s="199"/>
    </row>
    <row r="444" s="96" customFormat="true" ht="15.75" hidden="false" customHeight="true" outlineLevel="0" collapsed="false">
      <c r="A444" s="190"/>
      <c r="C444" s="191"/>
      <c r="D444" s="192"/>
      <c r="E444" s="191"/>
      <c r="F444" s="191"/>
      <c r="H444" s="191"/>
      <c r="I444" s="191"/>
      <c r="J444" s="199"/>
    </row>
    <row r="445" customFormat="false" ht="15" hidden="false" customHeight="true" outlineLevel="0" collapsed="false">
      <c r="B445" s="211"/>
      <c r="C445" s="98"/>
      <c r="D445" s="98"/>
      <c r="E445" s="97"/>
      <c r="F445" s="98"/>
      <c r="G445" s="97"/>
      <c r="H445" s="97"/>
    </row>
    <row r="450" s="96" customFormat="true" ht="15.75" hidden="false" customHeight="true" outlineLevel="0" collapsed="false">
      <c r="A450" s="97"/>
      <c r="D450" s="73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191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97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196"/>
      <c r="J457" s="196"/>
    </row>
    <row r="458" s="96" customFormat="true" ht="15.7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195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202" customFormat="true" ht="15.75" hidden="false" customHeight="true" outlineLevel="0" collapsed="false">
      <c r="A477" s="97"/>
      <c r="B477" s="96"/>
      <c r="C477" s="96"/>
      <c r="D477" s="98"/>
      <c r="E477" s="97"/>
      <c r="F477" s="97"/>
      <c r="G477" s="97"/>
      <c r="H477" s="97"/>
      <c r="I477" s="97"/>
      <c r="J477" s="97"/>
    </row>
    <row r="478" s="96" customFormat="true" ht="15.75" hidden="false" customHeight="true" outlineLevel="0" collapsed="false">
      <c r="A478" s="191"/>
      <c r="D478" s="98"/>
      <c r="E478" s="97"/>
      <c r="F478" s="97"/>
      <c r="G478" s="97"/>
      <c r="H478" s="97"/>
      <c r="I478" s="191"/>
      <c r="J478" s="199"/>
    </row>
    <row r="479" s="96" customFormat="true" ht="15.75" hidden="false" customHeight="true" outlineLevel="0" collapsed="false">
      <c r="A479" s="190"/>
      <c r="B479" s="191"/>
      <c r="C479" s="191"/>
      <c r="D479" s="192"/>
      <c r="E479" s="191"/>
      <c r="F479" s="191"/>
      <c r="G479" s="191"/>
      <c r="H479" s="191"/>
      <c r="I479" s="189"/>
      <c r="J479" s="190"/>
    </row>
    <row r="480" s="96" customFormat="true" ht="15.75" hidden="false" customHeight="true" outlineLevel="0" collapsed="false">
      <c r="A480" s="200"/>
      <c r="B480" s="190"/>
      <c r="C480" s="191"/>
      <c r="D480" s="194"/>
      <c r="E480" s="190"/>
      <c r="F480" s="189"/>
      <c r="G480" s="190"/>
      <c r="H480" s="189"/>
      <c r="I480" s="196"/>
      <c r="J480" s="196"/>
    </row>
    <row r="481" s="96" customFormat="true" ht="15.75" hidden="false" customHeight="true" outlineLevel="0" collapsed="false">
      <c r="A481" s="200"/>
      <c r="C481" s="182"/>
      <c r="D481" s="98"/>
      <c r="E481" s="97"/>
      <c r="F481" s="97"/>
      <c r="G481" s="97"/>
      <c r="H481" s="182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C487" s="98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182"/>
      <c r="J499" s="97"/>
    </row>
    <row r="500" s="96" customFormat="true" ht="15.75" hidden="false" customHeight="true" outlineLevel="0" collapsed="false">
      <c r="A500" s="200"/>
      <c r="C500" s="188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I501" s="196"/>
      <c r="J501" s="196"/>
    </row>
    <row r="502" s="96" customFormat="true" ht="15.75" hidden="false" customHeight="true" outlineLevel="0" collapsed="false">
      <c r="A502" s="200"/>
      <c r="C502" s="98"/>
      <c r="D502" s="98"/>
      <c r="E502" s="97"/>
      <c r="F502" s="97"/>
      <c r="G502" s="97"/>
      <c r="H502" s="182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212"/>
      <c r="J511" s="195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238"/>
      <c r="J512" s="97"/>
    </row>
    <row r="513" s="96" customFormat="true" ht="15.75" hidden="false" customHeight="true" outlineLevel="0" collapsed="false">
      <c r="A513" s="191"/>
      <c r="D513" s="98"/>
      <c r="E513" s="97"/>
      <c r="F513" s="97"/>
      <c r="G513" s="97"/>
      <c r="I513" s="191"/>
      <c r="J513" s="199"/>
    </row>
    <row r="514" s="96" customFormat="true" ht="15.75" hidden="false" customHeight="true" outlineLevel="0" collapsed="false">
      <c r="A514" s="191"/>
      <c r="B514" s="191"/>
      <c r="C514" s="191"/>
      <c r="D514" s="192"/>
      <c r="E514" s="191"/>
      <c r="F514" s="191"/>
      <c r="G514" s="191"/>
      <c r="H514" s="191"/>
      <c r="I514" s="191"/>
      <c r="J514" s="199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B516" s="191"/>
      <c r="C516" s="191"/>
      <c r="D516" s="192"/>
      <c r="E516" s="191"/>
      <c r="F516" s="191"/>
      <c r="G516" s="191"/>
      <c r="H516" s="191"/>
    </row>
    <row r="517" s="96" customFormat="true" ht="15.75" hidden="false" customHeight="true" outlineLevel="0" collapsed="false"/>
    <row r="518" s="96" customFormat="true" ht="24.75" hidden="false" customHeight="true" outlineLevel="0" collapsed="false">
      <c r="A518" s="88" t="s">
        <v>482</v>
      </c>
      <c r="B518" s="88"/>
      <c r="C518" s="88"/>
      <c r="D518" s="88"/>
      <c r="E518" s="88"/>
      <c r="F518" s="88"/>
      <c r="G518" s="88"/>
      <c r="H518" s="88"/>
      <c r="I518" s="88"/>
      <c r="J518" s="88"/>
    </row>
    <row r="519" s="96" customFormat="true" ht="34.5" hidden="false" customHeight="true" outlineLevel="0" collapsed="false">
      <c r="A519" s="114" t="s">
        <v>319</v>
      </c>
      <c r="B519" s="115" t="s">
        <v>168</v>
      </c>
      <c r="C519" s="115" t="s">
        <v>168</v>
      </c>
      <c r="D519" s="116" t="s">
        <v>483</v>
      </c>
      <c r="E519" s="115" t="s">
        <v>321</v>
      </c>
      <c r="F519" s="239" t="s">
        <v>484</v>
      </c>
      <c r="G519" s="240"/>
      <c r="H519" s="116" t="s">
        <v>484</v>
      </c>
      <c r="I519" s="116" t="s">
        <v>485</v>
      </c>
      <c r="J519" s="117" t="s">
        <v>323</v>
      </c>
      <c r="N519" s="118" t="s">
        <v>168</v>
      </c>
      <c r="O519" s="118" t="s">
        <v>168</v>
      </c>
    </row>
    <row r="520" s="96" customFormat="true" ht="15.75" hidden="false" customHeight="true" outlineLevel="0" collapsed="false">
      <c r="A520" s="120" t="n">
        <f aca="false">IF(C520="","",1)</f>
        <v>1</v>
      </c>
      <c r="B520" s="121" t="str">
        <f aca="false">IF($D$127=5,N520,IF($D$127=6,N521,IF($D$127=8,N522,IF($D$127=10,N523,IF($D$127=12,N524,IF($D$127=14,N525,IF($D$127=N18526,IF($D$127=20,N527,IF($D$127=22,N528,)))))))))</f>
        <v>กระจก 5 mm (สูง) (กว้าง)</v>
      </c>
      <c r="C520" s="121" t="str">
        <f aca="false">IF($D$127=5,O520,IF($D$127=6,O521,IF($D$127=8,O522,IF($D$127=10,O523,IF($D$127=12,O524,IF($D$127=14,O525,IF($D$127=O18526,IF($D$127=20,O527,IF($D$127=22,O528,)))))))))</f>
        <v>GLASS thk.5 mm (H) (W)</v>
      </c>
      <c r="D520" s="123" t="n">
        <f aca="false">$J$123-215</f>
        <v>2785</v>
      </c>
      <c r="E520" s="120" t="s">
        <v>486</v>
      </c>
      <c r="F520" s="224" t="s">
        <v>487</v>
      </c>
      <c r="G520" s="224"/>
      <c r="H520" s="120" t="s">
        <v>703</v>
      </c>
      <c r="I520" s="225" t="n">
        <f aca="false">(($J$126-182-(113.25*5))/6)-13</f>
        <v>562.291666666667</v>
      </c>
      <c r="J520" s="226" t="n">
        <f aca="false">$J$120*6</f>
        <v>6</v>
      </c>
      <c r="M520" s="96" t="n">
        <f aca="false">ROW()</f>
        <v>520</v>
      </c>
      <c r="N520" s="62" t="s">
        <v>489</v>
      </c>
      <c r="O520" s="62" t="s">
        <v>490</v>
      </c>
    </row>
    <row r="521" s="96" customFormat="true" ht="15.75" hidden="false" customHeight="true" outlineLevel="0" collapsed="false">
      <c r="A521" s="269"/>
      <c r="B521" s="228"/>
      <c r="C521" s="228"/>
      <c r="D521" s="176"/>
      <c r="E521" s="167"/>
      <c r="F521" s="229"/>
      <c r="G521" s="230"/>
      <c r="H521" s="167"/>
      <c r="I521" s="231"/>
      <c r="J521" s="232"/>
      <c r="M521" s="96" t="n">
        <f aca="false">ROW()</f>
        <v>521</v>
      </c>
      <c r="N521" s="62" t="s">
        <v>491</v>
      </c>
      <c r="O521" s="62" t="s">
        <v>492</v>
      </c>
    </row>
    <row r="522" s="96" customFormat="true" ht="15.75" hidden="false" customHeight="true" outlineLevel="0" collapsed="false">
      <c r="A522" s="269"/>
      <c r="B522" s="228"/>
      <c r="C522" s="228"/>
      <c r="D522" s="176"/>
      <c r="E522" s="167"/>
      <c r="F522" s="229"/>
      <c r="G522" s="230"/>
      <c r="H522" s="167"/>
      <c r="I522" s="231"/>
      <c r="J522" s="232"/>
      <c r="M522" s="96" t="n">
        <f aca="false">ROW()</f>
        <v>522</v>
      </c>
      <c r="N522" s="62" t="s">
        <v>493</v>
      </c>
      <c r="O522" s="62" t="s">
        <v>494</v>
      </c>
    </row>
    <row r="523" s="96" customFormat="true" ht="15.75" hidden="false" customHeight="true" outlineLevel="0" collapsed="false">
      <c r="A523" s="130" t="str">
        <f aca="false">IF(B523="","",+""+1)</f>
        <v/>
      </c>
      <c r="B523" s="131"/>
      <c r="C523" s="131"/>
      <c r="D523" s="132"/>
      <c r="E523" s="130"/>
      <c r="F523" s="233"/>
      <c r="G523" s="270"/>
      <c r="H523" s="130"/>
      <c r="I523" s="142"/>
      <c r="J523" s="133"/>
      <c r="M523" s="96" t="n">
        <f aca="false">ROW()</f>
        <v>523</v>
      </c>
      <c r="N523" s="62" t="s">
        <v>495</v>
      </c>
      <c r="O523" s="62" t="s">
        <v>496</v>
      </c>
    </row>
    <row r="524" s="96" customFormat="true" ht="15.75" hidden="false" customHeight="true" outlineLevel="0" collapsed="false">
      <c r="A524" s="136" t="str">
        <f aca="false">IF(B524="","",+A523+1)</f>
        <v/>
      </c>
      <c r="B524" s="135"/>
      <c r="C524" s="135"/>
      <c r="D524" s="139"/>
      <c r="E524" s="136"/>
      <c r="F524" s="236"/>
      <c r="G524" s="237"/>
      <c r="H524" s="136"/>
      <c r="I524" s="180"/>
      <c r="J524" s="140"/>
      <c r="M524" s="96" t="n">
        <f aca="false">ROW()</f>
        <v>524</v>
      </c>
      <c r="N524" s="62" t="s">
        <v>497</v>
      </c>
      <c r="O524" s="62" t="s">
        <v>498</v>
      </c>
    </row>
    <row r="525" s="96" customFormat="true" ht="15.75" hidden="false" customHeight="true" outlineLevel="0" collapsed="false">
      <c r="A525" s="97"/>
      <c r="D525" s="98"/>
      <c r="E525" s="97"/>
      <c r="F525" s="97"/>
      <c r="G525" s="97"/>
      <c r="H525" s="97"/>
      <c r="I525" s="97"/>
      <c r="J525" s="196"/>
      <c r="M525" s="96" t="n">
        <f aca="false">ROW()</f>
        <v>525</v>
      </c>
      <c r="N525" s="62" t="s">
        <v>499</v>
      </c>
      <c r="O525" s="62" t="s">
        <v>500</v>
      </c>
    </row>
    <row r="526" customFormat="false" ht="14.25" hidden="false" customHeight="false" outlineLevel="0" collapsed="false">
      <c r="J526" s="92" t="str">
        <f aca="false">LEFT($J$111,11)&amp;"-05"</f>
        <v>FG-240-6P6L-05</v>
      </c>
      <c r="M526" s="96" t="n">
        <f aca="false">ROW()</f>
        <v>526</v>
      </c>
      <c r="N526" s="62" t="s">
        <v>501</v>
      </c>
      <c r="O526" s="62" t="s">
        <v>502</v>
      </c>
    </row>
    <row r="527" customFormat="false" ht="14.25" hidden="false" customHeight="false" outlineLevel="0" collapsed="false">
      <c r="M527" s="96" t="n">
        <f aca="false">ROW()</f>
        <v>527</v>
      </c>
      <c r="N527" s="62" t="s">
        <v>503</v>
      </c>
      <c r="O527" s="62" t="s">
        <v>504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505</v>
      </c>
      <c r="O528" s="62" t="s">
        <v>506</v>
      </c>
    </row>
  </sheetData>
  <mergeCells count="43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6"/>
    <mergeCell ref="H163:H166"/>
    <mergeCell ref="I166:J167"/>
    <mergeCell ref="D167:D168"/>
    <mergeCell ref="H167:H168"/>
    <mergeCell ref="I168:J168"/>
    <mergeCell ref="A169:J169"/>
    <mergeCell ref="A212:J212"/>
    <mergeCell ref="A319:J319"/>
    <mergeCell ref="F329:G329"/>
    <mergeCell ref="F330:G330"/>
    <mergeCell ref="F333:G333"/>
    <mergeCell ref="A426:J426"/>
    <mergeCell ref="A518:J518"/>
    <mergeCell ref="F520:G520"/>
  </mergeCells>
  <dataValidations count="4">
    <dataValidation allowBlank="true" errorStyle="stop" operator="between" showDropDown="false" showErrorMessage="true" showInputMessage="true" sqref="D127:G127" type="list">
      <formula1>$N$120:$N$128</formula1>
      <formula2>0</formula2>
    </dataValidation>
    <dataValidation allowBlank="true" errorStyle="stop" operator="between" showDropDown="false" showErrorMessage="true" showInputMessage="true" sqref="C205" type="list">
      <formula1>$O$171:$O$189</formula1>
      <formula2>0</formula2>
    </dataValidation>
    <dataValidation allowBlank="true" errorStyle="stop" operator="between" showDropDown="false" showErrorMessage="true" showInputMessage="true" sqref="D129:G129" type="list">
      <formula1>$O$120</formula1>
      <formula2>0</formula2>
    </dataValidation>
    <dataValidation allowBlank="true" errorStyle="stop" operator="between" showDropDown="false" showErrorMessage="true" showInputMessage="true" sqref="D123:G123" type="list">
      <formula1>$P$119:$P$128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6" man="true" max="16383" min="0"/>
    <brk id="313" man="true" max="16383" min="0"/>
    <brk id="420" man="true" max="16383" min="0"/>
  </rowBreaks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528"/>
  <sheetViews>
    <sheetView showFormulas="false" showGridLines="false" showRowColHeaders="true" showZeros="true" rightToLeft="false" tabSelected="false" showOutlineSymbols="true" defaultGridColor="true" view="pageBreakPreview" topLeftCell="A115" colorId="64" zoomScale="75" zoomScaleNormal="75" zoomScalePageLayoutView="75" workbookViewId="0">
      <selection pane="topLeft" activeCell="D119" activeCellId="0" sqref="D119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34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7.88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3.44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704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>
      <c r="G45" s="91"/>
    </row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705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5" hidden="false" customHeight="true" outlineLevel="0" collapsed="false">
      <c r="A118" s="97"/>
      <c r="C118" s="81"/>
      <c r="D118" s="98"/>
      <c r="E118" s="83"/>
      <c r="J118" s="99"/>
      <c r="K118" s="83"/>
    </row>
    <row r="119" s="96" customFormat="true" ht="15" hidden="false" customHeight="true" outlineLevel="0" collapsed="false">
      <c r="A119" s="97"/>
      <c r="C119" s="100" t="s">
        <v>286</v>
      </c>
      <c r="D119" s="101"/>
      <c r="E119" s="101"/>
      <c r="F119" s="101"/>
      <c r="G119" s="101"/>
      <c r="I119" s="83"/>
      <c r="J119" s="97"/>
      <c r="N119" s="258" t="s">
        <v>288</v>
      </c>
      <c r="O119" s="97" t="s">
        <v>289</v>
      </c>
      <c r="P119" s="102" t="s">
        <v>290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5</v>
      </c>
      <c r="O120" s="97" t="s">
        <v>509</v>
      </c>
      <c r="P120" s="106" t="s">
        <v>294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6</v>
      </c>
      <c r="O121" s="97" t="s">
        <v>296</v>
      </c>
      <c r="P121" s="106" t="s">
        <v>297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8</v>
      </c>
      <c r="P122" s="106" t="s">
        <v>299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2500</v>
      </c>
      <c r="N123" s="259" t="n">
        <v>10</v>
      </c>
      <c r="P123" s="106" t="s">
        <v>303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12</v>
      </c>
      <c r="P124" s="106" t="s">
        <v>305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510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14</v>
      </c>
      <c r="P125" s="106" t="s">
        <v>308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3500</v>
      </c>
      <c r="K126" s="110"/>
      <c r="L126" s="110"/>
      <c r="N126" s="259" t="n">
        <v>18</v>
      </c>
      <c r="P126" s="106" t="s">
        <v>311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259" t="n">
        <v>20</v>
      </c>
      <c r="P127" s="106" t="s">
        <v>313</v>
      </c>
    </row>
    <row r="128" s="96" customFormat="true" ht="18.75" hidden="false" customHeight="true" outlineLevel="0" collapsed="false">
      <c r="C128" s="108" t="s">
        <v>314</v>
      </c>
      <c r="I128" s="97"/>
      <c r="J128" s="97"/>
      <c r="N128" s="259" t="n">
        <v>22</v>
      </c>
      <c r="P128" s="106" t="s">
        <v>315</v>
      </c>
    </row>
    <row r="129" s="96" customFormat="true" ht="15" hidden="false" customHeight="true" outlineLevel="0" collapsed="false">
      <c r="A129" s="89" t="str">
        <f aca="false">A18</f>
        <v>240-6 Panel (6R)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3440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12</v>
      </c>
      <c r="U133" s="127" t="s">
        <v>700</v>
      </c>
      <c r="V133" s="247" t="n">
        <f aca="false">($J$126-182-(113.25*5))/6</f>
        <v>458.625</v>
      </c>
      <c r="W133" s="129" t="n">
        <f aca="false">$J$121*T133</f>
        <v>0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3414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12</v>
      </c>
      <c r="U134" s="127" t="s">
        <v>700</v>
      </c>
      <c r="V134" s="247" t="n">
        <f aca="false">($J$126-182-(113.25*5))/6</f>
        <v>458.625</v>
      </c>
      <c r="W134" s="134" t="n">
        <f aca="false">$J$121*T134</f>
        <v>0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3440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12</v>
      </c>
      <c r="U135" s="127" t="s">
        <v>700</v>
      </c>
      <c r="V135" s="247" t="n">
        <f aca="false">($J$126-182-(113.25*5))/6</f>
        <v>458.625</v>
      </c>
      <c r="W135" s="137" t="n">
        <f aca="false">$J$121*T135</f>
        <v>0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3440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12</v>
      </c>
      <c r="U136" s="127" t="s">
        <v>360</v>
      </c>
      <c r="V136" s="138" t="n">
        <f aca="false">$J$123-242</f>
        <v>2258</v>
      </c>
      <c r="W136" s="129" t="n">
        <f aca="false">$J$121*T136</f>
        <v>0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562</v>
      </c>
      <c r="G137" s="130" t="n">
        <v>1</v>
      </c>
      <c r="H137" s="130" t="s">
        <v>332</v>
      </c>
      <c r="I137" s="133" t="n">
        <f aca="false">$J$123</f>
        <v>2500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12</v>
      </c>
      <c r="U137" s="130" t="s">
        <v>360</v>
      </c>
      <c r="V137" s="133" t="n">
        <f aca="false">$J$123-242</f>
        <v>2258</v>
      </c>
      <c r="W137" s="134" t="n">
        <f aca="false">$J$121*T137</f>
        <v>0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2500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12</v>
      </c>
      <c r="U138" s="136" t="s">
        <v>360</v>
      </c>
      <c r="V138" s="140" t="n">
        <f aca="false">$J$123-242</f>
        <v>2258</v>
      </c>
      <c r="W138" s="137" t="n">
        <f aca="false">$J$121*T138</f>
        <v>0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2404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2404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6</v>
      </c>
      <c r="H141" s="130" t="s">
        <v>675</v>
      </c>
      <c r="I141" s="141" t="n">
        <f aca="false">($J$126-60-(6+1)*4)/6</f>
        <v>568.666666666667</v>
      </c>
      <c r="J141" s="134" t="n">
        <f aca="false">$J$120*G141</f>
        <v>6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6</v>
      </c>
      <c r="H142" s="130" t="s">
        <v>675</v>
      </c>
      <c r="I142" s="141" t="n">
        <f aca="false">($J$126-60-(6+1)*4)/6</f>
        <v>568.666666666667</v>
      </c>
      <c r="J142" s="134" t="n">
        <f aca="false">$J$120*G142</f>
        <v>6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9</v>
      </c>
      <c r="H143" s="130" t="s">
        <v>389</v>
      </c>
      <c r="I143" s="133" t="n">
        <f aca="false">$J$123-92</f>
        <v>2408</v>
      </c>
      <c r="J143" s="134" t="n">
        <f aca="false">$J$120*G143</f>
        <v>9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563</v>
      </c>
      <c r="G144" s="130" t="n">
        <v>3</v>
      </c>
      <c r="H144" s="130" t="s">
        <v>389</v>
      </c>
      <c r="I144" s="133" t="n">
        <f aca="false">$J$123-92</f>
        <v>2408</v>
      </c>
      <c r="J144" s="134" t="n">
        <f aca="false">$J$120*G144</f>
        <v>3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5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5" s="131" t="str">
        <f aca="false">IF($D$127=5,Q133,IF($D$127=6,Q133,IF($D$127=8,Q134,IF($D$127=10,Q134,IF($D$127=12,Q134,IF($D$127=14,Q135,IF($D$127=18,Q135,IF($D$127=20,Q135,IF($D$127=22,Q135,)))))))))</f>
        <v>B24008</v>
      </c>
      <c r="E145" s="131" t="n">
        <f aca="false">IF($D$127=5,R133,IF($D$127=6,R133,IF($D$127=8,R134,IF($D$127=10,R134,IF($D$127=12,R134,IF($D$127=14,R135,IF($D$127=18,R135,IF($D$127=20,R135,IF($D$127=22,R135,)))))))))</f>
        <v>0.231</v>
      </c>
      <c r="F145" s="131" t="str">
        <f aca="false">IF($D$127=5,S133,IF($D$127=6,S133,IF($D$127=8,S134,IF($D$127=10,S134,IF($D$127=12,S134,IF($D$127=14,S135,IF($D$127=18,S135,IF($D$127=20,S135,IF($D$127=22,S135,)))))))))</f>
        <v>B24008-001</v>
      </c>
      <c r="G145" s="130" t="n">
        <f aca="false">IF($D$127=5,T133,IF($D$127=6,T133,IF($D$127=8,T134,IF($D$127=10,T134,IF($D$127=12,T134,IF($D$127=14,T135,IF($D$127=18,T135,IF($D$127=20,T135,IF($D$127=22,T135,)))))))))</f>
        <v>12</v>
      </c>
      <c r="H145" s="130" t="str">
        <f aca="false">IF($D$127=5,U133,IF($D$127=6,U133,IF($D$127=8,U134,IF($D$127=10,U134,IF($D$127=12,U134,IF($D$127=14,U135,IF($D$127=18,U135,IF($D$127=20,U135,IF($D$127=22,U135,)))))))))</f>
        <v>(W-182-(113.25 × 5))/6</v>
      </c>
      <c r="I145" s="141" t="n">
        <f aca="false">IF($D$127=5,V133,IF($D$127=6,V133,IF($D$127=8,V134,IF($D$127=10,V134,IF($D$127=12,V134,IF($D$127=14,V135,IF($D$127=18,V135,IF($D$127=20,V135,IF($D$127=22,V135,)))))))))</f>
        <v>458.625</v>
      </c>
      <c r="J145" s="134" t="n">
        <f aca="false">$J$120*G145</f>
        <v>12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6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6" s="131" t="str">
        <f aca="false">IF($D$127=5,Q136,IF($D$127=6,Q136,IF($D$127=8,Q137,IF($D$127=10,Q137,IF($D$127=12,Q137,IF($D$127=14,Q138,IF($D$127=18,Q138,IF($D$127=20,Q138,IF($D$127=22,Q138,)))))))))</f>
        <v>B24008</v>
      </c>
      <c r="E146" s="131" t="n">
        <f aca="false">IF($D$127=5,R136,IF($D$127=6,R136,IF($D$127=8,R137,IF($D$127=10,R137,IF($D$127=12,R137,IF($D$127=14,R138,IF($D$127=18,R138,IF($D$127=20,R138,IF($D$127=22,R138,)))))))))</f>
        <v>0.231</v>
      </c>
      <c r="F146" s="131" t="str">
        <f aca="false">IF($D$127=5,S136,IF($D$127=6,S136,IF($D$127=8,S137,IF($D$127=10,S137,IF($D$127=12,S137,IF($D$127=14,S138,IF($D$127=18,S138,IF($D$127=20,S138,IF($D$127=22,S138,)))))))))</f>
        <v>B24008-002</v>
      </c>
      <c r="G146" s="130" t="n">
        <f aca="false">IF($D$127=5,T136,IF($D$127=6,T136,IF($D$127=8,T137,IF($D$127=10,T137,IF($D$127=12,T137,IF($D$127=14,T138,IF($D$127=18,T138,IF($D$127=20,T138,IF($D$127=22,T138,)))))))))</f>
        <v>12</v>
      </c>
      <c r="H146" s="130" t="str">
        <f aca="false">IF($D$127=5,U136,IF($D$127=6,U136,IF($D$127=8,U137,IF($D$127=10,U137,IF($D$127=12,U137,IF($D$127=14,U138,IF($D$127=18,U138,IF($D$127=20,U138,IF($D$127=22,U138,)))))))))</f>
        <v>H-242</v>
      </c>
      <c r="I146" s="133" t="n">
        <f aca="false">IF($D$127=5,V136,IF($D$127=6,V136,IF($D$127=8,V137,IF($D$127=10,V137,IF($D$127=12,V137,IF($D$127=14,V138,IF($D$127=18,V138,IF($D$127=20,V138,IF($D$127=22,V138,)))))))))</f>
        <v>2258</v>
      </c>
      <c r="J146" s="134" t="n">
        <f aca="false">$J$120*G146</f>
        <v>12</v>
      </c>
    </row>
    <row r="147" s="96" customFormat="true" ht="18" hidden="false" customHeight="true" outlineLevel="0" collapsed="false">
      <c r="A147" s="130" t="str">
        <f aca="false">IF(B147="","",+A146+1)</f>
        <v/>
      </c>
      <c r="B147" s="131"/>
      <c r="C147" s="131"/>
      <c r="D147" s="132"/>
      <c r="E147" s="130"/>
      <c r="F147" s="132"/>
      <c r="G147" s="130"/>
      <c r="H147" s="130"/>
      <c r="I147" s="133"/>
      <c r="J147" s="134" t="n">
        <f aca="false">$J$120*G147</f>
        <v>0</v>
      </c>
    </row>
    <row r="148" s="96" customFormat="true" ht="18" hidden="false" customHeight="true" outlineLevel="0" collapsed="false">
      <c r="A148" s="130" t="str">
        <f aca="false">IF(B148="","",+A147+1)</f>
        <v/>
      </c>
      <c r="B148" s="131"/>
      <c r="C148" s="131"/>
      <c r="D148" s="132"/>
      <c r="E148" s="130"/>
      <c r="F148" s="132"/>
      <c r="G148" s="130"/>
      <c r="H148" s="130"/>
      <c r="I148" s="133"/>
      <c r="J148" s="134" t="n">
        <f aca="false">$J$120*G148</f>
        <v>0</v>
      </c>
    </row>
    <row r="149" s="96" customFormat="true" ht="18" hidden="false" customHeight="true" outlineLevel="0" collapsed="false">
      <c r="A149" s="130" t="str">
        <f aca="false">IF(B149="","",+A148+1)</f>
        <v/>
      </c>
      <c r="B149" s="131"/>
      <c r="C149" s="131"/>
      <c r="D149" s="132"/>
      <c r="E149" s="130"/>
      <c r="F149" s="132"/>
      <c r="G149" s="130"/>
      <c r="H149" s="130"/>
      <c r="I149" s="133"/>
      <c r="J149" s="134" t="n">
        <f aca="false">$J$120*G149</f>
        <v>0</v>
      </c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33"/>
      <c r="J150" s="134"/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33"/>
      <c r="J151" s="134" t="n">
        <f aca="false">$J$120*G151</f>
        <v>0</v>
      </c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3440</v>
      </c>
      <c r="G155" s="155" t="n">
        <f aca="false">VLOOKUP(C155,$C$133:$J$153,8,0)</f>
        <v>1</v>
      </c>
      <c r="H155" s="264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VLOOKUP(C156,$C$133:$J$153,7,0)</f>
        <v>3414</v>
      </c>
      <c r="G156" s="155" t="n">
        <f aca="false">VLOOKUP(C156,$C$133:$J$153,8,0)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VLOOKUP(C157,$C$133:$J$153,7,0)</f>
        <v>3440</v>
      </c>
      <c r="G157" s="155" t="n">
        <f aca="false">VLOOKUP(C157,$C$133:$J$153,8,0)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VLOOKUP(C158,$C$133:$J$153,7,0)</f>
        <v>3440</v>
      </c>
      <c r="G158" s="155" t="n">
        <f aca="false">VLOOKUP(C158,$C$133:$J$153,8,0)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VLOOKUP(C159,$C$133:$J$153,7,0)</f>
        <v>2500</v>
      </c>
      <c r="G159" s="155" t="n">
        <f aca="false">VLOOKUP(C159,$C$133:$J$153,8,0)</f>
        <v>1</v>
      </c>
      <c r="H159" s="160" t="n">
        <f aca="false">ROUNDUP(((F159*G159)+(F160*G160))/6400,0)</f>
        <v>1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VLOOKUP(C160,$C$133:$J$153,7,0)</f>
        <v>2500</v>
      </c>
      <c r="G160" s="155" t="n">
        <f aca="false">VLOOKUP(C160,$C$133:$J$153,8,0)</f>
        <v>1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VLOOKUP(C161,$C$133:$J$153,7,0)</f>
        <v>2404</v>
      </c>
      <c r="G161" s="155" t="n">
        <f aca="false">VLOOKUP(C161,$C$133:$J$153,8,0)</f>
        <v>1</v>
      </c>
      <c r="H161" s="160" t="n">
        <f aca="false">ROUNDUP(((F161*G161)+(F162*G162))/6400,0)</f>
        <v>1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155" t="n">
        <f aca="false">VLOOKUP(C162,$C$133:$H$153,3,0)</f>
        <v>0.235</v>
      </c>
      <c r="F162" s="263" t="n">
        <f aca="false">VLOOKUP(C162,$C$133:$J$153,7,0)</f>
        <v>2404</v>
      </c>
      <c r="G162" s="155" t="n">
        <f aca="false">VLOOKUP(C162,$C$133:$J$153,8,0)</f>
        <v>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155" t="n">
        <f aca="false">VLOOKUP(C163,$C$133:$H$153,3,0)</f>
        <v>1.106</v>
      </c>
      <c r="F163" s="267" t="n">
        <f aca="false">VLOOKUP(C163,$C$133:$J$153,7,0)</f>
        <v>568.666666666667</v>
      </c>
      <c r="G163" s="155" t="n">
        <f aca="false">VLOOKUP(C163,$C$133:$J$153,8,0)</f>
        <v>6</v>
      </c>
      <c r="H163" s="160" t="n">
        <f aca="false">ROUNDUP(((F163*G163)+(F164*G164)+(F165*G165)+(F166*G166))/6400,0)</f>
        <v>6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155" t="n">
        <f aca="false">VLOOKUP(C164,$C$133:$H$153,3,0)</f>
        <v>1.106</v>
      </c>
      <c r="F164" s="267" t="n">
        <f aca="false">VLOOKUP(C164,$C$133:$J$153,7,0)</f>
        <v>568.666666666667</v>
      </c>
      <c r="G164" s="155" t="n">
        <f aca="false">VLOOKUP(C164,$C$133:$J$153,8,0)</f>
        <v>6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155" t="n">
        <f aca="false">VLOOKUP(C165,$C$133:$H$153,3,0)</f>
        <v>1.106</v>
      </c>
      <c r="F165" s="263" t="n">
        <f aca="false">VLOOKUP(C165,$C$133:$J$153,7,0)</f>
        <v>2408</v>
      </c>
      <c r="G165" s="155" t="n">
        <f aca="false">VLOOKUP(C165,$C$133:$J$153,8,0)</f>
        <v>9</v>
      </c>
      <c r="H165" s="160"/>
      <c r="I165" s="161"/>
      <c r="J165" s="161"/>
    </row>
    <row r="166" s="96" customFormat="true" ht="1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155" t="n">
        <f aca="false">VLOOKUP(C166,$C$133:$H$153,3,0)</f>
        <v>1.106</v>
      </c>
      <c r="F166" s="263" t="n">
        <f aca="false">VLOOKUP(C166,$C$133:$J$153,7,0)</f>
        <v>2408</v>
      </c>
      <c r="G166" s="155" t="n">
        <f aca="false">VLOOKUP(C166,$C$133:$J$153,8,0)</f>
        <v>3</v>
      </c>
      <c r="H166" s="160"/>
      <c r="I166" s="161"/>
      <c r="J166" s="161"/>
    </row>
    <row r="167" s="96" customFormat="true" ht="15" hidden="false" customHeight="true" outlineLevel="1" collapsed="false">
      <c r="A167" s="158" t="n">
        <f aca="false">IF(B167="","",+A166+1)</f>
        <v>13</v>
      </c>
      <c r="B167" s="153" t="str">
        <f aca="false">B145</f>
        <v>5-6mm คิ้วตบกระจกแนวนอน</v>
      </c>
      <c r="C167" s="153" t="str">
        <f aca="false">C145</f>
        <v>5-6mm GLAZING BEAD HORIZONTAL</v>
      </c>
      <c r="D167" s="163" t="str">
        <f aca="false">VLOOKUP(C167,$C$133:$H$153,2,0)</f>
        <v>B24008</v>
      </c>
      <c r="E167" s="155" t="n">
        <f aca="false">VLOOKUP(C167,$C$133:$H$153,3,0)</f>
        <v>0.231</v>
      </c>
      <c r="F167" s="267" t="n">
        <f aca="false">VLOOKUP(C167,$C$133:$J$153,7,0)</f>
        <v>458.625</v>
      </c>
      <c r="G167" s="155" t="n">
        <f aca="false">VLOOKUP(C167,$C$133:$J$153,8,0)</f>
        <v>12</v>
      </c>
      <c r="H167" s="160" t="n">
        <f aca="false">ROUNDUP(((F167*G167)+(F168*G168))/6400,0)</f>
        <v>6</v>
      </c>
      <c r="I167" s="161"/>
      <c r="J167" s="161"/>
    </row>
    <row r="168" s="96" customFormat="true" ht="14.25" hidden="false" customHeight="false" outlineLevel="1" collapsed="false">
      <c r="A168" s="158" t="n">
        <f aca="false">IF(B168="","",+A167+1)</f>
        <v>14</v>
      </c>
      <c r="B168" s="153" t="str">
        <f aca="false">B146</f>
        <v>5-6mm คิ้วตบกระจกแนวตั้ง</v>
      </c>
      <c r="C168" s="153" t="str">
        <f aca="false">C146</f>
        <v>5-6mm GLAZING BEAD VERTICAL</v>
      </c>
      <c r="D168" s="163"/>
      <c r="E168" s="155" t="n">
        <f aca="false">VLOOKUP(C168,$C$133:$H$153,3,0)</f>
        <v>0.231</v>
      </c>
      <c r="F168" s="263" t="n">
        <f aca="false">VLOOKUP(C168,$C$133:$J$153,7,0)</f>
        <v>2258</v>
      </c>
      <c r="G168" s="155" t="n">
        <f aca="false">VLOOKUP(C168,$C$133:$J$153,8,0)</f>
        <v>12</v>
      </c>
      <c r="H168" s="160"/>
      <c r="I168" s="265"/>
      <c r="J168" s="265"/>
    </row>
    <row r="169" s="96" customFormat="true" ht="24.75" hidden="false" customHeight="true" outlineLevel="0" collapsed="false">
      <c r="A169" s="113" t="s">
        <v>396</v>
      </c>
      <c r="B169" s="113"/>
      <c r="C169" s="113"/>
      <c r="D169" s="113"/>
      <c r="E169" s="113"/>
      <c r="F169" s="113"/>
      <c r="G169" s="113"/>
      <c r="H169" s="113"/>
      <c r="I169" s="113"/>
      <c r="J169" s="113"/>
    </row>
    <row r="170" s="96" customFormat="true" ht="34.5" hidden="false" customHeight="true" outlineLevel="0" collapsed="false">
      <c r="A170" s="114" t="s">
        <v>319</v>
      </c>
      <c r="B170" s="115" t="s">
        <v>320</v>
      </c>
      <c r="C170" s="115" t="s">
        <v>168</v>
      </c>
      <c r="D170" s="115" t="s">
        <v>397</v>
      </c>
      <c r="E170" s="115" t="s">
        <v>321</v>
      </c>
      <c r="F170" s="116" t="s">
        <v>398</v>
      </c>
      <c r="G170" s="115" t="s">
        <v>399</v>
      </c>
      <c r="H170" s="116" t="s">
        <v>400</v>
      </c>
      <c r="I170" s="116" t="s">
        <v>401</v>
      </c>
      <c r="J170" s="117" t="s">
        <v>402</v>
      </c>
      <c r="N170" s="107" t="s">
        <v>288</v>
      </c>
      <c r="O170" s="165" t="s">
        <v>320</v>
      </c>
      <c r="P170" s="165" t="s">
        <v>168</v>
      </c>
      <c r="Q170" s="165" t="s">
        <v>397</v>
      </c>
      <c r="R170" s="165" t="s">
        <v>321</v>
      </c>
      <c r="S170" s="165" t="s">
        <v>398</v>
      </c>
      <c r="T170" s="165" t="s">
        <v>399</v>
      </c>
      <c r="U170" s="165" t="s">
        <v>400</v>
      </c>
      <c r="V170" s="165" t="s">
        <v>401</v>
      </c>
      <c r="W170" s="165" t="s">
        <v>402</v>
      </c>
    </row>
    <row r="171" s="96" customFormat="true" ht="18" hidden="false" customHeight="true" outlineLevel="0" collapsed="false">
      <c r="A171" s="166" t="n">
        <f aca="false">IF(B171="","",1)</f>
        <v>1</v>
      </c>
      <c r="B171" s="131" t="s">
        <v>410</v>
      </c>
      <c r="C171" s="131" t="s">
        <v>411</v>
      </c>
      <c r="D171" s="132" t="s">
        <v>267</v>
      </c>
      <c r="E171" s="130"/>
      <c r="F171" s="130" t="s">
        <v>267</v>
      </c>
      <c r="G171" s="130" t="s">
        <v>405</v>
      </c>
      <c r="H171" s="130" t="n">
        <v>12</v>
      </c>
      <c r="I171" s="305"/>
      <c r="J171" s="134" t="n">
        <f aca="false">$J$120*H171</f>
        <v>12</v>
      </c>
      <c r="N171" s="107" t="s">
        <v>406</v>
      </c>
      <c r="O171" s="55" t="s">
        <v>407</v>
      </c>
      <c r="P171" s="62" t="s">
        <v>408</v>
      </c>
      <c r="Q171" s="55" t="s">
        <v>227</v>
      </c>
      <c r="R171" s="158"/>
      <c r="S171" s="158" t="s">
        <v>227</v>
      </c>
      <c r="T171" s="158" t="s">
        <v>409</v>
      </c>
      <c r="U171" s="168" t="n">
        <f aca="false">((($I$141*$G$141)+($I$142*$G$142)+($I$143*$G$143)+($I$144*$G$144))/1000)*$J$120</f>
        <v>35.72</v>
      </c>
      <c r="V171" s="168" t="n">
        <v>100</v>
      </c>
      <c r="W171" s="169" t="n">
        <f aca="false">ROUNDUP((U171)/100,0)</f>
        <v>1</v>
      </c>
    </row>
    <row r="172" s="96" customFormat="true" ht="18" hidden="false" customHeight="true" outlineLevel="0" collapsed="false">
      <c r="A172" s="170" t="n">
        <f aca="false">IF(B172="","",+A171+1)</f>
        <v>2</v>
      </c>
      <c r="B172" s="131" t="s">
        <v>415</v>
      </c>
      <c r="C172" s="131" t="s">
        <v>416</v>
      </c>
      <c r="D172" s="132" t="s">
        <v>222</v>
      </c>
      <c r="E172" s="130"/>
      <c r="F172" s="130" t="s">
        <v>222</v>
      </c>
      <c r="G172" s="130" t="s">
        <v>405</v>
      </c>
      <c r="H172" s="130" t="n">
        <v>2</v>
      </c>
      <c r="I172" s="305"/>
      <c r="J172" s="134" t="n">
        <f aca="false">$J$120*H172</f>
        <v>2</v>
      </c>
      <c r="N172" s="107" t="s">
        <v>412</v>
      </c>
      <c r="O172" s="55" t="s">
        <v>413</v>
      </c>
      <c r="P172" s="62" t="s">
        <v>414</v>
      </c>
      <c r="Q172" s="55" t="s">
        <v>234</v>
      </c>
      <c r="R172" s="158"/>
      <c r="S172" s="158" t="s">
        <v>234</v>
      </c>
      <c r="T172" s="158" t="s">
        <v>409</v>
      </c>
      <c r="U172" s="168" t="n">
        <f aca="false">((($I$141*$G$141)+($I$142*$G$142)+($I$143*$G$143)+($I$144*$G$144))/1000)*$J$120</f>
        <v>35.72</v>
      </c>
      <c r="V172" s="168" t="n">
        <v>100</v>
      </c>
      <c r="W172" s="169" t="n">
        <f aca="false">ROUNDUP((U172)/100,0)</f>
        <v>1</v>
      </c>
    </row>
    <row r="173" s="96" customFormat="true" ht="18" hidden="false" customHeight="true" outlineLevel="0" collapsed="false">
      <c r="A173" s="170" t="n">
        <f aca="false">IF(B173="","",+A172+1)</f>
        <v>3</v>
      </c>
      <c r="B173" s="131" t="s">
        <v>420</v>
      </c>
      <c r="C173" s="131" t="s">
        <v>421</v>
      </c>
      <c r="D173" s="132" t="s">
        <v>225</v>
      </c>
      <c r="E173" s="130"/>
      <c r="F173" s="130" t="s">
        <v>225</v>
      </c>
      <c r="G173" s="130" t="s">
        <v>405</v>
      </c>
      <c r="H173" s="130" t="n">
        <v>2</v>
      </c>
      <c r="I173" s="133"/>
      <c r="J173" s="134" t="n">
        <f aca="false">$J$120*H173</f>
        <v>2</v>
      </c>
      <c r="N173" s="107" t="s">
        <v>417</v>
      </c>
      <c r="O173" s="62" t="s">
        <v>418</v>
      </c>
      <c r="P173" s="62" t="s">
        <v>419</v>
      </c>
      <c r="Q173" s="55" t="s">
        <v>236</v>
      </c>
      <c r="R173" s="158"/>
      <c r="S173" s="158" t="s">
        <v>236</v>
      </c>
      <c r="T173" s="158" t="s">
        <v>409</v>
      </c>
      <c r="U173" s="168" t="n">
        <f aca="false">((($I$141*$G$141)+($I$142*$G$142)+($I$143*$G$143)+($I$144*$G$144))/1000)*$J$120</f>
        <v>35.72</v>
      </c>
      <c r="V173" s="168" t="n">
        <v>100</v>
      </c>
      <c r="W173" s="169" t="n">
        <f aca="false">ROUNDUP((U173)/100,0)</f>
        <v>1</v>
      </c>
    </row>
    <row r="174" s="96" customFormat="true" ht="18" hidden="false" customHeight="true" outlineLevel="0" collapsed="false">
      <c r="A174" s="170" t="n">
        <f aca="false">IF(B174="","",+A173+1)</f>
        <v>4</v>
      </c>
      <c r="B174" s="131" t="s">
        <v>425</v>
      </c>
      <c r="C174" s="131" t="s">
        <v>426</v>
      </c>
      <c r="D174" s="132" t="n">
        <v>9</v>
      </c>
      <c r="E174" s="130"/>
      <c r="F174" s="130" t="n">
        <v>9</v>
      </c>
      <c r="G174" s="130" t="s">
        <v>405</v>
      </c>
      <c r="H174" s="130" t="n">
        <v>8</v>
      </c>
      <c r="I174" s="133"/>
      <c r="J174" s="134" t="n">
        <f aca="false">$J$120*H174</f>
        <v>8</v>
      </c>
      <c r="N174" s="107" t="s">
        <v>422</v>
      </c>
      <c r="O174" s="62" t="s">
        <v>423</v>
      </c>
      <c r="P174" s="62" t="s">
        <v>424</v>
      </c>
      <c r="Q174" s="55" t="s">
        <v>238</v>
      </c>
      <c r="R174" s="158"/>
      <c r="S174" s="158" t="s">
        <v>238</v>
      </c>
      <c r="T174" s="158" t="s">
        <v>409</v>
      </c>
      <c r="U174" s="168" t="n">
        <f aca="false">((($I$141*$G$141)+($I$142*$G$142)+($I$143*$G$143)+($I$144*$G$144))/1000)*$J$120</f>
        <v>35.72</v>
      </c>
      <c r="V174" s="168" t="n">
        <v>100</v>
      </c>
      <c r="W174" s="169" t="n">
        <f aca="false">ROUNDUP((U174)/100,0)</f>
        <v>1</v>
      </c>
    </row>
    <row r="175" s="96" customFormat="true" ht="18" hidden="false" customHeight="true" outlineLevel="0" collapsed="false">
      <c r="A175" s="170" t="n">
        <f aca="false">IF(B175="","",+A174+1)</f>
        <v>5</v>
      </c>
      <c r="B175" s="131" t="s">
        <v>430</v>
      </c>
      <c r="C175" s="131" t="s">
        <v>431</v>
      </c>
      <c r="D175" s="132" t="n">
        <v>9</v>
      </c>
      <c r="E175" s="130"/>
      <c r="F175" s="130" t="n">
        <v>9</v>
      </c>
      <c r="G175" s="130" t="s">
        <v>405</v>
      </c>
      <c r="H175" s="130" t="n">
        <v>110</v>
      </c>
      <c r="I175" s="133"/>
      <c r="J175" s="134" t="n">
        <f aca="false">$J$120*H175</f>
        <v>110</v>
      </c>
      <c r="N175" s="107" t="s">
        <v>427</v>
      </c>
      <c r="O175" s="62" t="s">
        <v>428</v>
      </c>
      <c r="P175" s="62" t="s">
        <v>429</v>
      </c>
      <c r="Q175" s="55" t="s">
        <v>240</v>
      </c>
      <c r="R175" s="158"/>
      <c r="S175" s="158" t="s">
        <v>240</v>
      </c>
      <c r="T175" s="158" t="s">
        <v>409</v>
      </c>
      <c r="U175" s="168" t="n">
        <f aca="false">((($I$141*$G$141)+($I$142*$G$142)+($I$143*$G$143)+($I$144*$G$144))/1000)*$J$120</f>
        <v>35.72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6</v>
      </c>
      <c r="B176" s="131" t="s">
        <v>603</v>
      </c>
      <c r="C176" s="131" t="s">
        <v>438</v>
      </c>
      <c r="D176" s="132" t="s">
        <v>4</v>
      </c>
      <c r="E176" s="130"/>
      <c r="F176" s="130" t="s">
        <v>4</v>
      </c>
      <c r="G176" s="130" t="s">
        <v>434</v>
      </c>
      <c r="H176" s="130" t="n">
        <v>1</v>
      </c>
      <c r="I176" s="133"/>
      <c r="J176" s="134" t="n">
        <f aca="false">$J$120*H176</f>
        <v>1</v>
      </c>
    </row>
    <row r="177" s="96" customFormat="true" ht="18" hidden="false" customHeight="true" outlineLevel="0" collapsed="false">
      <c r="A177" s="170" t="n">
        <f aca="false">IF(B177="","",+A176+1)</f>
        <v>7</v>
      </c>
      <c r="B177" s="131" t="s">
        <v>556</v>
      </c>
      <c r="C177" s="131" t="s">
        <v>557</v>
      </c>
      <c r="D177" s="132" t="s">
        <v>5</v>
      </c>
      <c r="E177" s="130"/>
      <c r="F177" s="130" t="s">
        <v>5</v>
      </c>
      <c r="G177" s="130" t="s">
        <v>434</v>
      </c>
      <c r="H177" s="130" t="n">
        <v>2</v>
      </c>
      <c r="I177" s="133"/>
      <c r="J177" s="134" t="n">
        <f aca="false">$J$120*H177</f>
        <v>2</v>
      </c>
    </row>
    <row r="178" s="96" customFormat="true" ht="18" hidden="false" customHeight="true" outlineLevel="0" collapsed="false">
      <c r="A178" s="170" t="n">
        <f aca="false">IF(B178="","",+A177+1)</f>
        <v>8</v>
      </c>
      <c r="B178" s="131" t="s">
        <v>512</v>
      </c>
      <c r="C178" s="131" t="s">
        <v>513</v>
      </c>
      <c r="D178" s="132" t="s">
        <v>7</v>
      </c>
      <c r="E178" s="130"/>
      <c r="F178" s="130" t="s">
        <v>7</v>
      </c>
      <c r="G178" s="130" t="s">
        <v>434</v>
      </c>
      <c r="H178" s="130" t="n">
        <v>1</v>
      </c>
      <c r="I178" s="133"/>
      <c r="J178" s="134" t="n">
        <f aca="false">$J$120*H178</f>
        <v>1</v>
      </c>
    </row>
    <row r="179" s="96" customFormat="true" ht="18" hidden="false" customHeight="true" outlineLevel="0" collapsed="false">
      <c r="A179" s="170" t="n">
        <f aca="false">IF(B179="","",+A178+1)</f>
        <v>9</v>
      </c>
      <c r="B179" s="131" t="s">
        <v>514</v>
      </c>
      <c r="C179" s="131" t="s">
        <v>515</v>
      </c>
      <c r="D179" s="132" t="s">
        <v>8</v>
      </c>
      <c r="E179" s="130"/>
      <c r="F179" s="130" t="s">
        <v>8</v>
      </c>
      <c r="G179" s="130" t="s">
        <v>434</v>
      </c>
      <c r="H179" s="130" t="n">
        <v>1</v>
      </c>
      <c r="I179" s="133"/>
      <c r="J179" s="134" t="n">
        <f aca="false">$J$120*H179</f>
        <v>1</v>
      </c>
    </row>
    <row r="180" s="96" customFormat="true" ht="18" hidden="false" customHeight="true" outlineLevel="0" collapsed="false">
      <c r="A180" s="170" t="n">
        <f aca="false">IF(B180="","",+A179+1)</f>
        <v>10</v>
      </c>
      <c r="B180" s="131" t="s">
        <v>554</v>
      </c>
      <c r="C180" s="131" t="s">
        <v>555</v>
      </c>
      <c r="D180" s="132" t="s">
        <v>11</v>
      </c>
      <c r="E180" s="130"/>
      <c r="F180" s="130" t="s">
        <v>11</v>
      </c>
      <c r="G180" s="130" t="s">
        <v>434</v>
      </c>
      <c r="H180" s="130" t="n">
        <v>2</v>
      </c>
      <c r="I180" s="133"/>
      <c r="J180" s="134" t="n">
        <f aca="false">$J$120*H180</f>
        <v>2</v>
      </c>
      <c r="Q180" s="172"/>
      <c r="R180" s="172"/>
      <c r="S180" s="172"/>
      <c r="T180" s="97"/>
      <c r="U180" s="97"/>
      <c r="V180" s="97"/>
    </row>
    <row r="181" s="96" customFormat="true" ht="18" hidden="false" customHeight="true" outlineLevel="0" collapsed="false">
      <c r="A181" s="170" t="n">
        <f aca="false">IF(B181="","",+A180+1)</f>
        <v>11</v>
      </c>
      <c r="B181" s="131" t="s">
        <v>439</v>
      </c>
      <c r="C181" s="131" t="s">
        <v>440</v>
      </c>
      <c r="D181" s="132" t="s">
        <v>12</v>
      </c>
      <c r="E181" s="130"/>
      <c r="F181" s="130" t="s">
        <v>12</v>
      </c>
      <c r="G181" s="130" t="s">
        <v>434</v>
      </c>
      <c r="H181" s="130" t="n">
        <v>3</v>
      </c>
      <c r="I181" s="142"/>
      <c r="J181" s="134" t="n">
        <f aca="false">$J$120*H181</f>
        <v>3</v>
      </c>
      <c r="N181" s="107" t="s">
        <v>289</v>
      </c>
      <c r="O181" s="165" t="s">
        <v>320</v>
      </c>
      <c r="P181" s="165" t="s">
        <v>168</v>
      </c>
      <c r="Q181" s="165" t="s">
        <v>397</v>
      </c>
      <c r="R181" s="165" t="s">
        <v>321</v>
      </c>
      <c r="S181" s="165" t="s">
        <v>398</v>
      </c>
      <c r="T181" s="165" t="s">
        <v>399</v>
      </c>
      <c r="U181" s="165" t="s">
        <v>400</v>
      </c>
      <c r="V181" s="165" t="s">
        <v>401</v>
      </c>
      <c r="W181" s="165" t="s">
        <v>402</v>
      </c>
    </row>
    <row r="182" s="96" customFormat="true" ht="18" hidden="false" customHeight="true" outlineLevel="0" collapsed="false">
      <c r="A182" s="170" t="n">
        <f aca="false">IF(B182="","",+A181+1)</f>
        <v>12</v>
      </c>
      <c r="B182" s="131" t="s">
        <v>441</v>
      </c>
      <c r="C182" s="131" t="s">
        <v>442</v>
      </c>
      <c r="D182" s="132" t="s">
        <v>274</v>
      </c>
      <c r="E182" s="130"/>
      <c r="F182" s="130" t="s">
        <v>274</v>
      </c>
      <c r="G182" s="130" t="s">
        <v>405</v>
      </c>
      <c r="H182" s="130" t="n">
        <v>6</v>
      </c>
      <c r="I182" s="142"/>
      <c r="J182" s="134" t="n">
        <f aca="false">$J$120*H182</f>
        <v>6</v>
      </c>
      <c r="N182" s="107" t="s">
        <v>445</v>
      </c>
      <c r="O182" s="62" t="s">
        <v>446</v>
      </c>
      <c r="P182" s="62" t="s">
        <v>447</v>
      </c>
      <c r="Q182" s="55" t="s">
        <v>230</v>
      </c>
      <c r="R182" s="158"/>
      <c r="S182" s="158" t="s">
        <v>230</v>
      </c>
      <c r="T182" s="158" t="s">
        <v>409</v>
      </c>
      <c r="U182" s="168" t="n">
        <f aca="false">((($I$134*$G$134)+($I$136*$G$136)+($I$139*$G$139))/1000)*$J$120</f>
        <v>9.258</v>
      </c>
      <c r="V182" s="168" t="n">
        <v>300</v>
      </c>
      <c r="W182" s="169" t="n">
        <f aca="false">ROUNDUP((U182)/V182,0)</f>
        <v>1</v>
      </c>
    </row>
    <row r="183" s="96" customFormat="true" ht="18" hidden="false" customHeight="true" outlineLevel="0" collapsed="false">
      <c r="A183" s="170" t="n">
        <f aca="false">IF(B183="","",+A182+1)</f>
        <v>13</v>
      </c>
      <c r="B183" s="131" t="s">
        <v>443</v>
      </c>
      <c r="C183" s="131" t="s">
        <v>444</v>
      </c>
      <c r="D183" s="132" t="s">
        <v>272</v>
      </c>
      <c r="E183" s="130"/>
      <c r="F183" s="130" t="s">
        <v>272</v>
      </c>
      <c r="G183" s="130" t="s">
        <v>405</v>
      </c>
      <c r="H183" s="130" t="n">
        <v>1</v>
      </c>
      <c r="I183" s="142"/>
      <c r="J183" s="134" t="n">
        <f aca="false">$J$120*H183</f>
        <v>1</v>
      </c>
      <c r="N183" s="107" t="s">
        <v>448</v>
      </c>
      <c r="O183" s="62" t="s">
        <v>449</v>
      </c>
      <c r="P183" s="62" t="s">
        <v>450</v>
      </c>
      <c r="Q183" s="55" t="s">
        <v>451</v>
      </c>
      <c r="R183" s="158"/>
      <c r="S183" s="158" t="s">
        <v>451</v>
      </c>
      <c r="T183" s="158" t="s">
        <v>409</v>
      </c>
      <c r="U183" s="168" t="n">
        <f aca="false">((($I$134*$G$134)+($I$136*$G$136)+($I$139*$G$139))/1000)*$J$120</f>
        <v>9.258</v>
      </c>
      <c r="V183" s="168" t="n">
        <v>100</v>
      </c>
      <c r="W183" s="169" t="n">
        <f aca="false">ROUNDUP((U183)/V183,0)</f>
        <v>1</v>
      </c>
    </row>
    <row r="184" s="96" customFormat="true" ht="18" hidden="false" customHeight="true" outlineLevel="0" collapsed="false">
      <c r="A184" s="170" t="n">
        <f aca="false">IF(B184="","",+A183+1)</f>
        <v>14</v>
      </c>
      <c r="B184" s="131" t="s">
        <v>403</v>
      </c>
      <c r="C184" s="131" t="s">
        <v>404</v>
      </c>
      <c r="D184" s="132" t="s">
        <v>276</v>
      </c>
      <c r="E184" s="130"/>
      <c r="F184" s="130" t="s">
        <v>276</v>
      </c>
      <c r="G184" s="130" t="s">
        <v>405</v>
      </c>
      <c r="H184" s="130" t="n">
        <v>3</v>
      </c>
      <c r="I184" s="133"/>
      <c r="J184" s="134" t="n">
        <f aca="false">$J$120*H184</f>
        <v>3</v>
      </c>
      <c r="N184" s="107" t="s">
        <v>445</v>
      </c>
      <c r="O184" s="62" t="s">
        <v>452</v>
      </c>
      <c r="P184" s="62" t="s">
        <v>453</v>
      </c>
      <c r="Q184" s="55" t="s">
        <v>232</v>
      </c>
      <c r="R184" s="158"/>
      <c r="S184" s="158" t="s">
        <v>232</v>
      </c>
      <c r="T184" s="158" t="s">
        <v>409</v>
      </c>
      <c r="U184" s="168" t="n">
        <f aca="false">((($I$141*$G$141*2)+($I$142*$G$142*2)+($I$143*$G$143*2)+($I$144*$G$144*2))/1000)*$J$120</f>
        <v>71.44</v>
      </c>
      <c r="V184" s="168" t="n">
        <v>350</v>
      </c>
      <c r="W184" s="169" t="n">
        <f aca="false">ROUNDUP((U184)/V184,0)</f>
        <v>1</v>
      </c>
    </row>
    <row r="185" s="96" customFormat="true" ht="18" hidden="false" customHeight="true" outlineLevel="0" collapsed="false">
      <c r="A185" s="170" t="n">
        <f aca="false">IF(B185="","",+A184+1)</f>
        <v>15</v>
      </c>
      <c r="B185" s="132" t="str">
        <f aca="false">IF($D$129="Standard",$O$182,IF($D$129="Soumdproof",$O$183,))</f>
        <v>ยางเฟรมกันน้ำ (ธรรมดา)</v>
      </c>
      <c r="C185" s="132" t="str">
        <f aca="false">IF($D$129="Standard",$P$182,IF($D$129="Soumdproof",$P$183,))</f>
        <v>FRAME SEAL (Standard)</v>
      </c>
      <c r="D185" s="132" t="str">
        <f aca="false">IF($D$129="Standard",$Q$182,IF($D$129="Soumdproof",$Q$183,))</f>
        <v>02-026</v>
      </c>
      <c r="E185" s="130" t="n">
        <f aca="false">IF($D$129="Standard",R183,IF($D$129="Soumdproof",R184,))</f>
        <v>0</v>
      </c>
      <c r="F185" s="130" t="str">
        <f aca="false">IF($D$129="Standard",$S$182,IF($D$129="Soumdproof",$S$183,))</f>
        <v>02-026</v>
      </c>
      <c r="G185" s="130" t="str">
        <f aca="false">IF($D$129="Standard",$T$182,IF($D$129="Soumdproof",$T$183,))</f>
        <v>M</v>
      </c>
      <c r="H185" s="173" t="n">
        <f aca="false">IF($D$129="Standard",$U$182,IF($D$129="Soumdproof",$U$183,))</f>
        <v>9.258</v>
      </c>
      <c r="I185" s="174" t="n">
        <f aca="false">IF($D$129="Standard",$V$182,IF($D$129="Soumdproof",$V$183,))</f>
        <v>300</v>
      </c>
      <c r="J185" s="175" t="n">
        <f aca="false">ROUNDUP((H185)/100,0)</f>
        <v>1</v>
      </c>
      <c r="N185" s="107" t="s">
        <v>448</v>
      </c>
      <c r="O185" s="62" t="s">
        <v>454</v>
      </c>
      <c r="P185" s="62" t="s">
        <v>455</v>
      </c>
      <c r="Q185" s="55" t="s">
        <v>456</v>
      </c>
      <c r="R185" s="158"/>
      <c r="S185" s="158" t="s">
        <v>456</v>
      </c>
      <c r="T185" s="158" t="s">
        <v>409</v>
      </c>
      <c r="U185" s="168" t="n">
        <f aca="false">((($I$141*$G$141*2)+($I$142*$G$142*2)+($I$143*$G$143*2)+($I$144*$G$144*2))/1000)*$J$120</f>
        <v>71.44</v>
      </c>
      <c r="V185" s="168" t="n">
        <v>100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16</v>
      </c>
      <c r="B186" s="132" t="str">
        <f aca="false">IF($D$129="Standard",$O$184,IF($D$129="Soumdproof",$O$185,))</f>
        <v>ยางแซชกันน้ำ (ธรรมดา)</v>
      </c>
      <c r="C186" s="132" t="str">
        <f aca="false">IF($D$129="Standard",$P$184,IF($D$129="Soumdproof",$P$185,))</f>
        <v>SASH SEAL FOAM (Standard)</v>
      </c>
      <c r="D186" s="132" t="str">
        <f aca="false">IF($D$129="Standard",$Q$184,IF($D$129="Soumdproof",$Q$185,))</f>
        <v>02-031</v>
      </c>
      <c r="E186" s="130" t="n">
        <f aca="false">IF($D$129="Standard",R185,IF($D$129="Soumdproof",R186,))</f>
        <v>0</v>
      </c>
      <c r="F186" s="130" t="str">
        <f aca="false">IF($D$129="Standard",$S$184,IF($D$129="Soumdproof",$S$185,))</f>
        <v>02-031</v>
      </c>
      <c r="G186" s="130" t="str">
        <f aca="false">IF($D$129="Standard",$T$184,IF($D$129="Soumdproof",$T$185,))</f>
        <v>M</v>
      </c>
      <c r="H186" s="173" t="n">
        <f aca="false">IF($D$129="Standard",$U$184,IF($D$129="Soumdproof",$U$185,))</f>
        <v>71.44</v>
      </c>
      <c r="I186" s="174" t="n">
        <f aca="false">IF($D$129="Standard",$V$184,IF($D$129="Soumdproof",$V$185,))</f>
        <v>350</v>
      </c>
      <c r="J186" s="175" t="n">
        <f aca="false">ROUNDUP((H186)/100,0)</f>
        <v>1</v>
      </c>
    </row>
    <row r="187" s="96" customFormat="true" ht="18" hidden="false" customHeight="true" outlineLevel="0" collapsed="false">
      <c r="A187" s="170" t="n">
        <f aca="false">IF(B187="","",+A186+1)</f>
        <v>17</v>
      </c>
      <c r="B187" s="176" t="str">
        <f aca="false">IF($D$127=5,$O$173,IF($D$127=6,$O$174,IF($D$127=8,$O$175,IF($D$127=10,$O$173,IF($D$127=12,$O$173,IF($D$127=14,$O$175,IF($D$127=18,$O$173,IF($D$127=20,$O$174,IF($D$127=22,"")))))))))</f>
        <v>6,20 mm ยางอัดกระจก</v>
      </c>
      <c r="C187" s="176" t="str">
        <f aca="false">IF($D$127=5,$P$173,IF($D$127=6,$P$174,IF($D$127=8,$P$175,IF($D$127=10,$P$173,IF($D$127=12,$P$173,IF($D$127=14,$P$175,IF($D$127=18,$P$173,IF($D$127=20,$P$174,IF($D$127=22,"")))))))))</f>
        <v>6,20 mm ROLL IN WEDGE</v>
      </c>
      <c r="D187" s="176" t="str">
        <f aca="false">IF($D$127=5,$Q$173,IF($D$127=6,$Q$174,IF($D$127=8,$Q$175,IF($D$127=10,$Q$173,IF($D$127=12,$Q$173,IF($D$127=14,$Q$175,IF($D$127=18,$Q$173,IF($D$127=20,$Q$174,IF($D$127=22,"")))))))))</f>
        <v>02-034</v>
      </c>
      <c r="E187" s="176" t="n">
        <f aca="false">IF($D$127=5,R174,IF($D$127=6,R175,IF($D$127=8,R176,IF($D$127=10,R174,IF($D$127=12,R174,IF($D$127=14,R176,IF($D$127=18,R174,IF($D$127=20,R175,IF($D$127=22,"",)))))))))</f>
        <v>0</v>
      </c>
      <c r="F187" s="167" t="str">
        <f aca="false">IF($D$127=5,$S$173,IF($D$127=6,$S$174,IF($D$127=8,$S$175,IF($D$127=10,$S$173,IF($D$127=12,$S$173,IF($D$127=14,$S$175,IF($D$127=18,$S$173,IF($D$127=20,$S$174,IF($D$127=22,"")))))))))</f>
        <v>02-034</v>
      </c>
      <c r="G187" s="167" t="str">
        <f aca="false">IF($D$127=5,$T$173,IF($D$127=6,$T$174,IF($D$127=8,$T$175,IF($D$127=10,$T$173,IF($D$127=12,$T$173,IF($D$127=14,$T$175,IF($D$127=18,$T$173,IF($D$127=20,$T$174,IF($D$127=22,"")))))))))</f>
        <v>M</v>
      </c>
      <c r="H187" s="173" t="n">
        <f aca="false">IF($D$127=5,$U$173,IF($D$127=6,$U$174,IF($D$127=8,$U$175,IF($D$127=10,$U$173*2,IF($D$127=12,$U$173,IF($D$127=14,$U$175*2,IF($D$127=18,$U$173,IF($D$127=20,$U$174,IF($D$127=22,"")))))))))</f>
        <v>35.72</v>
      </c>
      <c r="I187" s="174" t="n">
        <f aca="false">IF($D$127=5,$V$173,IF($D$127=6,$V$174,IF($D$127=8,$V$175,IF($D$127=10,$V$173,IF($D$127=12,$V$173,IF($D$127=14,$V$175,IF($D$127=18,$V$173,IF($D$127=20,$V$174,IF($D$127=22,"")))))))))</f>
        <v>100</v>
      </c>
      <c r="J187" s="175" t="n">
        <f aca="false">ROUNDUP((H187)/100,0)</f>
        <v>1</v>
      </c>
    </row>
    <row r="188" s="96" customFormat="true" ht="18" hidden="false" customHeight="true" outlineLevel="0" collapsed="false">
      <c r="A188" s="170" t="n">
        <f aca="false">IF(B188="","",+A187+1)</f>
        <v>18</v>
      </c>
      <c r="B188" s="176" t="str">
        <f aca="false">IF($D$127=5,$O$171,IF($D$127=6,$O$171,IF($D$127=8,$O$173,IF($D$127=10,"",IF($D$127=12,$O$172,IF($D$127=14,"",IF($D$127=18,$O$171,IF($D$127=20,$O$172,IF($D$127=22,"",)))))))))</f>
        <v>5,6,18 mm ยางรองกระจก</v>
      </c>
      <c r="C188" s="176" t="str">
        <f aca="false">IF($D$127=5,$P$171,IF($D$127=6,$P$171,IF($D$127=8,$P$173,IF($D$127=10,"",IF($D$127=12,$P$172,IF($D$127=14,"",IF($D$127=18,$P$171,IF($D$127=20,$P$172,IF($D$127=22,"",)))))))))</f>
        <v>5,6,18 mm CAPTIVE WEDGE</v>
      </c>
      <c r="D188" s="176" t="str">
        <f aca="false">IF($D$127=5,$Q$171,IF($D$127=6,$Q$171,IF($D$127=8,$Q$173,IF($D$127=10,"",IF($D$127=12,$Q$172,IF($D$127=14,"",IF($D$127=18,$Q$171,IF($D$127=20,$Q$172,IF($D$127=22,"",)))))))))</f>
        <v>02-022</v>
      </c>
      <c r="E188" s="176" t="n">
        <f aca="false">IF($D$127=5,R172,IF($D$127=6,R172,IF($D$127=8,R174,IF($D$127=10,"",IF($D$127=12,R173,IF($D$127=14,"",IF($D$127=18,R172,IF($D$127=20,R173,IF($D$127=22,"",)))))))))</f>
        <v>0</v>
      </c>
      <c r="F188" s="167" t="str">
        <f aca="false">IF($D$127=5,$S$171,IF($D$127=6,$S$171,IF($D$127=8,$S$173,IF($D$127=10,"",IF($D$127=12,$S$172,IF($D$127=14,"",IF($D$127=18,$S$171,IF($D$127=20,$S$172,IF($D$127=22,"",)))))))))</f>
        <v>02-022</v>
      </c>
      <c r="G188" s="167" t="str">
        <f aca="false">IF($D$127=5,$T$171,IF($D$127=6,$T$171,IF($D$127=8,$T$173,IF($D$127=10,"",IF($D$127=12,$T$172,IF($D$127=14,"",IF($D$127=18,$T$171,IF($D$127=20,$T$172,IF($D$127=22,"",)))))))))</f>
        <v>M</v>
      </c>
      <c r="H188" s="173" t="n">
        <f aca="false">IF($D$127=5,$U$171,IF($D$127=6,$U$171,IF($D$127=8,$U$173,IF($D$127=10,"",IF($D$127=12,$U$172,IF($D$127=14,"",IF($D$127=18,$U$171,IF($D$127=20,$U$172,IF($D$127=22,"")))))))))</f>
        <v>35.72</v>
      </c>
      <c r="I188" s="174" t="n">
        <f aca="false">IF($D$127=5,$V$171,IF($D$127=6,$V$171,IF($D$127=8,$V$173,IF($D$127=10,"",IF($D$127=12,$V$172,IF($D$127=14,"",IF($D$127=18,$V$171,IF($D$127=20,$V$172,IF($D$127=22,"",)))))))))</f>
        <v>100</v>
      </c>
      <c r="J188" s="175" t="n">
        <f aca="false">ROUNDUP((H188)/100,0)</f>
        <v>1</v>
      </c>
    </row>
    <row r="189" s="96" customFormat="true" ht="18" hidden="false" customHeight="true" outlineLevel="0" collapsed="false">
      <c r="A189" s="170" t="str">
        <f aca="false">IF(B189="","",+A188+1)</f>
        <v/>
      </c>
      <c r="B189" s="131"/>
      <c r="C189" s="131"/>
      <c r="D189" s="132"/>
      <c r="E189" s="130"/>
      <c r="F189" s="130"/>
      <c r="G189" s="130"/>
      <c r="H189" s="130"/>
      <c r="I189" s="142"/>
      <c r="J189" s="134" t="n">
        <f aca="false">$J$120*H189</f>
        <v>0</v>
      </c>
    </row>
    <row r="190" s="96" customFormat="true" ht="18" hidden="false" customHeight="true" outlineLevel="0" collapsed="false">
      <c r="A190" s="170" t="str">
        <f aca="false">IF(B190="","",+A189+1)</f>
        <v/>
      </c>
      <c r="B190" s="131"/>
      <c r="C190" s="131"/>
      <c r="D190" s="132"/>
      <c r="E190" s="130"/>
      <c r="F190" s="130"/>
      <c r="G190" s="130"/>
      <c r="H190" s="130"/>
      <c r="I190" s="133"/>
      <c r="J190" s="134" t="n">
        <f aca="false">$J$120*H190</f>
        <v>0</v>
      </c>
    </row>
    <row r="191" customFormat="false" ht="18" hidden="false" customHeight="true" outlineLevel="0" collapsed="false">
      <c r="A191" s="170" t="str">
        <f aca="false">IF(B191="","",+A190+1)</f>
        <v/>
      </c>
      <c r="B191" s="131"/>
      <c r="C191" s="131"/>
      <c r="D191" s="132"/>
      <c r="E191" s="130"/>
      <c r="F191" s="130"/>
      <c r="G191" s="130"/>
      <c r="H191" s="130"/>
      <c r="I191" s="133"/>
      <c r="J191" s="134" t="n">
        <f aca="false">$J$120*H191</f>
        <v>0</v>
      </c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</row>
    <row r="192" s="96" customFormat="true" ht="18" hidden="false" customHeight="true" outlineLevel="0" collapsed="false">
      <c r="A192" s="170" t="str">
        <f aca="false">IF(B192="","",+A191+1)</f>
        <v/>
      </c>
      <c r="B192" s="131"/>
      <c r="C192" s="131"/>
      <c r="D192" s="132"/>
      <c r="E192" s="130"/>
      <c r="F192" s="130"/>
      <c r="G192" s="130"/>
      <c r="H192" s="130"/>
      <c r="I192" s="133"/>
      <c r="J192" s="134" t="n">
        <f aca="false">$J$120*H192</f>
        <v>0</v>
      </c>
    </row>
    <row r="193" s="96" customFormat="true" ht="18" hidden="false" customHeight="true" outlineLevel="0" collapsed="false">
      <c r="A193" s="170" t="str">
        <f aca="false">IF(B193="","",+A192+1)</f>
        <v/>
      </c>
      <c r="B193" s="131"/>
      <c r="C193" s="131"/>
      <c r="D193" s="132"/>
      <c r="E193" s="130"/>
      <c r="F193" s="130"/>
      <c r="G193" s="130"/>
      <c r="H193" s="130"/>
      <c r="I193" s="133"/>
      <c r="J193" s="134" t="n">
        <f aca="false">$J$120*H193</f>
        <v>0</v>
      </c>
    </row>
    <row r="194" s="96" customFormat="true" ht="18" hidden="false" customHeight="true" outlineLevel="0" collapsed="false">
      <c r="A194" s="170" t="str">
        <f aca="false">IF(B194="","",+A193+1)</f>
        <v/>
      </c>
      <c r="B194" s="131"/>
      <c r="C194" s="131"/>
      <c r="D194" s="132"/>
      <c r="E194" s="130"/>
      <c r="F194" s="130"/>
      <c r="G194" s="130"/>
      <c r="H194" s="130"/>
      <c r="I194" s="133"/>
      <c r="J194" s="134" t="n">
        <f aca="false">$J$120*H194</f>
        <v>0</v>
      </c>
    </row>
    <row r="195" s="96" customFormat="true" ht="18" hidden="false" customHeight="true" outlineLevel="0" collapsed="false">
      <c r="A195" s="170" t="str">
        <f aca="false">IF(B195="","",+A194+1)</f>
        <v/>
      </c>
      <c r="B195" s="131"/>
      <c r="C195" s="131"/>
      <c r="D195" s="132"/>
      <c r="E195" s="130"/>
      <c r="F195" s="130"/>
      <c r="G195" s="130"/>
      <c r="H195" s="130"/>
      <c r="I195" s="133"/>
      <c r="J195" s="134" t="n">
        <f aca="false">$J$120*H195</f>
        <v>0</v>
      </c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30"/>
      <c r="I196" s="133"/>
      <c r="J196" s="134" t="n">
        <f aca="false">$J$120*H196</f>
        <v>0</v>
      </c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$J$120*H197</f>
        <v>0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$J$120*H198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/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9" t="str">
        <f aca="false">IF(B204="","",+A203+1)</f>
        <v/>
      </c>
      <c r="B204" s="135"/>
      <c r="C204" s="135"/>
      <c r="D204" s="139"/>
      <c r="E204" s="136"/>
      <c r="F204" s="136"/>
      <c r="G204" s="136"/>
      <c r="H204" s="136"/>
      <c r="I204" s="140"/>
      <c r="J204" s="137" t="n">
        <f aca="false">$J$120*H204</f>
        <v>0</v>
      </c>
    </row>
    <row r="205" s="96" customFormat="true" ht="18" hidden="false" customHeight="true" outlineLevel="0" collapsed="false">
      <c r="A205" s="200"/>
      <c r="B205" s="98"/>
      <c r="D205" s="98"/>
      <c r="E205" s="97"/>
      <c r="F205" s="98"/>
      <c r="G205" s="98"/>
      <c r="H205" s="98"/>
      <c r="I205" s="196"/>
      <c r="J205" s="196"/>
    </row>
    <row r="206" customFormat="false" ht="18" hidden="false" customHeight="true" outlineLevel="0" collapsed="false">
      <c r="A206" s="97"/>
      <c r="J206" s="92" t="str">
        <f aca="false">LEFT($J$111,11)&amp;"-02"</f>
        <v>FG-240-6P6R-02</v>
      </c>
    </row>
    <row r="207" customFormat="false" ht="12.75" hidden="false" customHeight="true" outlineLevel="0" collapsed="false">
      <c r="B207" s="96"/>
      <c r="C207" s="96"/>
      <c r="D207" s="98"/>
      <c r="E207" s="97"/>
      <c r="F207" s="97"/>
      <c r="G207" s="97"/>
      <c r="H207" s="97"/>
      <c r="K207" s="78"/>
      <c r="L207" s="78"/>
      <c r="M207" s="79"/>
      <c r="N207" s="79"/>
    </row>
    <row r="208" customFormat="false" ht="30" hidden="false" customHeight="true" outlineLevel="0" collapsed="false">
      <c r="I208" s="76"/>
      <c r="J208" s="77" t="str">
        <f aca="false">$J$2</f>
        <v>HOMELIFE</v>
      </c>
      <c r="K208" s="83"/>
      <c r="L208" s="83"/>
      <c r="M208" s="79"/>
      <c r="N208" s="79"/>
    </row>
    <row r="209" customFormat="false" ht="24.75" hidden="false" customHeight="true" outlineLevel="0" collapsed="false">
      <c r="C209" s="75"/>
      <c r="D209" s="76"/>
      <c r="E209" s="76"/>
      <c r="F209" s="76"/>
      <c r="G209" s="76"/>
      <c r="H209" s="76"/>
      <c r="I209" s="82"/>
      <c r="J209" s="80" t="str">
        <f aca="false">$J$3</f>
        <v>Fabricators Guide</v>
      </c>
      <c r="K209" s="83"/>
      <c r="L209" s="83"/>
      <c r="M209" s="79"/>
      <c r="N209" s="79"/>
    </row>
    <row r="210" customFormat="false" ht="24.75" hidden="false" customHeight="true" outlineLevel="0" collapsed="false">
      <c r="C210" s="82"/>
      <c r="D210" s="82"/>
      <c r="E210" s="82"/>
      <c r="F210" s="82"/>
      <c r="G210" s="82"/>
      <c r="H210" s="82"/>
      <c r="I210" s="82"/>
      <c r="J210" s="80" t="str">
        <f aca="false">$J$4</f>
        <v>240 Series Bi Fold Door </v>
      </c>
      <c r="M210" s="87"/>
      <c r="N210" s="87"/>
    </row>
    <row r="211" s="96" customFormat="true" ht="15" hidden="false" customHeight="true" outlineLevel="0" collapsed="false">
      <c r="A211" s="84"/>
      <c r="B211" s="81"/>
      <c r="C211" s="82"/>
      <c r="D211" s="82"/>
      <c r="E211" s="82"/>
      <c r="F211" s="82"/>
      <c r="G211" s="82"/>
      <c r="H211" s="82"/>
      <c r="I211" s="84"/>
      <c r="J211" s="94"/>
      <c r="K211" s="87"/>
      <c r="L211" s="87"/>
      <c r="M211" s="87"/>
      <c r="N211" s="87"/>
    </row>
    <row r="212" s="96" customFormat="true" ht="24.75" hidden="false" customHeight="true" outlineLevel="0" collapsed="false">
      <c r="A212" s="88" t="s">
        <v>457</v>
      </c>
      <c r="B212" s="88"/>
      <c r="C212" s="88"/>
      <c r="D212" s="88"/>
      <c r="E212" s="88"/>
      <c r="F212" s="88"/>
      <c r="G212" s="88"/>
      <c r="H212" s="88"/>
      <c r="I212" s="88"/>
      <c r="J212" s="88"/>
    </row>
    <row r="214" s="96" customFormat="true" ht="15" hidden="false" customHeight="true" outlineLevel="0" collapsed="false">
      <c r="A214" s="182"/>
      <c r="D214" s="73"/>
      <c r="I214" s="183"/>
      <c r="J214" s="99"/>
    </row>
    <row r="215" s="96" customFormat="true" ht="15" hidden="false" customHeight="true" outlineLevel="0" collapsed="false">
      <c r="A215" s="97"/>
      <c r="B215" s="182"/>
      <c r="D215" s="98"/>
      <c r="E215" s="83"/>
      <c r="F215" s="183"/>
      <c r="G215" s="183"/>
      <c r="H215" s="183"/>
      <c r="J215" s="97"/>
    </row>
    <row r="216" s="96" customFormat="true" ht="15" hidden="false" customHeight="true" outlineLevel="0" collapsed="false">
      <c r="A216" s="97"/>
      <c r="C216" s="181"/>
      <c r="D216" s="98"/>
      <c r="E216" s="83"/>
      <c r="F216" s="98"/>
      <c r="J216" s="97"/>
    </row>
    <row r="217" s="96" customFormat="true" ht="15" hidden="false" customHeight="true" outlineLevel="0" collapsed="false">
      <c r="A217" s="97"/>
      <c r="C217" s="181"/>
      <c r="D217" s="98"/>
      <c r="E217" s="97"/>
      <c r="F217" s="98"/>
      <c r="H217" s="181"/>
      <c r="J217" s="97"/>
    </row>
    <row r="218" s="96" customFormat="true" ht="15" hidden="false" customHeight="true" outlineLevel="0" collapsed="false">
      <c r="A218" s="182"/>
      <c r="B218" s="182"/>
      <c r="D218" s="98"/>
      <c r="E218" s="83"/>
      <c r="F218" s="183"/>
      <c r="H218" s="181"/>
      <c r="I218" s="97"/>
      <c r="J218" s="97"/>
    </row>
    <row r="219" s="96" customFormat="true" ht="15" hidden="false" customHeight="true" outlineLevel="0" collapsed="false">
      <c r="A219" s="97"/>
      <c r="C219" s="184" t="s">
        <v>565</v>
      </c>
      <c r="D219" s="98"/>
      <c r="E219" s="83"/>
      <c r="F219" s="98"/>
      <c r="I219" s="97"/>
      <c r="J219" s="97"/>
    </row>
    <row r="220" s="96" customFormat="true" ht="15" hidden="false" customHeight="true" outlineLevel="0" collapsed="false">
      <c r="A220" s="97"/>
      <c r="C220" s="181" t="s">
        <v>459</v>
      </c>
      <c r="D220" s="98"/>
      <c r="E220" s="83"/>
      <c r="F220" s="98"/>
      <c r="H220" s="184"/>
      <c r="J220" s="97"/>
    </row>
    <row r="221" s="96" customFormat="true" ht="15" hidden="false" customHeight="true" outlineLevel="0" collapsed="false">
      <c r="A221" s="97"/>
      <c r="C221" s="181" t="s">
        <v>460</v>
      </c>
      <c r="D221" s="98"/>
      <c r="E221" s="97"/>
      <c r="F221" s="98"/>
      <c r="J221" s="97"/>
    </row>
    <row r="222" s="96" customFormat="true" ht="15" hidden="false" customHeight="true" outlineLevel="0" collapsed="false">
      <c r="A222" s="97"/>
      <c r="C222" s="185" t="n">
        <f aca="false">$I$133</f>
        <v>3440</v>
      </c>
      <c r="D222" s="98"/>
      <c r="E222" s="83"/>
      <c r="F222" s="98"/>
      <c r="G222" s="186"/>
      <c r="J222" s="97"/>
    </row>
    <row r="223" s="96" customFormat="true" ht="15" hidden="false" customHeight="true" outlineLevel="0" collapsed="false">
      <c r="A223" s="97"/>
      <c r="C223" s="187" t="n">
        <f aca="false">$J$133</f>
        <v>1</v>
      </c>
      <c r="D223" s="98"/>
      <c r="E223" s="83"/>
      <c r="F223" s="98"/>
      <c r="G223" s="110"/>
      <c r="I223" s="97"/>
      <c r="J223" s="97"/>
    </row>
    <row r="224" s="96" customFormat="true" ht="15" hidden="false" customHeight="true" outlineLevel="0" collapsed="false">
      <c r="A224" s="97"/>
      <c r="D224" s="98"/>
      <c r="E224" s="97"/>
      <c r="F224" s="98"/>
      <c r="G224" s="110"/>
      <c r="I224" s="97"/>
      <c r="J224" s="97"/>
    </row>
    <row r="225" s="96" customFormat="true" ht="15.75" hidden="false" customHeight="true" outlineLevel="0" collapsed="false">
      <c r="A225" s="99"/>
      <c r="B225" s="99"/>
      <c r="C225" s="83"/>
      <c r="D225" s="98"/>
      <c r="E225" s="97"/>
      <c r="F225" s="98"/>
      <c r="G225" s="186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H226" s="97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189"/>
      <c r="J227" s="190"/>
    </row>
    <row r="228" s="96" customFormat="true" ht="15.75" hidden="false" customHeight="true" outlineLevel="0" collapsed="false">
      <c r="A228" s="99"/>
      <c r="B228" s="99"/>
      <c r="C228" s="181"/>
      <c r="D228" s="98"/>
      <c r="E228" s="97"/>
      <c r="F228" s="98"/>
      <c r="H228" s="97"/>
      <c r="I228" s="181"/>
      <c r="J228" s="193"/>
    </row>
    <row r="229" s="96" customFormat="true" ht="15.75" hidden="false" customHeight="true" outlineLevel="0" collapsed="false">
      <c r="A229" s="188"/>
      <c r="B229" s="188"/>
      <c r="D229" s="98"/>
      <c r="E229" s="97"/>
      <c r="F229" s="98"/>
      <c r="I229" s="181"/>
      <c r="J229" s="193"/>
    </row>
    <row r="230" s="96" customFormat="true" ht="15.75" hidden="false" customHeight="true" outlineLevel="0" collapsed="false">
      <c r="A230" s="97"/>
      <c r="B230" s="97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81"/>
      <c r="D231" s="98"/>
      <c r="E231" s="97"/>
      <c r="F231" s="97"/>
      <c r="I231" s="181"/>
      <c r="J231" s="193"/>
    </row>
    <row r="232" s="96" customFormat="true" ht="15.75" hidden="false" customHeight="true" outlineLevel="0" collapsed="false">
      <c r="A232" s="191"/>
      <c r="B232" s="191"/>
      <c r="C232" s="184" t="s">
        <v>566</v>
      </c>
      <c r="D232" s="192"/>
      <c r="E232" s="191"/>
      <c r="F232" s="191"/>
      <c r="G232" s="97"/>
      <c r="H232" s="97"/>
      <c r="I232" s="181"/>
      <c r="J232" s="193"/>
    </row>
    <row r="233" s="96" customFormat="true" ht="15.75" hidden="false" customHeight="true" outlineLevel="0" collapsed="false">
      <c r="A233" s="190"/>
      <c r="B233" s="190"/>
      <c r="C233" s="181" t="s">
        <v>462</v>
      </c>
      <c r="D233" s="194"/>
      <c r="E233" s="190"/>
      <c r="F233" s="189"/>
      <c r="G233" s="97"/>
      <c r="H233" s="97"/>
      <c r="J233" s="97"/>
    </row>
    <row r="234" s="96" customFormat="true" ht="15.75" hidden="false" customHeight="true" outlineLevel="0" collapsed="false">
      <c r="A234" s="97"/>
      <c r="C234" s="181" t="s">
        <v>518</v>
      </c>
      <c r="D234" s="98"/>
      <c r="E234" s="97"/>
      <c r="F234" s="98"/>
      <c r="G234" s="97"/>
      <c r="H234" s="97"/>
      <c r="I234" s="97"/>
      <c r="J234" s="196"/>
    </row>
    <row r="235" s="96" customFormat="true" ht="15.75" hidden="false" customHeight="true" outlineLevel="0" collapsed="false">
      <c r="A235" s="97"/>
      <c r="C235" s="185" t="n">
        <f aca="false">$I$134</f>
        <v>3414</v>
      </c>
      <c r="D235" s="98"/>
      <c r="E235" s="97"/>
      <c r="F235" s="98"/>
      <c r="G235" s="97"/>
      <c r="H235" s="97"/>
      <c r="I235" s="196"/>
      <c r="J235" s="196"/>
    </row>
    <row r="236" s="96" customFormat="true" ht="15.75" hidden="false" customHeight="true" outlineLevel="0" collapsed="false">
      <c r="A236" s="97"/>
      <c r="C236" s="187" t="n">
        <f aca="false">$J$134</f>
        <v>1</v>
      </c>
      <c r="D236" s="98"/>
      <c r="E236" s="97"/>
      <c r="F236" s="98"/>
      <c r="G236" s="97"/>
      <c r="H236" s="195"/>
      <c r="I236" s="184"/>
      <c r="J236" s="198"/>
    </row>
    <row r="237" s="96" customFormat="true" ht="15.75" hidden="false" customHeight="true" outlineLevel="0" collapsed="false">
      <c r="A237" s="97"/>
      <c r="C237" s="191"/>
      <c r="D237" s="98"/>
      <c r="E237" s="97"/>
      <c r="F237" s="98"/>
      <c r="G237" s="97"/>
      <c r="H237" s="195"/>
      <c r="I237" s="181"/>
      <c r="J237" s="193"/>
    </row>
    <row r="238" s="96" customFormat="true" ht="15.75" hidden="false" customHeight="true" outlineLevel="0" collapsed="false">
      <c r="A238" s="97"/>
      <c r="D238" s="98"/>
      <c r="E238" s="97"/>
      <c r="F238" s="98"/>
      <c r="G238" s="97"/>
      <c r="H238" s="97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96"/>
      <c r="J239" s="196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1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97"/>
      <c r="I241" s="97"/>
      <c r="J241" s="196"/>
    </row>
    <row r="242" s="96" customFormat="true" ht="15.75" hidden="false" customHeight="true" outlineLevel="0" collapsed="false">
      <c r="A242" s="97"/>
      <c r="C242" s="184" t="s">
        <v>519</v>
      </c>
      <c r="D242" s="98"/>
      <c r="E242" s="97"/>
      <c r="F242" s="98"/>
      <c r="G242" s="97"/>
      <c r="H242" s="97"/>
      <c r="I242" s="196"/>
      <c r="J242" s="196"/>
    </row>
    <row r="243" s="96" customFormat="true" ht="15.75" hidden="false" customHeight="true" outlineLevel="0" collapsed="false">
      <c r="A243" s="97"/>
      <c r="C243" s="181" t="s">
        <v>459</v>
      </c>
      <c r="D243" s="98"/>
      <c r="E243" s="97"/>
      <c r="F243" s="98"/>
      <c r="G243" s="97"/>
      <c r="H243" s="97"/>
      <c r="I243" s="196"/>
      <c r="J243" s="196"/>
    </row>
    <row r="244" s="96" customFormat="true" ht="15" hidden="false" customHeight="true" outlineLevel="0" collapsed="false">
      <c r="A244" s="97"/>
      <c r="C244" s="181" t="s">
        <v>460</v>
      </c>
      <c r="D244" s="98"/>
      <c r="E244" s="97"/>
      <c r="F244" s="98"/>
      <c r="G244" s="97"/>
      <c r="H244" s="97"/>
      <c r="I244" s="196"/>
      <c r="J244" s="196"/>
    </row>
    <row r="245" s="96" customFormat="true" ht="15.75" hidden="false" customHeight="true" outlineLevel="0" collapsed="false">
      <c r="A245" s="97"/>
      <c r="C245" s="185" t="n">
        <f aca="false">$I$135</f>
        <v>3440</v>
      </c>
      <c r="D245" s="98"/>
      <c r="E245" s="97"/>
      <c r="F245" s="98"/>
      <c r="G245" s="97"/>
      <c r="H245" s="97"/>
      <c r="I245" s="191"/>
      <c r="J245" s="199"/>
    </row>
    <row r="246" s="96" customFormat="true" ht="15.75" hidden="false" customHeight="true" outlineLevel="0" collapsed="false">
      <c r="A246" s="97"/>
      <c r="C246" s="187" t="n">
        <f aca="false">$J$135</f>
        <v>1</v>
      </c>
      <c r="D246" s="98"/>
      <c r="E246" s="97"/>
      <c r="F246" s="98"/>
      <c r="G246" s="97"/>
      <c r="H246" s="97"/>
      <c r="I246" s="189"/>
      <c r="J246" s="190"/>
    </row>
    <row r="247" s="96" customFormat="true" ht="15.75" hidden="false" customHeight="true" outlineLevel="0" collapsed="false">
      <c r="A247" s="97"/>
      <c r="C247" s="98"/>
      <c r="D247" s="98"/>
      <c r="E247" s="97"/>
      <c r="F247" s="98"/>
      <c r="G247" s="97"/>
      <c r="H247" s="97"/>
      <c r="J247" s="97"/>
    </row>
    <row r="248" s="96" customFormat="true" ht="15.75" hidden="false" customHeight="true" outlineLevel="0" collapsed="false">
      <c r="A248" s="97"/>
      <c r="D248" s="98"/>
      <c r="E248" s="97"/>
      <c r="F248" s="97"/>
      <c r="G248" s="191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0"/>
      <c r="H250" s="97"/>
      <c r="I250" s="196"/>
      <c r="J250" s="196"/>
    </row>
    <row r="251" s="96" customFormat="true" ht="15.75" hidden="false" customHeight="true" outlineLevel="0" collapsed="false">
      <c r="A251" s="97"/>
      <c r="D251" s="98"/>
      <c r="E251" s="97"/>
      <c r="F251" s="97"/>
      <c r="G251" s="97"/>
      <c r="H251" s="97"/>
      <c r="I251" s="196"/>
      <c r="J251" s="196"/>
    </row>
    <row r="252" s="96" customFormat="true" ht="15.75" hidden="false" customHeight="true" outlineLevel="0" collapsed="false">
      <c r="A252" s="191"/>
      <c r="B252" s="191"/>
      <c r="D252" s="192"/>
      <c r="E252" s="191"/>
      <c r="F252" s="191"/>
      <c r="G252" s="97"/>
      <c r="H252" s="97"/>
      <c r="I252" s="196"/>
      <c r="J252" s="196"/>
    </row>
    <row r="253" s="96" customFormat="true" ht="15.75" hidden="false" customHeight="true" outlineLevel="0" collapsed="false">
      <c r="A253" s="190"/>
      <c r="B253" s="190"/>
      <c r="C253" s="184" t="s">
        <v>567</v>
      </c>
      <c r="D253" s="194"/>
      <c r="E253" s="190"/>
      <c r="F253" s="189"/>
      <c r="G253" s="97"/>
      <c r="I253" s="196"/>
      <c r="J253" s="196"/>
    </row>
    <row r="254" s="96" customFormat="true" ht="15.75" hidden="false" customHeight="true" outlineLevel="0" collapsed="false">
      <c r="A254" s="200"/>
      <c r="C254" s="181" t="s">
        <v>459</v>
      </c>
      <c r="D254" s="98"/>
      <c r="E254" s="97"/>
      <c r="F254" s="97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460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5" t="n">
        <f aca="false">$I$136</f>
        <v>3440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7" t="n">
        <f aca="false">$J$136</f>
        <v>1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C261" s="98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C263" s="184" t="s">
        <v>521</v>
      </c>
      <c r="D263" s="98"/>
      <c r="E263" s="97"/>
      <c r="F263" s="97"/>
      <c r="G263" s="97"/>
      <c r="H263" s="97"/>
      <c r="I263" s="196"/>
      <c r="J263" s="196"/>
    </row>
    <row r="264" s="96" customFormat="true" ht="15.75" hidden="false" customHeight="true" outlineLevel="0" collapsed="false">
      <c r="A264" s="200"/>
      <c r="C264" s="181" t="s">
        <v>522</v>
      </c>
      <c r="D264" s="181"/>
      <c r="E264" s="181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468</v>
      </c>
      <c r="D265" s="181"/>
      <c r="E265" s="181"/>
      <c r="F265" s="97"/>
      <c r="G265" s="97"/>
      <c r="H265" s="97"/>
      <c r="J265" s="97"/>
    </row>
    <row r="266" s="96" customFormat="true" ht="15.75" hidden="false" customHeight="true" outlineLevel="0" collapsed="false">
      <c r="A266" s="200"/>
      <c r="C266" s="185" t="n">
        <f aca="false">$I$137</f>
        <v>2500</v>
      </c>
      <c r="D266" s="98"/>
      <c r="E266" s="97"/>
      <c r="F266" s="97"/>
      <c r="J266" s="97"/>
    </row>
    <row r="267" s="96" customFormat="true" ht="15.75" hidden="false" customHeight="true" outlineLevel="0" collapsed="false">
      <c r="A267" s="200"/>
      <c r="C267" s="187" t="n">
        <f aca="false">$J$137+$J$138</f>
        <v>2</v>
      </c>
      <c r="D267" s="98"/>
      <c r="E267" s="97"/>
      <c r="F267" s="97"/>
      <c r="G267" s="97"/>
      <c r="H267" s="97"/>
      <c r="J267" s="97"/>
    </row>
    <row r="268" s="96" customFormat="true" ht="15.75" hidden="false" customHeight="true" outlineLevel="0" collapsed="false">
      <c r="A268" s="200"/>
      <c r="D268" s="184"/>
      <c r="E268" s="184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1"/>
      <c r="E270" s="181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I272" s="196"/>
      <c r="J272" s="196"/>
    </row>
    <row r="273" s="96" customFormat="true" ht="15.75" hidden="false" customHeight="true" outlineLevel="0" collapsed="false">
      <c r="A273" s="200"/>
      <c r="D273" s="98"/>
      <c r="E273" s="97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C274" s="184" t="s">
        <v>588</v>
      </c>
      <c r="D274" s="201"/>
      <c r="E274" s="196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1" t="s">
        <v>470</v>
      </c>
      <c r="D275" s="181"/>
      <c r="E275" s="181"/>
      <c r="F275" s="97"/>
      <c r="G275" s="97"/>
      <c r="I275" s="97"/>
      <c r="J275" s="196"/>
    </row>
    <row r="276" s="96" customFormat="true" ht="15.75" hidden="false" customHeight="true" outlineLevel="0" collapsed="false">
      <c r="A276" s="200"/>
      <c r="C276" s="181" t="s">
        <v>471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5" t="n">
        <f aca="false">$I$139</f>
        <v>2404</v>
      </c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7" t="n">
        <f aca="false">$J$139+$J$140</f>
        <v>2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F279" s="97"/>
      <c r="G279" s="97"/>
      <c r="H279" s="97"/>
      <c r="J279" s="97"/>
    </row>
    <row r="280" s="96" customFormat="true" ht="15.75" hidden="false" customHeight="true" outlineLevel="0" collapsed="false">
      <c r="A280" s="200"/>
      <c r="D280" s="98"/>
      <c r="E280" s="97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D281" s="98"/>
      <c r="E281" s="97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J282" s="97"/>
    </row>
    <row r="283" s="96" customFormat="true" ht="15.75" hidden="false" customHeight="true" outlineLevel="0" collapsed="false">
      <c r="A283" s="200"/>
      <c r="F283" s="97"/>
      <c r="G283" s="97"/>
      <c r="H283" s="97"/>
      <c r="I283" s="201"/>
      <c r="J283" s="196"/>
    </row>
    <row r="284" s="96" customFormat="true" ht="15.75" hidden="false" customHeight="true" outlineLevel="0" collapsed="false">
      <c r="A284" s="200"/>
      <c r="C284" s="184" t="s">
        <v>524</v>
      </c>
      <c r="F284" s="97"/>
      <c r="G284" s="97"/>
      <c r="H284" s="97"/>
      <c r="I284" s="97"/>
      <c r="J284" s="196"/>
    </row>
    <row r="285" s="96" customFormat="true" ht="15.75" hidden="false" customHeight="true" outlineLevel="0" collapsed="false">
      <c r="A285" s="200"/>
      <c r="C285" s="83" t="s">
        <v>701</v>
      </c>
      <c r="D285" s="98"/>
      <c r="E285" s="97"/>
      <c r="F285" s="97"/>
      <c r="G285" s="97"/>
      <c r="H285" s="97"/>
      <c r="I285" s="196"/>
      <c r="J285" s="196"/>
    </row>
    <row r="286" s="96" customFormat="true" ht="15.75" hidden="false" customHeight="true" outlineLevel="0" collapsed="false">
      <c r="A286" s="200"/>
      <c r="C286" s="181" t="s">
        <v>706</v>
      </c>
      <c r="D286" s="98"/>
      <c r="E286" s="97"/>
      <c r="F286" s="97"/>
      <c r="G286" s="97"/>
      <c r="H286" s="97"/>
      <c r="I286" s="196"/>
      <c r="J286" s="196"/>
    </row>
    <row r="287" s="96" customFormat="true" ht="15.75" hidden="false" customHeight="true" outlineLevel="0" collapsed="false">
      <c r="A287" s="200"/>
      <c r="C287" s="181" t="s">
        <v>475</v>
      </c>
      <c r="D287" s="181"/>
      <c r="E287" s="181"/>
      <c r="F287" s="97"/>
      <c r="G287" s="97"/>
      <c r="I287" s="196"/>
      <c r="J287" s="196"/>
    </row>
    <row r="288" s="202" customFormat="true" ht="15.75" hidden="false" customHeight="true" outlineLevel="0" collapsed="false">
      <c r="A288" s="200"/>
      <c r="B288" s="96"/>
      <c r="C288" s="181" t="s">
        <v>476</v>
      </c>
      <c r="D288" s="181"/>
      <c r="E288" s="181"/>
      <c r="F288" s="97"/>
      <c r="G288" s="97"/>
      <c r="H288" s="96"/>
      <c r="I288" s="97"/>
      <c r="J288" s="97"/>
    </row>
    <row r="289" s="96" customFormat="true" ht="15.75" hidden="false" customHeight="true" outlineLevel="0" collapsed="false">
      <c r="A289" s="200"/>
      <c r="C289" s="185" t="n">
        <f aca="false">$I$141</f>
        <v>568.666666666667</v>
      </c>
      <c r="F289" s="97"/>
      <c r="G289" s="97"/>
      <c r="I289" s="191"/>
      <c r="J289" s="199"/>
    </row>
    <row r="290" s="96" customFormat="true" ht="15.75" hidden="false" customHeight="true" outlineLevel="0" collapsed="false">
      <c r="A290" s="200"/>
      <c r="C290" s="187" t="n">
        <f aca="false">$J$141+$J$142</f>
        <v>12</v>
      </c>
      <c r="D290" s="98"/>
      <c r="E290" s="97"/>
      <c r="F290" s="97"/>
      <c r="G290" s="97"/>
      <c r="H290" s="98"/>
      <c r="I290" s="189"/>
      <c r="J290" s="190"/>
    </row>
    <row r="291" s="96" customFormat="true" ht="15.75" hidden="false" customHeight="true" outlineLevel="0" collapsed="false">
      <c r="A291" s="200"/>
      <c r="C291" s="185" t="n">
        <f aca="false">$I$143</f>
        <v>2408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C292" s="187" t="n">
        <f aca="false">$J$143+$J$144</f>
        <v>12</v>
      </c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D293" s="98"/>
      <c r="E293" s="97"/>
      <c r="F293" s="97"/>
      <c r="G293" s="97"/>
      <c r="H293" s="97"/>
      <c r="I293" s="196"/>
      <c r="J293" s="196"/>
    </row>
    <row r="294" s="96" customFormat="true" ht="15.75" hidden="false" customHeight="true" outlineLevel="0" collapsed="false">
      <c r="A294" s="200"/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202"/>
      <c r="D295" s="98"/>
      <c r="E295" s="97"/>
      <c r="F295" s="97"/>
      <c r="G295" s="97"/>
      <c r="H295" s="97"/>
      <c r="I295" s="97"/>
      <c r="J295" s="196"/>
    </row>
    <row r="296" s="96" customFormat="true" ht="15.75" hidden="false" customHeight="true" outlineLevel="0" collapsed="false">
      <c r="A296" s="200"/>
      <c r="C296" s="184" t="s">
        <v>630</v>
      </c>
      <c r="D296" s="98"/>
      <c r="E296" s="97"/>
      <c r="F296" s="97"/>
      <c r="G296" s="97"/>
      <c r="H296" s="97"/>
      <c r="I296" s="97"/>
      <c r="J296" s="196"/>
    </row>
    <row r="297" s="96" customFormat="true" ht="15.75" hidden="false" customHeight="true" outlineLevel="0" collapsed="false">
      <c r="A297" s="200"/>
      <c r="C297" s="83" t="s">
        <v>701</v>
      </c>
      <c r="D297" s="98"/>
      <c r="E297" s="97"/>
      <c r="F297" s="97"/>
      <c r="G297" s="191"/>
      <c r="H297" s="191"/>
      <c r="I297" s="97"/>
      <c r="J297" s="196"/>
    </row>
    <row r="298" s="96" customFormat="true" ht="15.75" hidden="false" customHeight="true" outlineLevel="0" collapsed="false">
      <c r="A298" s="200"/>
      <c r="C298" s="181" t="s">
        <v>706</v>
      </c>
      <c r="D298" s="181"/>
      <c r="E298" s="181"/>
      <c r="F298" s="97"/>
      <c r="G298" s="190"/>
      <c r="H298" s="189"/>
      <c r="I298" s="97"/>
      <c r="J298" s="196"/>
    </row>
    <row r="299" s="96" customFormat="true" ht="15.75" hidden="false" customHeight="true" outlineLevel="0" collapsed="false">
      <c r="A299" s="107"/>
      <c r="C299" s="181" t="s">
        <v>478</v>
      </c>
      <c r="D299" s="181"/>
      <c r="E299" s="181"/>
      <c r="F299" s="97"/>
      <c r="G299" s="97"/>
      <c r="H299" s="97"/>
      <c r="I299" s="97"/>
      <c r="J299" s="196"/>
    </row>
    <row r="300" s="96" customFormat="true" ht="15.75" hidden="false" customHeight="true" outlineLevel="0" collapsed="false">
      <c r="A300" s="191"/>
      <c r="B300" s="191"/>
      <c r="C300" s="181" t="s">
        <v>479</v>
      </c>
      <c r="D300" s="203"/>
      <c r="E300" s="204"/>
      <c r="F300" s="191"/>
      <c r="G300" s="97"/>
      <c r="H300" s="97"/>
      <c r="I300" s="97"/>
      <c r="J300" s="196"/>
    </row>
    <row r="301" s="96" customFormat="true" ht="15.75" hidden="false" customHeight="true" outlineLevel="0" collapsed="false">
      <c r="A301" s="190"/>
      <c r="B301" s="190"/>
      <c r="C301" s="185" t="n">
        <f aca="false">$I$145</f>
        <v>458.625</v>
      </c>
      <c r="D301" s="205"/>
      <c r="E301" s="206"/>
      <c r="F301" s="189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7" t="n">
        <f aca="false">$J$145</f>
        <v>12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5" t="n">
        <f aca="false">$I$146</f>
        <v>2258</v>
      </c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C304" s="187" t="n">
        <f aca="false">$J$146</f>
        <v>12</v>
      </c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D306" s="98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D307" s="98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184"/>
      <c r="D308" s="98"/>
      <c r="E308" s="97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249"/>
      <c r="D309" s="249"/>
      <c r="E309" s="249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D310" s="98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200"/>
      <c r="D313" s="201"/>
      <c r="E313" s="196"/>
      <c r="F313" s="97"/>
      <c r="G313" s="97"/>
      <c r="H313" s="97"/>
      <c r="I313" s="200"/>
      <c r="J313" s="92" t="str">
        <f aca="false">LEFT($J$111,11)&amp;"-03"</f>
        <v>FG-240-6P6R-03</v>
      </c>
    </row>
    <row r="314" customFormat="false" ht="12.75" hidden="false" customHeight="true" outlineLevel="0" collapsed="false">
      <c r="A314" s="97"/>
      <c r="B314" s="49"/>
      <c r="C314" s="49"/>
      <c r="D314" s="207"/>
      <c r="E314" s="200"/>
      <c r="F314" s="200"/>
      <c r="G314" s="200"/>
      <c r="H314" s="200"/>
      <c r="I314" s="208"/>
      <c r="J314" s="208"/>
    </row>
    <row r="315" customFormat="false" ht="30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77" t="str">
        <f aca="false">$J$2</f>
        <v>HOMELIFE</v>
      </c>
    </row>
    <row r="316" customFormat="false" ht="24.75" hidden="false" customHeight="true" outlineLevel="0" collapsed="false">
      <c r="C316" s="75"/>
      <c r="D316" s="76"/>
      <c r="E316" s="76"/>
      <c r="F316" s="76"/>
      <c r="G316" s="76"/>
      <c r="H316" s="76"/>
      <c r="I316" s="82"/>
      <c r="J316" s="80" t="str">
        <f aca="false">$J$3</f>
        <v>Fabricators Guide</v>
      </c>
      <c r="K316" s="83"/>
      <c r="L316" s="83"/>
      <c r="M316" s="79"/>
      <c r="N316" s="79"/>
    </row>
    <row r="317" customFormat="false" ht="24.75" hidden="false" customHeight="true" outlineLevel="0" collapsed="false">
      <c r="C317" s="82"/>
      <c r="D317" s="82"/>
      <c r="E317" s="82"/>
      <c r="F317" s="82"/>
      <c r="G317" s="82"/>
      <c r="H317" s="82"/>
      <c r="I317" s="82"/>
      <c r="J317" s="80" t="str">
        <f aca="false">$J$4</f>
        <v>240 Series Bi Fold Door </v>
      </c>
      <c r="M317" s="87"/>
      <c r="N317" s="87"/>
    </row>
    <row r="318" s="96" customFormat="true" ht="15" hidden="false" customHeight="true" outlineLevel="0" collapsed="false">
      <c r="A318" s="84"/>
      <c r="B318" s="81"/>
      <c r="C318" s="82"/>
      <c r="D318" s="82"/>
      <c r="E318" s="82"/>
      <c r="F318" s="82"/>
      <c r="G318" s="82"/>
      <c r="H318" s="82"/>
      <c r="I318" s="84"/>
      <c r="J318" s="94"/>
      <c r="K318" s="87"/>
      <c r="L318" s="87"/>
      <c r="M318" s="87"/>
      <c r="N318" s="87"/>
    </row>
    <row r="319" customFormat="false" ht="24.75" hidden="false" customHeight="true" outlineLevel="0" collapsed="false">
      <c r="A319" s="88" t="s">
        <v>480</v>
      </c>
      <c r="B319" s="88"/>
      <c r="C319" s="88"/>
      <c r="D319" s="88"/>
      <c r="E319" s="88"/>
      <c r="F319" s="88"/>
      <c r="G319" s="88"/>
      <c r="H319" s="88"/>
      <c r="I319" s="88"/>
      <c r="J319" s="88"/>
      <c r="K319" s="87"/>
      <c r="L319" s="87"/>
      <c r="M319" s="87"/>
      <c r="N319" s="87"/>
    </row>
    <row r="321" s="96" customFormat="true" ht="15" hidden="false" customHeight="true" outlineLevel="0" collapsed="false">
      <c r="A321" s="188"/>
      <c r="D321" s="73"/>
      <c r="I321" s="183"/>
      <c r="J321" s="99"/>
    </row>
    <row r="322" s="96" customFormat="true" ht="15" hidden="false" customHeight="true" outlineLevel="0" collapsed="false">
      <c r="A322" s="97"/>
      <c r="B322" s="81"/>
      <c r="D322" s="98"/>
      <c r="E322" s="83"/>
      <c r="F322" s="183"/>
      <c r="G322" s="183"/>
      <c r="H322" s="183"/>
      <c r="I322" s="83"/>
      <c r="J322" s="97"/>
    </row>
    <row r="323" s="96" customFormat="true" ht="15" hidden="false" customHeight="true" outlineLevel="0" collapsed="false">
      <c r="A323" s="97"/>
      <c r="D323" s="98"/>
      <c r="E323" s="83"/>
      <c r="F323" s="98"/>
      <c r="G323" s="83"/>
      <c r="H323" s="83"/>
      <c r="I323" s="97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C325" s="98"/>
      <c r="D325" s="98"/>
      <c r="E325" s="83"/>
      <c r="F325" s="98"/>
      <c r="G325" s="97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97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83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182"/>
      <c r="J328" s="97"/>
    </row>
    <row r="329" s="96" customFormat="true" ht="15" hidden="false" customHeight="true" outlineLevel="0" collapsed="false">
      <c r="A329" s="81"/>
      <c r="C329" s="182"/>
      <c r="D329" s="98"/>
      <c r="E329" s="97"/>
      <c r="F329" s="209"/>
      <c r="G329" s="209"/>
      <c r="H329" s="110"/>
      <c r="I329" s="98"/>
      <c r="J329" s="97"/>
    </row>
    <row r="330" s="96" customFormat="true" ht="15" hidden="false" customHeight="true" outlineLevel="0" collapsed="false">
      <c r="A330" s="99"/>
      <c r="B330" s="81"/>
      <c r="C330" s="98"/>
      <c r="D330" s="98"/>
      <c r="E330" s="97"/>
      <c r="F330" s="210"/>
      <c r="G330" s="210"/>
      <c r="H330" s="110"/>
      <c r="I330" s="98"/>
      <c r="J330" s="97"/>
    </row>
    <row r="331" s="96" customFormat="true" ht="15" hidden="false" customHeight="true" outlineLevel="0" collapsed="false">
      <c r="A331" s="211" t="str">
        <f aca="false">A18</f>
        <v>240-6 Panel (6R)</v>
      </c>
      <c r="B331" s="99"/>
      <c r="C331" s="98"/>
      <c r="D331" s="98"/>
      <c r="E331" s="97"/>
      <c r="F331" s="110"/>
      <c r="G331" s="110"/>
      <c r="H331" s="110"/>
      <c r="I331" s="97"/>
      <c r="J331" s="97"/>
    </row>
    <row r="332" s="96" customFormat="true" ht="15" hidden="false" customHeight="true" outlineLevel="0" collapsed="false">
      <c r="A332" s="90" t="str">
        <f aca="false">A19</f>
        <v>Outside Bi Fold Door 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/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" hidden="false" customHeight="true" outlineLevel="0" collapsed="false">
      <c r="A334" s="90"/>
      <c r="B334" s="99"/>
      <c r="C334" s="98"/>
      <c r="D334" s="98"/>
      <c r="E334" s="97"/>
      <c r="F334" s="110"/>
      <c r="G334" s="110"/>
      <c r="H334" s="110"/>
      <c r="I334" s="97"/>
      <c r="J334" s="97"/>
    </row>
    <row r="335" s="96" customFormat="true" ht="15.75" hidden="false" customHeight="true" outlineLevel="0" collapsed="false">
      <c r="A335" s="97"/>
      <c r="B335" s="188"/>
      <c r="C335" s="182"/>
      <c r="D335" s="98"/>
      <c r="E335" s="97"/>
      <c r="F335" s="210"/>
      <c r="G335" s="210"/>
      <c r="H335" s="110"/>
      <c r="I335" s="97"/>
      <c r="J335" s="97"/>
    </row>
    <row r="336" s="96" customFormat="true" ht="15.75" hidden="false" customHeight="true" outlineLevel="0" collapsed="false">
      <c r="A336" s="81"/>
      <c r="B336" s="97"/>
      <c r="C336" s="98"/>
      <c r="D336" s="98"/>
      <c r="E336" s="97"/>
      <c r="F336" s="78"/>
      <c r="H336" s="97"/>
      <c r="I336" s="97"/>
      <c r="J336" s="97"/>
    </row>
    <row r="337" s="96" customFormat="true" ht="15.75" hidden="false" customHeight="true" outlineLevel="0" collapsed="false">
      <c r="A337" s="191"/>
      <c r="C337" s="212"/>
      <c r="D337" s="98"/>
      <c r="E337" s="97"/>
      <c r="F337" s="97"/>
      <c r="G337" s="97"/>
      <c r="H337" s="97"/>
      <c r="I337" s="191"/>
      <c r="J337" s="199"/>
    </row>
    <row r="338" s="96" customFormat="true" ht="15.75" hidden="false" customHeight="true" outlineLevel="0" collapsed="false">
      <c r="A338" s="190"/>
      <c r="C338" s="191"/>
      <c r="D338" s="192"/>
      <c r="E338" s="191"/>
      <c r="F338" s="191"/>
      <c r="G338" s="191"/>
      <c r="H338" s="191"/>
      <c r="I338" s="189"/>
      <c r="J338" s="190"/>
    </row>
    <row r="339" s="96" customFormat="true" ht="15.75" hidden="false" customHeight="true" outlineLevel="0" collapsed="false">
      <c r="A339" s="97"/>
      <c r="C339" s="98"/>
      <c r="D339" s="194"/>
      <c r="E339" s="190"/>
      <c r="F339" s="189"/>
      <c r="G339" s="190"/>
      <c r="H339" s="189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196"/>
      <c r="J340" s="196"/>
    </row>
    <row r="341" s="96" customFormat="true" ht="15.75" hidden="false" customHeight="true" outlineLevel="0" collapsed="false">
      <c r="A341" s="97"/>
      <c r="C341" s="98"/>
      <c r="D341" s="98"/>
      <c r="E341" s="97"/>
      <c r="F341" s="98"/>
      <c r="G341" s="97"/>
      <c r="H341" s="97"/>
      <c r="I341" s="201"/>
      <c r="J341" s="201"/>
    </row>
    <row r="342" s="96" customFormat="true" ht="15.75" hidden="false" customHeight="true" outlineLevel="0" collapsed="false">
      <c r="A342" s="97"/>
      <c r="C342" s="191"/>
      <c r="D342" s="98"/>
      <c r="E342" s="97"/>
      <c r="F342" s="98"/>
      <c r="G342" s="97"/>
      <c r="H342" s="201"/>
      <c r="I342" s="98"/>
      <c r="J342" s="98"/>
    </row>
    <row r="343" s="96" customFormat="true" ht="15.75" hidden="false" customHeight="true" outlineLevel="0" collapsed="false">
      <c r="A343" s="97"/>
      <c r="C343" s="182"/>
      <c r="D343" s="98"/>
      <c r="E343" s="97"/>
      <c r="F343" s="98"/>
      <c r="G343" s="97"/>
      <c r="H343" s="98"/>
      <c r="I343" s="98"/>
      <c r="J343" s="98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8"/>
      <c r="I344" s="97"/>
      <c r="J344" s="196"/>
    </row>
    <row r="345" s="96" customFormat="true" ht="15.75" hidden="false" customHeight="true" outlineLevel="0" collapsed="false">
      <c r="A345" s="97"/>
      <c r="C345" s="98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191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196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97"/>
      <c r="J351" s="196"/>
    </row>
    <row r="352" s="96" customFormat="true" ht="15.75" hidden="false" customHeight="true" outlineLevel="0" collapsed="false">
      <c r="A352" s="97"/>
      <c r="C352" s="98"/>
      <c r="D352" s="98"/>
      <c r="E352" s="97"/>
      <c r="F352" s="98"/>
      <c r="G352" s="97"/>
      <c r="H352" s="97"/>
      <c r="I352" s="196"/>
      <c r="J352" s="196"/>
    </row>
    <row r="353" s="96" customFormat="true" ht="15.75" hidden="false" customHeight="true" outlineLevel="0" collapsed="false">
      <c r="A353" s="97"/>
      <c r="D353" s="98"/>
      <c r="E353" s="97"/>
      <c r="F353" s="97"/>
      <c r="G353" s="97"/>
      <c r="H353" s="97"/>
      <c r="I353" s="196"/>
      <c r="J353" s="196"/>
    </row>
    <row r="354" s="96" customFormat="true" ht="15" hidden="false" customHeight="true" outlineLevel="0" collapsed="false">
      <c r="A354" s="97"/>
      <c r="D354" s="98"/>
      <c r="E354" s="97"/>
      <c r="F354" s="97"/>
      <c r="G354" s="97"/>
      <c r="H354" s="195"/>
      <c r="I354" s="196"/>
      <c r="J354" s="196"/>
    </row>
    <row r="355" s="202" customFormat="true" ht="15.75" hidden="false" customHeight="true" outlineLevel="0" collapsed="false">
      <c r="A355" s="97"/>
      <c r="B355" s="96"/>
      <c r="C355" s="96"/>
      <c r="D355" s="98"/>
      <c r="E355" s="97"/>
      <c r="F355" s="97"/>
      <c r="G355" s="97"/>
      <c r="H355" s="97"/>
      <c r="I355" s="97"/>
      <c r="J355" s="97"/>
    </row>
    <row r="356" s="96" customFormat="true" ht="15.75" hidden="false" customHeight="true" outlineLevel="0" collapsed="false">
      <c r="A356" s="191"/>
      <c r="D356" s="98"/>
      <c r="E356" s="97"/>
      <c r="F356" s="97"/>
      <c r="G356" s="97"/>
      <c r="H356" s="97"/>
      <c r="I356" s="191"/>
      <c r="J356" s="199"/>
    </row>
    <row r="357" s="96" customFormat="true" ht="15.75" hidden="false" customHeight="true" outlineLevel="0" collapsed="false">
      <c r="A357" s="190"/>
      <c r="B357" s="191"/>
      <c r="C357" s="191"/>
      <c r="D357" s="192"/>
      <c r="E357" s="191"/>
      <c r="F357" s="191"/>
      <c r="G357" s="191"/>
      <c r="H357" s="191"/>
      <c r="I357" s="189"/>
      <c r="J357" s="190"/>
    </row>
    <row r="358" s="96" customFormat="true" ht="15.75" hidden="false" customHeight="true" outlineLevel="0" collapsed="false">
      <c r="A358" s="200"/>
      <c r="B358" s="190"/>
      <c r="C358" s="191"/>
      <c r="D358" s="194"/>
      <c r="E358" s="190"/>
      <c r="F358" s="189"/>
      <c r="G358" s="190"/>
      <c r="H358" s="189"/>
      <c r="I358" s="196"/>
      <c r="J358" s="196"/>
    </row>
    <row r="359" s="96" customFormat="true" ht="15.75" hidden="false" customHeight="true" outlineLevel="0" collapsed="false">
      <c r="A359" s="200"/>
      <c r="C359" s="182"/>
      <c r="D359" s="98"/>
      <c r="E359" s="97"/>
      <c r="F359" s="97"/>
      <c r="G359" s="97"/>
      <c r="H359" s="182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98"/>
      <c r="J360" s="98"/>
    </row>
    <row r="361" s="96" customFormat="true" ht="15.75" hidden="false" customHeight="true" outlineLevel="0" collapsed="false">
      <c r="A361" s="200"/>
      <c r="C361" s="98"/>
      <c r="D361" s="98"/>
      <c r="E361" s="97"/>
      <c r="F361" s="97"/>
      <c r="G361" s="97"/>
      <c r="H361" s="98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C365" s="98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G372" s="97"/>
      <c r="H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97"/>
      <c r="I376" s="196"/>
      <c r="J376" s="196"/>
    </row>
    <row r="377" s="96" customFormat="true" ht="15.75" hidden="false" customHeight="true" outlineLevel="0" collapsed="false">
      <c r="A377" s="200"/>
      <c r="D377" s="98"/>
      <c r="E377" s="97"/>
      <c r="F377" s="97"/>
      <c r="G377" s="97"/>
      <c r="H377" s="182"/>
      <c r="I377" s="98"/>
      <c r="J377" s="98"/>
    </row>
    <row r="378" s="96" customFormat="true" ht="15.75" hidden="false" customHeight="true" outlineLevel="0" collapsed="false">
      <c r="A378" s="200"/>
      <c r="C378" s="188"/>
      <c r="D378" s="98"/>
      <c r="E378" s="97"/>
      <c r="F378" s="97"/>
      <c r="G378" s="97"/>
      <c r="H378" s="98"/>
      <c r="I378" s="98"/>
      <c r="J378" s="98"/>
    </row>
    <row r="379" s="96" customFormat="true" ht="15.75" hidden="false" customHeight="true" outlineLevel="0" collapsed="false">
      <c r="A379" s="200"/>
      <c r="D379" s="98"/>
      <c r="E379" s="97"/>
      <c r="F379" s="97"/>
      <c r="G379" s="97"/>
      <c r="H379" s="98"/>
      <c r="I379" s="196"/>
      <c r="J379" s="196"/>
    </row>
    <row r="380" s="96" customFormat="true" ht="15.75" hidden="false" customHeight="true" outlineLevel="0" collapsed="false">
      <c r="A380" s="200"/>
      <c r="C380" s="98"/>
      <c r="D380" s="98"/>
      <c r="E380" s="97"/>
      <c r="F380" s="97"/>
      <c r="G380" s="97"/>
      <c r="H380" s="182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98"/>
      <c r="J381" s="98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8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196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97"/>
      <c r="J388" s="196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97"/>
      <c r="I389" s="213"/>
      <c r="J389" s="213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213"/>
      <c r="I390" s="97"/>
      <c r="J390" s="97"/>
    </row>
    <row r="391" s="96" customFormat="true" ht="15.75" hidden="false" customHeight="true" outlineLevel="0" collapsed="false">
      <c r="A391" s="200"/>
      <c r="D391" s="98"/>
      <c r="E391" s="97"/>
      <c r="F391" s="97"/>
      <c r="G391" s="97"/>
      <c r="H391" s="97"/>
      <c r="I391" s="98"/>
      <c r="J391" s="98"/>
    </row>
    <row r="392" s="96" customFormat="true" ht="15.75" hidden="false" customHeight="true" outlineLevel="0" collapsed="false">
      <c r="A392" s="200"/>
      <c r="C392" s="188"/>
      <c r="D392" s="98"/>
      <c r="E392" s="97"/>
      <c r="F392" s="97"/>
      <c r="G392" s="97"/>
      <c r="H392" s="98"/>
      <c r="I392" s="196"/>
      <c r="J392" s="196"/>
    </row>
    <row r="393" s="96" customFormat="true" ht="15.75" hidden="false" customHeight="true" outlineLevel="0" collapsed="false">
      <c r="A393" s="200"/>
      <c r="D393" s="98"/>
      <c r="E393" s="97"/>
      <c r="F393" s="97"/>
      <c r="G393" s="97"/>
      <c r="H393" s="97"/>
      <c r="I393" s="97"/>
      <c r="J393" s="196"/>
    </row>
    <row r="394" s="96" customFormat="true" ht="15.75" hidden="false" customHeight="true" outlineLevel="0" collapsed="false">
      <c r="A394" s="200"/>
      <c r="C394" s="98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200"/>
      <c r="D396" s="98"/>
      <c r="E396" s="97"/>
      <c r="F396" s="97"/>
      <c r="G396" s="97"/>
      <c r="H396" s="97"/>
      <c r="I396" s="196"/>
      <c r="J396" s="196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96" customFormat="true" ht="15.75" hidden="false" customHeight="true" outlineLevel="0" collapsed="false">
      <c r="A404" s="107"/>
      <c r="D404" s="98"/>
      <c r="E404" s="97"/>
      <c r="F404" s="97"/>
      <c r="G404" s="97"/>
      <c r="H404" s="97"/>
      <c r="I404" s="97"/>
      <c r="J404" s="97"/>
    </row>
    <row r="405" s="202" customFormat="true" ht="15.75" hidden="false" customHeight="true" outlineLevel="0" collapsed="false">
      <c r="A405" s="107"/>
      <c r="B405" s="96"/>
      <c r="C405" s="96"/>
      <c r="D405" s="98"/>
      <c r="E405" s="97"/>
      <c r="F405" s="97"/>
      <c r="G405" s="97"/>
      <c r="H405" s="97"/>
      <c r="I405" s="97"/>
      <c r="J405" s="97"/>
    </row>
    <row r="406" s="96" customFormat="true" ht="15.75" hidden="false" customHeight="true" outlineLevel="0" collapsed="false">
      <c r="A406" s="191"/>
      <c r="D406" s="98"/>
      <c r="E406" s="97"/>
      <c r="F406" s="97"/>
      <c r="G406" s="97"/>
      <c r="H406" s="97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97"/>
      <c r="B418" s="191"/>
      <c r="C418" s="191"/>
      <c r="D418" s="192"/>
      <c r="E418" s="191"/>
      <c r="F418" s="191"/>
      <c r="G418" s="191"/>
      <c r="H418" s="191"/>
      <c r="I418" s="196"/>
      <c r="J418" s="196"/>
      <c r="K418" s="214"/>
    </row>
    <row r="419" s="96" customFormat="true" ht="15.75" hidden="false" customHeight="true" outlineLevel="0" collapsed="false">
      <c r="A419" s="97"/>
      <c r="D419" s="98"/>
      <c r="E419" s="97"/>
      <c r="F419" s="97"/>
      <c r="G419" s="97"/>
      <c r="H419" s="97"/>
      <c r="I419" s="196"/>
    </row>
    <row r="420" customFormat="false" ht="18" hidden="false" customHeight="true" outlineLevel="0" collapsed="false">
      <c r="A420" s="97"/>
      <c r="B420" s="96"/>
      <c r="C420" s="96"/>
      <c r="D420" s="98"/>
      <c r="E420" s="97"/>
      <c r="F420" s="97"/>
      <c r="G420" s="97"/>
      <c r="H420" s="97"/>
      <c r="I420" s="97"/>
      <c r="J420" s="92" t="str">
        <f aca="false">LEFT($J$111,11)&amp;"-04"</f>
        <v>FG-240-6P6R-04</v>
      </c>
      <c r="K420" s="78"/>
      <c r="L420" s="78"/>
      <c r="M420" s="79"/>
      <c r="N420" s="79"/>
    </row>
    <row r="421" customFormat="false" ht="12.75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215"/>
      <c r="K421" s="78"/>
      <c r="L421" s="78"/>
      <c r="M421" s="79"/>
      <c r="N421" s="79"/>
    </row>
    <row r="422" customFormat="false" ht="30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77" t="str">
        <f aca="false">$J$2</f>
        <v>HOMELIFE</v>
      </c>
      <c r="K422" s="78"/>
      <c r="L422" s="78"/>
      <c r="M422" s="79"/>
      <c r="N422" s="79"/>
    </row>
    <row r="423" customFormat="false" ht="24.75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80" t="str">
        <f aca="false">$J$3</f>
        <v>Fabricators Guide</v>
      </c>
      <c r="K423" s="78"/>
      <c r="L423" s="78"/>
      <c r="M423" s="79"/>
      <c r="N423" s="79"/>
    </row>
    <row r="424" customFormat="false" ht="24.75" hidden="false" customHeight="true" outlineLevel="0" collapsed="false">
      <c r="C424" s="82"/>
      <c r="D424" s="82"/>
      <c r="E424" s="82"/>
      <c r="F424" s="82"/>
      <c r="G424" s="82"/>
      <c r="H424" s="82"/>
      <c r="I424" s="82"/>
      <c r="J424" s="80" t="str">
        <f aca="false">$J$4</f>
        <v>240 Series Bi Fold Door </v>
      </c>
      <c r="M424" s="87"/>
      <c r="N424" s="87"/>
    </row>
    <row r="425" s="96" customFormat="true" ht="15" hidden="false" customHeight="true" outlineLevel="0" collapsed="false">
      <c r="A425" s="84"/>
      <c r="B425" s="81"/>
      <c r="C425" s="82"/>
      <c r="D425" s="82"/>
      <c r="E425" s="82"/>
      <c r="F425" s="82"/>
      <c r="G425" s="82"/>
      <c r="H425" s="82"/>
      <c r="I425" s="84"/>
      <c r="J425" s="86"/>
      <c r="K425" s="87"/>
      <c r="L425" s="87"/>
      <c r="M425" s="87"/>
      <c r="N425" s="87"/>
    </row>
    <row r="426" s="96" customFormat="true" ht="24.75" hidden="false" customHeight="true" outlineLevel="0" collapsed="false">
      <c r="A426" s="88" t="s">
        <v>481</v>
      </c>
      <c r="B426" s="88"/>
      <c r="C426" s="88"/>
      <c r="D426" s="88"/>
      <c r="E426" s="88"/>
      <c r="F426" s="88"/>
      <c r="G426" s="88"/>
      <c r="H426" s="88"/>
      <c r="I426" s="88"/>
      <c r="J426" s="88"/>
      <c r="K426" s="87"/>
      <c r="L426" s="87"/>
      <c r="M426" s="87"/>
      <c r="N426" s="87"/>
    </row>
    <row r="427" s="96" customFormat="true" ht="15" hidden="false" customHeight="true" outlineLevel="0" collapsed="false">
      <c r="B427" s="268"/>
      <c r="C427" s="268"/>
      <c r="D427" s="268"/>
      <c r="E427" s="268"/>
      <c r="F427" s="268"/>
      <c r="G427" s="268"/>
      <c r="H427" s="268"/>
    </row>
    <row r="428" s="96" customFormat="true" ht="15" hidden="false" customHeight="true" outlineLevel="0" collapsed="false">
      <c r="A428" s="188"/>
      <c r="I428" s="191"/>
      <c r="J428" s="199"/>
    </row>
    <row r="429" s="96" customFormat="true" ht="15" hidden="false" customHeight="true" outlineLevel="0" collapsed="false">
      <c r="A429" s="97"/>
      <c r="B429" s="81"/>
      <c r="D429" s="98"/>
      <c r="E429" s="83"/>
      <c r="F429" s="81"/>
      <c r="H429" s="191"/>
      <c r="I429" s="191"/>
      <c r="J429" s="199"/>
    </row>
    <row r="430" s="96" customFormat="true" ht="15" hidden="false" customHeight="true" outlineLevel="0" collapsed="false">
      <c r="A430" s="97"/>
      <c r="D430" s="98"/>
      <c r="E430" s="83"/>
      <c r="F430" s="98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C432" s="98"/>
      <c r="D432" s="98"/>
      <c r="E432" s="97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83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81"/>
      <c r="C435" s="182"/>
      <c r="D435" s="98"/>
      <c r="E435" s="97"/>
      <c r="F435" s="216"/>
      <c r="H435" s="191"/>
      <c r="I435" s="191"/>
      <c r="J435" s="199"/>
    </row>
    <row r="436" s="96" customFormat="true" ht="15" hidden="false" customHeight="true" outlineLevel="0" collapsed="false">
      <c r="A436" s="99"/>
      <c r="B436" s="81"/>
      <c r="C436" s="98"/>
      <c r="D436" s="98"/>
      <c r="E436" s="97"/>
      <c r="F436" s="186"/>
      <c r="H436" s="191"/>
      <c r="I436" s="191"/>
      <c r="J436" s="199"/>
    </row>
    <row r="437" s="96" customFormat="true" ht="15" hidden="false" customHeight="true" outlineLevel="0" collapsed="false">
      <c r="B437" s="99"/>
      <c r="C437" s="98"/>
      <c r="D437" s="98"/>
      <c r="E437" s="97"/>
      <c r="F437" s="110"/>
      <c r="H437" s="191"/>
      <c r="I437" s="191"/>
      <c r="J437" s="199"/>
    </row>
    <row r="438" s="96" customFormat="true" ht="15" hidden="false" customHeight="true" outlineLevel="0" collapsed="false">
      <c r="A438" s="211" t="str">
        <f aca="false">A18</f>
        <v>240-6 Panel (6R)</v>
      </c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.75" hidden="false" customHeight="true" outlineLevel="0" collapsed="false">
      <c r="A439" s="90" t="str">
        <f aca="false">A19</f>
        <v>Outside Bi Fold Door </v>
      </c>
      <c r="C439" s="182"/>
      <c r="D439" s="98"/>
      <c r="E439" s="97"/>
      <c r="F439" s="186"/>
      <c r="H439" s="191"/>
      <c r="I439" s="191"/>
      <c r="J439" s="199"/>
    </row>
    <row r="440" s="96" customFormat="true" ht="15.75" hidden="false" customHeight="true" outlineLevel="0" collapsed="false">
      <c r="A440" s="90"/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90"/>
      <c r="C441" s="182"/>
      <c r="D441" s="98"/>
      <c r="E441" s="97"/>
      <c r="F441" s="186"/>
      <c r="H441" s="191"/>
      <c r="I441" s="191"/>
      <c r="J441" s="199"/>
    </row>
    <row r="442" s="96" customFormat="true" ht="15.75" hidden="false" customHeight="true" outlineLevel="0" collapsed="false">
      <c r="A442" s="90"/>
      <c r="C442" s="182"/>
      <c r="D442" s="98"/>
      <c r="E442" s="97"/>
      <c r="F442" s="186"/>
      <c r="H442" s="191"/>
      <c r="I442" s="191"/>
      <c r="J442" s="199"/>
    </row>
    <row r="443" s="96" customFormat="true" ht="15.75" hidden="false" customHeight="true" outlineLevel="0" collapsed="false">
      <c r="A443" s="81"/>
      <c r="C443" s="98"/>
      <c r="D443" s="98"/>
      <c r="E443" s="97"/>
      <c r="F443" s="78"/>
      <c r="H443" s="191"/>
      <c r="I443" s="191"/>
      <c r="J443" s="199"/>
    </row>
    <row r="444" s="96" customFormat="true" ht="15.75" hidden="false" customHeight="true" outlineLevel="0" collapsed="false">
      <c r="A444" s="191"/>
      <c r="C444" s="212"/>
      <c r="D444" s="98"/>
      <c r="E444" s="97"/>
      <c r="F444" s="97"/>
      <c r="H444" s="191"/>
      <c r="I444" s="191"/>
      <c r="J444" s="199"/>
    </row>
    <row r="445" s="96" customFormat="true" ht="15.75" hidden="false" customHeight="true" outlineLevel="0" collapsed="false">
      <c r="A445" s="190"/>
      <c r="C445" s="191"/>
      <c r="D445" s="192"/>
      <c r="E445" s="191"/>
      <c r="F445" s="191"/>
      <c r="H445" s="191"/>
      <c r="I445" s="191"/>
      <c r="J445" s="199"/>
    </row>
    <row r="446" customFormat="false" ht="15" hidden="false" customHeight="true" outlineLevel="0" collapsed="false">
      <c r="B446" s="211"/>
      <c r="C446" s="98"/>
      <c r="D446" s="98"/>
      <c r="E446" s="97"/>
      <c r="F446" s="98"/>
      <c r="G446" s="97"/>
      <c r="H446" s="97"/>
    </row>
    <row r="451" s="96" customFormat="true" ht="15.75" hidden="false" customHeight="true" outlineLevel="0" collapsed="false">
      <c r="A451" s="97"/>
      <c r="D451" s="73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191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196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97"/>
      <c r="J457" s="196"/>
    </row>
    <row r="458" s="96" customFormat="true" ht="15.75" hidden="false" customHeight="true" outlineLevel="0" collapsed="false">
      <c r="A458" s="97"/>
      <c r="C458" s="98"/>
      <c r="D458" s="98"/>
      <c r="E458" s="97"/>
      <c r="F458" s="98"/>
      <c r="G458" s="97"/>
      <c r="H458" s="97"/>
      <c r="I458" s="196"/>
      <c r="J458" s="196"/>
    </row>
    <row r="459" s="96" customFormat="true" ht="15.75" hidden="false" customHeight="true" outlineLevel="0" collapsed="false">
      <c r="A459" s="97"/>
      <c r="D459" s="98"/>
      <c r="E459" s="97"/>
      <c r="F459" s="97"/>
      <c r="G459" s="97"/>
      <c r="H459" s="97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195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96" customFormat="true" ht="15" hidden="false" customHeight="true" outlineLevel="0" collapsed="false">
      <c r="A477" s="97"/>
      <c r="D477" s="98"/>
      <c r="E477" s="97"/>
      <c r="F477" s="97"/>
      <c r="G477" s="97"/>
      <c r="H477" s="97"/>
      <c r="I477" s="196"/>
      <c r="J477" s="196"/>
    </row>
    <row r="478" s="202" customFormat="true" ht="15.75" hidden="false" customHeight="true" outlineLevel="0" collapsed="false">
      <c r="A478" s="97"/>
      <c r="B478" s="96"/>
      <c r="C478" s="96"/>
      <c r="D478" s="98"/>
      <c r="E478" s="97"/>
      <c r="F478" s="97"/>
      <c r="G478" s="97"/>
      <c r="H478" s="97"/>
      <c r="I478" s="97"/>
      <c r="J478" s="97"/>
    </row>
    <row r="479" s="96" customFormat="true" ht="15.75" hidden="false" customHeight="true" outlineLevel="0" collapsed="false">
      <c r="A479" s="191"/>
      <c r="D479" s="98"/>
      <c r="E479" s="97"/>
      <c r="F479" s="97"/>
      <c r="G479" s="97"/>
      <c r="H479" s="97"/>
      <c r="I479" s="191"/>
      <c r="J479" s="199"/>
    </row>
    <row r="480" s="96" customFormat="true" ht="15.75" hidden="false" customHeight="true" outlineLevel="0" collapsed="false">
      <c r="A480" s="190"/>
      <c r="B480" s="191"/>
      <c r="C480" s="191"/>
      <c r="D480" s="192"/>
      <c r="E480" s="191"/>
      <c r="F480" s="191"/>
      <c r="G480" s="191"/>
      <c r="H480" s="191"/>
      <c r="I480" s="189"/>
      <c r="J480" s="190"/>
    </row>
    <row r="481" s="96" customFormat="true" ht="15.75" hidden="false" customHeight="true" outlineLevel="0" collapsed="false">
      <c r="A481" s="200"/>
      <c r="B481" s="190"/>
      <c r="C481" s="191"/>
      <c r="D481" s="194"/>
      <c r="E481" s="190"/>
      <c r="F481" s="189"/>
      <c r="G481" s="190"/>
      <c r="H481" s="189"/>
      <c r="I481" s="196"/>
      <c r="J481" s="196"/>
    </row>
    <row r="482" s="96" customFormat="true" ht="15.75" hidden="false" customHeight="true" outlineLevel="0" collapsed="false">
      <c r="A482" s="200"/>
      <c r="C482" s="182"/>
      <c r="D482" s="98"/>
      <c r="E482" s="97"/>
      <c r="F482" s="97"/>
      <c r="G482" s="97"/>
      <c r="H482" s="182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J483" s="97"/>
    </row>
    <row r="484" s="96" customFormat="true" ht="15.75" hidden="false" customHeight="true" outlineLevel="0" collapsed="false">
      <c r="A484" s="200"/>
      <c r="C484" s="98"/>
      <c r="D484" s="98"/>
      <c r="E484" s="97"/>
      <c r="F484" s="97"/>
      <c r="G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C488" s="98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G495" s="97"/>
      <c r="H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97"/>
      <c r="I499" s="196"/>
      <c r="J499" s="196"/>
    </row>
    <row r="500" s="96" customFormat="true" ht="15.75" hidden="false" customHeight="true" outlineLevel="0" collapsed="false">
      <c r="A500" s="200"/>
      <c r="D500" s="98"/>
      <c r="E500" s="97"/>
      <c r="F500" s="97"/>
      <c r="G500" s="97"/>
      <c r="H500" s="182"/>
      <c r="J500" s="97"/>
    </row>
    <row r="501" s="96" customFormat="true" ht="15.75" hidden="false" customHeight="true" outlineLevel="0" collapsed="false">
      <c r="A501" s="200"/>
      <c r="C501" s="188"/>
      <c r="D501" s="98"/>
      <c r="E501" s="97"/>
      <c r="F501" s="97"/>
      <c r="G501" s="97"/>
      <c r="J501" s="97"/>
    </row>
    <row r="502" s="96" customFormat="true" ht="15.75" hidden="false" customHeight="true" outlineLevel="0" collapsed="false">
      <c r="A502" s="200"/>
      <c r="D502" s="98"/>
      <c r="E502" s="97"/>
      <c r="F502" s="97"/>
      <c r="G502" s="97"/>
      <c r="I502" s="196"/>
      <c r="J502" s="196"/>
    </row>
    <row r="503" s="96" customFormat="true" ht="15.75" hidden="false" customHeight="true" outlineLevel="0" collapsed="false">
      <c r="A503" s="200"/>
      <c r="C503" s="98"/>
      <c r="D503" s="98"/>
      <c r="E503" s="97"/>
      <c r="F503" s="97"/>
      <c r="G503" s="97"/>
      <c r="H503" s="182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J504" s="97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196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212"/>
      <c r="J513" s="195"/>
    </row>
    <row r="514" s="96" customFormat="true" ht="15.75" hidden="false" customHeight="true" outlineLevel="0" collapsed="false">
      <c r="A514" s="191"/>
      <c r="B514" s="191"/>
      <c r="C514" s="191"/>
      <c r="D514" s="192"/>
      <c r="E514" s="191"/>
      <c r="F514" s="191"/>
      <c r="G514" s="191"/>
      <c r="H514" s="191"/>
      <c r="I514" s="191"/>
      <c r="J514" s="199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B516" s="191"/>
      <c r="C516" s="191"/>
      <c r="D516" s="192"/>
      <c r="E516" s="191"/>
      <c r="F516" s="191"/>
      <c r="G516" s="191"/>
      <c r="H516" s="191"/>
    </row>
    <row r="517" s="96" customFormat="true" ht="15.75" hidden="false" customHeight="true" outlineLevel="0" collapsed="false"/>
    <row r="518" s="96" customFormat="true" ht="24.75" hidden="false" customHeight="true" outlineLevel="0" collapsed="false">
      <c r="A518" s="88" t="s">
        <v>482</v>
      </c>
      <c r="B518" s="88"/>
      <c r="C518" s="88"/>
      <c r="D518" s="88"/>
      <c r="E518" s="88"/>
      <c r="F518" s="88"/>
      <c r="G518" s="88"/>
      <c r="H518" s="88"/>
      <c r="I518" s="88"/>
      <c r="J518" s="88"/>
    </row>
    <row r="519" s="96" customFormat="true" ht="34.5" hidden="false" customHeight="true" outlineLevel="0" collapsed="false">
      <c r="A519" s="114" t="s">
        <v>319</v>
      </c>
      <c r="B519" s="115" t="s">
        <v>168</v>
      </c>
      <c r="C519" s="115" t="s">
        <v>168</v>
      </c>
      <c r="D519" s="116" t="s">
        <v>483</v>
      </c>
      <c r="E519" s="115" t="s">
        <v>321</v>
      </c>
      <c r="F519" s="239" t="s">
        <v>484</v>
      </c>
      <c r="G519" s="240"/>
      <c r="H519" s="116" t="s">
        <v>484</v>
      </c>
      <c r="I519" s="116" t="s">
        <v>485</v>
      </c>
      <c r="J519" s="117" t="s">
        <v>323</v>
      </c>
      <c r="N519" s="118" t="s">
        <v>168</v>
      </c>
      <c r="O519" s="118" t="s">
        <v>168</v>
      </c>
    </row>
    <row r="520" s="96" customFormat="true" ht="15.75" hidden="false" customHeight="true" outlineLevel="0" collapsed="false">
      <c r="A520" s="120" t="n">
        <f aca="false">IF(C520="","",1)</f>
        <v>1</v>
      </c>
      <c r="B520" s="121" t="str">
        <f aca="false"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 aca="false">IF($D$127=5,O520,IF($D$127=6,O521,IF($D$127=8,O522,IF($D$127=10,O523,IF($D$127=12,O524,IF($D$127=14,O525,IF($D$127=18,O526,IF($D$127=20,O527,IF($D$127=22,O528,)))))))))</f>
        <v>GLASS thk.6 mm (H) (W)</v>
      </c>
      <c r="D520" s="123" t="n">
        <f aca="false">$J$123-215</f>
        <v>2285</v>
      </c>
      <c r="E520" s="120" t="s">
        <v>486</v>
      </c>
      <c r="F520" s="224" t="s">
        <v>487</v>
      </c>
      <c r="G520" s="224"/>
      <c r="H520" s="120" t="s">
        <v>703</v>
      </c>
      <c r="I520" s="225" t="n">
        <f aca="false">(($J$126-182-(113.25*5))/6)-13</f>
        <v>445.625</v>
      </c>
      <c r="J520" s="226" t="n">
        <f aca="false">$J$120*6</f>
        <v>6</v>
      </c>
      <c r="M520" s="96" t="n">
        <f aca="false">ROW()</f>
        <v>520</v>
      </c>
      <c r="N520" s="62" t="s">
        <v>489</v>
      </c>
      <c r="O520" s="62" t="s">
        <v>490</v>
      </c>
    </row>
    <row r="521" s="96" customFormat="true" ht="15.75" hidden="false" customHeight="true" outlineLevel="0" collapsed="false">
      <c r="A521" s="269"/>
      <c r="B521" s="228"/>
      <c r="C521" s="228"/>
      <c r="D521" s="176"/>
      <c r="E521" s="167"/>
      <c r="F521" s="229"/>
      <c r="G521" s="230"/>
      <c r="H521" s="167"/>
      <c r="I521" s="231"/>
      <c r="J521" s="232"/>
      <c r="M521" s="96" t="n">
        <f aca="false">ROW()</f>
        <v>521</v>
      </c>
      <c r="N521" s="62" t="s">
        <v>491</v>
      </c>
      <c r="O521" s="62" t="s">
        <v>492</v>
      </c>
    </row>
    <row r="522" s="96" customFormat="true" ht="15.75" hidden="false" customHeight="true" outlineLevel="0" collapsed="false">
      <c r="A522" s="269"/>
      <c r="B522" s="228"/>
      <c r="C522" s="228"/>
      <c r="D522" s="176"/>
      <c r="E522" s="167"/>
      <c r="F522" s="229"/>
      <c r="G522" s="230"/>
      <c r="H522" s="167"/>
      <c r="I522" s="231"/>
      <c r="J522" s="232"/>
      <c r="M522" s="96" t="n">
        <f aca="false">ROW()</f>
        <v>522</v>
      </c>
      <c r="N522" s="62" t="s">
        <v>493</v>
      </c>
      <c r="O522" s="62" t="s">
        <v>494</v>
      </c>
    </row>
    <row r="523" s="96" customFormat="true" ht="15.75" hidden="false" customHeight="true" outlineLevel="0" collapsed="false">
      <c r="A523" s="130" t="str">
        <f aca="false">IF(B523="","",+""+1)</f>
        <v/>
      </c>
      <c r="B523" s="131"/>
      <c r="C523" s="131"/>
      <c r="D523" s="132"/>
      <c r="E523" s="130"/>
      <c r="F523" s="233"/>
      <c r="G523" s="270"/>
      <c r="H523" s="130"/>
      <c r="I523" s="142"/>
      <c r="J523" s="133"/>
      <c r="M523" s="96" t="n">
        <f aca="false">ROW()</f>
        <v>523</v>
      </c>
      <c r="N523" s="62" t="s">
        <v>495</v>
      </c>
      <c r="O523" s="62" t="s">
        <v>496</v>
      </c>
    </row>
    <row r="524" s="96" customFormat="true" ht="15.75" hidden="false" customHeight="true" outlineLevel="0" collapsed="false">
      <c r="A524" s="136" t="str">
        <f aca="false">IF(B524="","",+A523+1)</f>
        <v/>
      </c>
      <c r="B524" s="135"/>
      <c r="C524" s="135"/>
      <c r="D524" s="139"/>
      <c r="E524" s="136"/>
      <c r="F524" s="236"/>
      <c r="G524" s="237"/>
      <c r="H524" s="136"/>
      <c r="I524" s="180"/>
      <c r="J524" s="140"/>
      <c r="M524" s="96" t="n">
        <f aca="false">ROW()</f>
        <v>524</v>
      </c>
      <c r="N524" s="62" t="s">
        <v>497</v>
      </c>
      <c r="O524" s="62" t="s">
        <v>498</v>
      </c>
    </row>
    <row r="525" s="96" customFormat="true" ht="15.75" hidden="false" customHeight="true" outlineLevel="0" collapsed="false">
      <c r="A525" s="97"/>
      <c r="D525" s="98"/>
      <c r="E525" s="97"/>
      <c r="F525" s="97"/>
      <c r="G525" s="97"/>
      <c r="H525" s="97"/>
      <c r="I525" s="97"/>
      <c r="J525" s="196"/>
      <c r="M525" s="96" t="n">
        <f aca="false">ROW()</f>
        <v>525</v>
      </c>
      <c r="N525" s="62" t="s">
        <v>499</v>
      </c>
      <c r="O525" s="62" t="s">
        <v>500</v>
      </c>
    </row>
    <row r="526" customFormat="false" ht="14.25" hidden="false" customHeight="false" outlineLevel="0" collapsed="false">
      <c r="J526" s="92" t="str">
        <f aca="false">LEFT($J$111,11)&amp;"-05"</f>
        <v>FG-240-6P6R-05</v>
      </c>
      <c r="M526" s="96" t="n">
        <f aca="false">ROW()</f>
        <v>526</v>
      </c>
      <c r="N526" s="62" t="s">
        <v>501</v>
      </c>
      <c r="O526" s="62" t="s">
        <v>502</v>
      </c>
      <c r="P526" s="96"/>
      <c r="Q526" s="96"/>
      <c r="R526" s="96"/>
      <c r="S526" s="96"/>
      <c r="T526" s="96"/>
      <c r="U526" s="96"/>
    </row>
    <row r="527" customFormat="false" ht="14.25" hidden="false" customHeight="false" outlineLevel="0" collapsed="false">
      <c r="M527" s="96" t="n">
        <f aca="false">ROW()</f>
        <v>527</v>
      </c>
      <c r="N527" s="62" t="s">
        <v>503</v>
      </c>
      <c r="O527" s="62" t="s">
        <v>504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505</v>
      </c>
      <c r="O528" s="62" t="s">
        <v>506</v>
      </c>
    </row>
  </sheetData>
  <mergeCells count="44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6"/>
    <mergeCell ref="H163:H166"/>
    <mergeCell ref="I166:J167"/>
    <mergeCell ref="D167:D168"/>
    <mergeCell ref="H167:H168"/>
    <mergeCell ref="I168:J168"/>
    <mergeCell ref="A169:J169"/>
    <mergeCell ref="A212:J212"/>
    <mergeCell ref="C309:E309"/>
    <mergeCell ref="A319:J319"/>
    <mergeCell ref="F329:G329"/>
    <mergeCell ref="F330:G330"/>
    <mergeCell ref="F335:G335"/>
    <mergeCell ref="A426:J426"/>
    <mergeCell ref="A518:J518"/>
    <mergeCell ref="F520:G520"/>
  </mergeCells>
  <dataValidations count="4">
    <dataValidation allowBlank="true" errorStyle="stop" operator="between" showDropDown="false" showErrorMessage="true" showInputMessage="true" sqref="D127:G127" type="list">
      <formula1>$N$120:$N$128</formula1>
      <formula2>0</formula2>
    </dataValidation>
    <dataValidation allowBlank="true" errorStyle="stop" operator="between" showDropDown="false" showErrorMessage="true" showInputMessage="true" sqref="C205" type="list">
      <formula1>$O$171:$O$189</formula1>
      <formula2>0</formula2>
    </dataValidation>
    <dataValidation allowBlank="true" errorStyle="stop" operator="between" showDropDown="false" showErrorMessage="true" showInputMessage="true" sqref="D123:G123" type="list">
      <formula1>$P$119:$P$128</formula1>
      <formula2>0</formula2>
    </dataValidation>
    <dataValidation allowBlank="true" errorStyle="stop" operator="between" showDropDown="false" showErrorMessage="true" showInputMessage="true" sqref="D129:G129" type="list">
      <formula1>$O$120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6" man="true" max="16383" min="0"/>
    <brk id="313" man="true" max="16383" min="0"/>
    <brk id="420" man="true" max="16383" min="0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528"/>
  <sheetViews>
    <sheetView showFormulas="false" showGridLines="false" showRowColHeaders="true" showZeros="true" rightToLeft="false" tabSelected="false" showOutlineSymbols="true" defaultGridColor="true" view="pageBreakPreview" topLeftCell="A130" colorId="64" zoomScale="75" zoomScaleNormal="75" zoomScalePageLayoutView="75" workbookViewId="0">
      <selection pane="topLeft" activeCell="I135" activeCellId="0" sqref="I135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11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6.67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0.44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707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>
      <c r="G55" s="91"/>
    </row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708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8" hidden="false" customHeight="true" outlineLevel="0" collapsed="false">
      <c r="A118" s="97"/>
      <c r="C118" s="81"/>
      <c r="D118" s="98"/>
      <c r="E118" s="83"/>
      <c r="J118" s="99"/>
      <c r="K118" s="83"/>
      <c r="N118" s="258" t="s">
        <v>288</v>
      </c>
      <c r="O118" s="97" t="s">
        <v>289</v>
      </c>
      <c r="P118" s="102" t="s">
        <v>290</v>
      </c>
    </row>
    <row r="119" s="96" customFormat="true" ht="15" hidden="false" customHeight="true" outlineLevel="0" collapsed="false">
      <c r="A119" s="97"/>
      <c r="C119" s="100" t="s">
        <v>286</v>
      </c>
      <c r="D119" s="101"/>
      <c r="E119" s="101"/>
      <c r="F119" s="101"/>
      <c r="G119" s="101"/>
      <c r="I119" s="83"/>
      <c r="J119" s="97"/>
      <c r="N119" s="259" t="n">
        <v>5</v>
      </c>
      <c r="O119" s="97" t="s">
        <v>509</v>
      </c>
      <c r="P119" s="106" t="s">
        <v>294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6</v>
      </c>
      <c r="O120" s="97" t="s">
        <v>296</v>
      </c>
      <c r="P120" s="106" t="s">
        <v>297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8</v>
      </c>
      <c r="P121" s="106" t="s">
        <v>299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10</v>
      </c>
      <c r="P122" s="106" t="s">
        <v>303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2000</v>
      </c>
      <c r="N123" s="259" t="n">
        <v>12</v>
      </c>
      <c r="P123" s="106" t="s">
        <v>305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14</v>
      </c>
      <c r="P124" s="106" t="s">
        <v>308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18</v>
      </c>
      <c r="P125" s="106" t="s">
        <v>311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2000</v>
      </c>
      <c r="K126" s="110"/>
      <c r="L126" s="110"/>
      <c r="N126" s="259" t="n">
        <v>20</v>
      </c>
      <c r="P126" s="106" t="s">
        <v>313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5</v>
      </c>
      <c r="E127" s="111"/>
      <c r="F127" s="111"/>
      <c r="G127" s="111"/>
      <c r="H127" s="104"/>
      <c r="I127" s="104"/>
      <c r="J127" s="105"/>
      <c r="N127" s="259" t="n">
        <v>22</v>
      </c>
      <c r="P127" s="106" t="s">
        <v>315</v>
      </c>
    </row>
    <row r="128" s="96" customFormat="true" ht="18.75" hidden="false" customHeight="true" outlineLevel="0" collapsed="false">
      <c r="C128" s="108" t="s">
        <v>314</v>
      </c>
      <c r="I128" s="97"/>
      <c r="J128" s="97"/>
    </row>
    <row r="129" s="96" customFormat="true" ht="15" hidden="false" customHeight="true" outlineLevel="0" collapsed="false">
      <c r="A129" s="89" t="str">
        <f aca="false">A18</f>
        <v>240-7 Panel (1L6R)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1940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14</v>
      </c>
      <c r="U133" s="127" t="s">
        <v>709</v>
      </c>
      <c r="V133" s="128" t="n">
        <f aca="false">($J$126-185-(113.25*6))/7</f>
        <v>162.214285714286</v>
      </c>
      <c r="W133" s="129" t="n">
        <f aca="false">$J$120*T133</f>
        <v>14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1914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14</v>
      </c>
      <c r="U134" s="130" t="s">
        <v>709</v>
      </c>
      <c r="V134" s="142" t="n">
        <f aca="false">($J$126-185-(113.25*6))/7</f>
        <v>162.214285714286</v>
      </c>
      <c r="W134" s="134" t="n">
        <f aca="false">$J$120*T134</f>
        <v>14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1940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14</v>
      </c>
      <c r="U135" s="136" t="s">
        <v>709</v>
      </c>
      <c r="V135" s="180" t="n">
        <f aca="false">($J$126-185-(113.25*6))/7</f>
        <v>162.214285714286</v>
      </c>
      <c r="W135" s="137" t="n">
        <f aca="false">$J$120*T135</f>
        <v>14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1940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14</v>
      </c>
      <c r="U136" s="127" t="s">
        <v>360</v>
      </c>
      <c r="V136" s="138" t="n">
        <f aca="false">$J$123-242</f>
        <v>1758</v>
      </c>
      <c r="W136" s="129" t="n">
        <f aca="false">$J$120*T136</f>
        <v>14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2000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14</v>
      </c>
      <c r="U137" s="130" t="s">
        <v>360</v>
      </c>
      <c r="V137" s="133" t="n">
        <f aca="false">$J$123-242</f>
        <v>1758</v>
      </c>
      <c r="W137" s="134" t="n">
        <f aca="false">$J$120*T137</f>
        <v>14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2000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14</v>
      </c>
      <c r="U138" s="136" t="s">
        <v>360</v>
      </c>
      <c r="V138" s="140" t="n">
        <f aca="false">$J$123-242</f>
        <v>1758</v>
      </c>
      <c r="W138" s="137" t="n">
        <f aca="false">$J$120*T138</f>
        <v>14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1904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1904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7</v>
      </c>
      <c r="H141" s="130" t="s">
        <v>710</v>
      </c>
      <c r="I141" s="141" t="n">
        <f aca="false">($J$126-60-(7+1)*4)/7</f>
        <v>272.571428571429</v>
      </c>
      <c r="J141" s="134" t="n">
        <f aca="false">$J$120*G141</f>
        <v>7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7</v>
      </c>
      <c r="H142" s="130" t="s">
        <v>710</v>
      </c>
      <c r="I142" s="141" t="n">
        <f aca="false">($J$126-60-(7+1)*4)/7</f>
        <v>272.571428571429</v>
      </c>
      <c r="J142" s="134" t="n">
        <f aca="false">$J$120*G142</f>
        <v>7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10</v>
      </c>
      <c r="H143" s="130" t="s">
        <v>389</v>
      </c>
      <c r="I143" s="133" t="n">
        <f aca="false">$J$123-92</f>
        <v>1908</v>
      </c>
      <c r="J143" s="134" t="n">
        <f aca="false">$J$120*G143</f>
        <v>10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563</v>
      </c>
      <c r="G144" s="130" t="n">
        <v>3</v>
      </c>
      <c r="H144" s="130" t="s">
        <v>389</v>
      </c>
      <c r="I144" s="133" t="n">
        <f aca="false">$J$123-92</f>
        <v>1908</v>
      </c>
      <c r="J144" s="134" t="n">
        <f aca="false">$J$120*G144</f>
        <v>3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531</v>
      </c>
      <c r="C145" s="131" t="s">
        <v>532</v>
      </c>
      <c r="D145" s="132" t="s">
        <v>74</v>
      </c>
      <c r="E145" s="130" t="n">
        <v>1.106</v>
      </c>
      <c r="F145" s="132" t="s">
        <v>533</v>
      </c>
      <c r="G145" s="130" t="n">
        <v>1</v>
      </c>
      <c r="H145" s="130" t="s">
        <v>389</v>
      </c>
      <c r="I145" s="133" t="n">
        <f aca="false">$J$123-92</f>
        <v>1908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6" s="131" t="str">
        <f aca="false">IF($D$127=5,Q133,IF($D$127=6,Q133,IF($D$127=8,Q134,IF($D$127=10,Q134,IF($D$127=12,Q134,IF($D$127=14,Q135,IF($D$127=18,Q135,IF($D$127=20,Q135,IF($D$127=22,Q135,)))))))))</f>
        <v>B24008</v>
      </c>
      <c r="E146" s="131" t="n">
        <f aca="false">IF($D$127=5,R133,IF($D$127=6,R133,IF($D$127=8,R134,IF($D$127=10,R134,IF($D$127=12,R134,IF($D$127=14,R135,IF($D$127=18,R135,IF($D$127=20,R135,IF($D$127=22,R135,)))))))))</f>
        <v>0.231</v>
      </c>
      <c r="F146" s="131" t="str">
        <f aca="false">IF($D$127=5,S133,IF($D$127=6,S133,IF($D$127=8,S134,IF($D$127=10,S134,IF($D$127=12,S134,IF($D$127=14,S135,IF($D$127=18,S135,IF($D$127=20,S135,IF($D$127=22,S135,)))))))))</f>
        <v>B24008-001</v>
      </c>
      <c r="G146" s="130" t="n">
        <f aca="false">IF($D$127=5,T133,IF($D$127=6,T133,IF($D$127=8,T134,IF($D$127=10,T134,IF($D$127=12,T134,IF($D$127=14,T135,IF($D$127=18,T135,IF($D$127=20,T135,IF($D$127=22,T135,)))))))))</f>
        <v>14</v>
      </c>
      <c r="H146" s="130" t="str">
        <f aca="false">IF($D$127=5,U133,IF($D$127=6,U133,IF($D$127=8,U134,IF($D$127=10,U134,IF($D$127=12,U134,IF($D$127=14,U135,IF($D$127=18,U135,IF($D$127=20,U135,IF($D$127=22,U135,)))))))))</f>
        <v>(W-185-(113.25 × 6))/7</v>
      </c>
      <c r="I146" s="141" t="n">
        <f aca="false">IF($D$127=5,V133,IF($D$127=6,V133,IF($D$127=8,V134,IF($D$127=10,V134,IF($D$127=12,V134,IF($D$127=14,V135,IF($D$127=18,V135,IF($D$127=20,V135,IF($D$127=22,V135,)))))))))</f>
        <v>162.214285714286</v>
      </c>
      <c r="J146" s="134" t="n">
        <f aca="false">$J$120*G146</f>
        <v>14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7" s="131" t="str">
        <f aca="false">IF($D$127=5,Q136,IF($D$127=6,Q136,IF($D$127=8,Q137,IF($D$127=10,Q137,IF($D$127=12,Q137,IF($D$127=14,Q138,IF($D$127=18,Q138,IF($D$127=20,Q138,IF($D$127=22,Q138,)))))))))</f>
        <v>B24008</v>
      </c>
      <c r="E147" s="131" t="n">
        <f aca="false">IF($D$127=5,R136,IF($D$127=6,R136,IF($D$127=8,R137,IF($D$127=10,R137,IF($D$127=12,R137,IF($D$127=14,R138,IF($D$127=18,R138,IF($D$127=20,R138,IF($D$127=22,R138,)))))))))</f>
        <v>0.231</v>
      </c>
      <c r="F147" s="131" t="str">
        <f aca="false">IF($D$127=5,S136,IF($D$127=6,S136,IF($D$127=8,S137,IF($D$127=10,S137,IF($D$127=12,S137,IF($D$127=14,S138,IF($D$127=18,S138,IF($D$127=20,S138,IF($D$127=22,S138,)))))))))</f>
        <v>B24008-002</v>
      </c>
      <c r="G147" s="130" t="n">
        <f aca="false">IF($D$127=5,T136,IF($D$127=6,T136,IF($D$127=8,T137,IF($D$127=10,T137,IF($D$127=12,T137,IF($D$127=14,T138,IF($D$127=18,T138,IF($D$127=20,T138,IF($D$127=22,T138,)))))))))</f>
        <v>14</v>
      </c>
      <c r="H147" s="130" t="str">
        <f aca="false">IF($D$127=5,U136,IF($D$127=6,U136,IF($D$127=8,U137,IF($D$127=10,U137,IF($D$127=12,U137,IF($D$127=14,U138,IF($D$127=18,U138,IF($D$127=20,U138,IF($D$127=22,U138,)))))))))</f>
        <v>H-242</v>
      </c>
      <c r="I147" s="133" t="n">
        <f aca="false">IF($D$127=5,V136,IF($D$127=6,V136,IF($D$127=8,V137,IF($D$127=10,V137,IF($D$127=12,V137,IF($D$127=14,V138,IF($D$127=18,V138,IF($D$127=20,V138,IF($D$127=22,V138,)))))))))</f>
        <v>1758</v>
      </c>
      <c r="J147" s="134" t="n">
        <f aca="false">$J$120*G147</f>
        <v>14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">
        <v>534</v>
      </c>
      <c r="C148" s="131" t="s">
        <v>535</v>
      </c>
      <c r="D148" s="132" t="s">
        <v>536</v>
      </c>
      <c r="E148" s="130"/>
      <c r="F148" s="132" t="s">
        <v>537</v>
      </c>
      <c r="G148" s="130" t="n">
        <v>1</v>
      </c>
      <c r="H148" s="130" t="s">
        <v>389</v>
      </c>
      <c r="I148" s="133" t="n">
        <f aca="false">$J$123-92</f>
        <v>1908</v>
      </c>
      <c r="J148" s="134" t="n">
        <f aca="false">$J$120*G148</f>
        <v>1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535</v>
      </c>
      <c r="D149" s="132" t="s">
        <v>536</v>
      </c>
      <c r="E149" s="130"/>
      <c r="F149" s="132" t="s">
        <v>539</v>
      </c>
      <c r="G149" s="130" t="n">
        <v>1</v>
      </c>
      <c r="H149" s="130" t="s">
        <v>389</v>
      </c>
      <c r="I149" s="133" t="n">
        <f aca="false">$J$123-92</f>
        <v>1908</v>
      </c>
      <c r="J149" s="134" t="n">
        <f aca="false">$J$120*G149</f>
        <v>1</v>
      </c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33"/>
      <c r="J150" s="134"/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33"/>
      <c r="J151" s="134"/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1940</v>
      </c>
      <c r="G155" s="155" t="n">
        <f aca="false">VLOOKUP(C155,$C$133:$J$153,8,0)</f>
        <v>1</v>
      </c>
      <c r="H155" s="264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VLOOKUP(C156,$C$133:$I$153,7,0)</f>
        <v>1914</v>
      </c>
      <c r="G156" s="155" t="n">
        <f aca="false">VLOOKUP(C156,$C$133:$J$153,8,0)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VLOOKUP(C157,$C$133:$I$153,7,0)</f>
        <v>1940</v>
      </c>
      <c r="G157" s="155" t="n">
        <f aca="false">VLOOKUP(C157,$C$133:$J$153,8,0)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VLOOKUP(C158,$C$133:$I$153,7,0)</f>
        <v>1940</v>
      </c>
      <c r="G158" s="155" t="n">
        <f aca="false">VLOOKUP(C158,$C$133:$J$153,8,0)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VLOOKUP(C159,$C$133:$I$153,7,0)</f>
        <v>2000</v>
      </c>
      <c r="G159" s="155" t="n">
        <f aca="false">VLOOKUP(C159,$C$133:$J$153,8,0)</f>
        <v>1</v>
      </c>
      <c r="H159" s="160" t="n">
        <f aca="false">ROUNDUP(((F159*G159)+(F160*G160))/6400,0)</f>
        <v>1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VLOOKUP(C160,$C$133:$I$153,7,0)</f>
        <v>2000</v>
      </c>
      <c r="G160" s="155" t="n">
        <f aca="false">VLOOKUP(C160,$C$133:$J$153,8,0)</f>
        <v>1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VLOOKUP(C161,$C$133:$I$153,7,0)</f>
        <v>1904</v>
      </c>
      <c r="G161" s="155" t="n">
        <f aca="false">VLOOKUP(C161,$C$133:$J$153,8,0)</f>
        <v>1</v>
      </c>
      <c r="H161" s="160" t="n">
        <f aca="false">ROUNDUP(((F161*G161)+(F162*G162))/6400,0)</f>
        <v>1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155" t="n">
        <f aca="false">VLOOKUP(C162,$C$133:$H$153,3,0)</f>
        <v>0.235</v>
      </c>
      <c r="F162" s="263" t="n">
        <f aca="false">VLOOKUP(C162,$C$133:$I$153,7,0)</f>
        <v>1904</v>
      </c>
      <c r="G162" s="155" t="n">
        <f aca="false">VLOOKUP(C162,$C$133:$J$153,8,0)</f>
        <v>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155" t="n">
        <f aca="false">VLOOKUP(C163,$C$133:$H$153,3,0)</f>
        <v>1.106</v>
      </c>
      <c r="F163" s="267" t="n">
        <f aca="false">VLOOKUP(C163,$C$133:$I$153,7,0)</f>
        <v>272.571428571429</v>
      </c>
      <c r="G163" s="155" t="n">
        <f aca="false">VLOOKUP(C163,$C$133:$J$153,8,0)</f>
        <v>7</v>
      </c>
      <c r="H163" s="160" t="n">
        <f aca="false">ROUNDUP(((F163*G163)+(F164*G164)+(F165*G165)+(F166*G166)+(F167*G167))/6400,0)</f>
        <v>5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155" t="n">
        <f aca="false">VLOOKUP(C164,$C$133:$H$153,3,0)</f>
        <v>1.106</v>
      </c>
      <c r="F164" s="267" t="n">
        <f aca="false">VLOOKUP(C164,$C$133:$I$153,7,0)</f>
        <v>272.571428571429</v>
      </c>
      <c r="G164" s="155" t="n">
        <f aca="false">VLOOKUP(C164,$C$133:$J$153,8,0)</f>
        <v>7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155" t="n">
        <f aca="false">VLOOKUP(C165,$C$133:$H$153,3,0)</f>
        <v>1.106</v>
      </c>
      <c r="F165" s="263" t="n">
        <f aca="false">VLOOKUP(C165,$C$133:$I$153,7,0)</f>
        <v>1908</v>
      </c>
      <c r="G165" s="155" t="n">
        <f aca="false">VLOOKUP(C165,$C$133:$J$153,8,0)</f>
        <v>10</v>
      </c>
      <c r="H165" s="160"/>
      <c r="I165" s="161"/>
      <c r="J165" s="161"/>
    </row>
    <row r="166" s="96" customFormat="true" ht="13.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155" t="n">
        <f aca="false">VLOOKUP(C166,$C$133:$H$153,3,0)</f>
        <v>1.106</v>
      </c>
      <c r="F166" s="263" t="n">
        <f aca="false">VLOOKUP(C166,$C$133:$I$153,7,0)</f>
        <v>1908</v>
      </c>
      <c r="G166" s="155" t="n">
        <f aca="false">VLOOKUP(C166,$C$133:$J$153,8,0)</f>
        <v>3</v>
      </c>
      <c r="H166" s="160"/>
      <c r="I166" s="161"/>
      <c r="J166" s="161"/>
    </row>
    <row r="167" s="96" customFormat="true" ht="15" hidden="false" customHeight="true" outlineLevel="1" collapsed="false">
      <c r="A167" s="158" t="n">
        <f aca="false">IF(B167="","",+A166+1)</f>
        <v>13</v>
      </c>
      <c r="B167" s="153" t="str">
        <f aca="false">B145</f>
        <v>เสากุญแจมือจับ</v>
      </c>
      <c r="C167" s="153" t="str">
        <f aca="false">C145</f>
        <v>SASH (Ver) LOCK HANDLE</v>
      </c>
      <c r="D167" s="159"/>
      <c r="E167" s="155" t="n">
        <f aca="false">VLOOKUP(C167,$C$133:$H$153,3,0)</f>
        <v>1.106</v>
      </c>
      <c r="F167" s="263" t="n">
        <f aca="false">VLOOKUP(C167,$C$133:$I$153,7,0)</f>
        <v>1908</v>
      </c>
      <c r="G167" s="155" t="n">
        <f aca="false">VLOOKUP(C167,$C$133:$J$153,8,0)</f>
        <v>1</v>
      </c>
      <c r="H167" s="160"/>
      <c r="I167" s="161"/>
      <c r="J167" s="161"/>
    </row>
    <row r="168" s="96" customFormat="true" ht="13.5" hidden="false" customHeight="true" outlineLevel="1" collapsed="false">
      <c r="A168" s="158" t="n">
        <f aca="false">IF(B168="","",+A167+1)</f>
        <v>14</v>
      </c>
      <c r="B168" s="153" t="str">
        <f aca="false">B146</f>
        <v>5-6mm คิ้วตบกระจกแนวนอน</v>
      </c>
      <c r="C168" s="153" t="str">
        <f aca="false">C146</f>
        <v>5-6mm GLAZING BEAD HORIZONTAL</v>
      </c>
      <c r="D168" s="159" t="str">
        <f aca="false">VLOOKUP(C168,$C$133:$H$153,2,0)</f>
        <v>B24008</v>
      </c>
      <c r="E168" s="155" t="n">
        <f aca="false">VLOOKUP(C168,$C$133:$H$153,3,0)</f>
        <v>0.231</v>
      </c>
      <c r="F168" s="267" t="n">
        <f aca="false">VLOOKUP(C168,$C$133:$I$153,7,0)</f>
        <v>162.214285714286</v>
      </c>
      <c r="G168" s="155" t="n">
        <f aca="false">VLOOKUP(C168,$C$133:$J$153,8,0)</f>
        <v>14</v>
      </c>
      <c r="H168" s="160" t="n">
        <f aca="false">ROUNDUP(((F168*G168)+(F169*G169))/6400,0)</f>
        <v>5</v>
      </c>
      <c r="I168" s="265"/>
      <c r="J168" s="265"/>
    </row>
    <row r="169" s="96" customFormat="true" ht="15" hidden="false" customHeight="true" outlineLevel="1" collapsed="false">
      <c r="A169" s="158" t="n">
        <f aca="false">IF(B169="","",+A168+1)</f>
        <v>15</v>
      </c>
      <c r="B169" s="153" t="str">
        <f aca="false">B147</f>
        <v>5-6mm คิ้วตบกระจกแนวตั้ง</v>
      </c>
      <c r="C169" s="153" t="str">
        <f aca="false">C147</f>
        <v>5-6mm GLAZING BEAD VERTICAL</v>
      </c>
      <c r="D169" s="159"/>
      <c r="E169" s="155" t="n">
        <f aca="false">VLOOKUP(C169,$C$133:$H$153,3,0)</f>
        <v>0.231</v>
      </c>
      <c r="F169" s="263" t="n">
        <f aca="false">VLOOKUP(C169,$C$133:$I$153,7,0)</f>
        <v>1758</v>
      </c>
      <c r="G169" s="155" t="n">
        <f aca="false">VLOOKUP(C169,$C$133:$J$153,8,0)</f>
        <v>14</v>
      </c>
      <c r="H169" s="160"/>
      <c r="I169" s="196"/>
      <c r="J169" s="196"/>
    </row>
    <row r="170" s="96" customFormat="true" ht="13.5" hidden="false" customHeight="true" outlineLevel="1" collapsed="false">
      <c r="A170" s="158" t="n">
        <f aca="false">IF(B170="","",+A169+1)</f>
        <v>16</v>
      </c>
      <c r="B170" s="153" t="str">
        <f aca="false">B148</f>
        <v>บังใบ</v>
      </c>
      <c r="C170" s="153" t="str">
        <f aca="false">C148</f>
        <v>SASH STOP</v>
      </c>
      <c r="D170" s="163" t="str">
        <f aca="false">VLOOKUP(C170,$C$133:$H$153,2,0)</f>
        <v>B24009</v>
      </c>
      <c r="E170" s="155" t="n">
        <f aca="false">VLOOKUP(C170,$C$133:$H$153,3,0)</f>
        <v>0</v>
      </c>
      <c r="F170" s="263" t="n">
        <f aca="false">VLOOKUP(C170,$C$133:$I$153,7,0)</f>
        <v>1908</v>
      </c>
      <c r="G170" s="155" t="n">
        <f aca="false">VLOOKUP(C170,$C$133:$J$153,8,0)</f>
        <v>1</v>
      </c>
      <c r="H170" s="160" t="n">
        <f aca="false">ROUNDUP(((F170*G170)+(F171*G171))/6400,0)</f>
        <v>1</v>
      </c>
      <c r="I170" s="196"/>
      <c r="J170" s="196"/>
    </row>
    <row r="171" s="96" customFormat="true" ht="14.25" hidden="false" customHeight="false" outlineLevel="1" collapsed="false">
      <c r="A171" s="158" t="n">
        <f aca="false">IF(B171="","",+A170+1)</f>
        <v>17</v>
      </c>
      <c r="B171" s="153" t="str">
        <f aca="false">B149</f>
        <v>บังใบ</v>
      </c>
      <c r="C171" s="153" t="str">
        <f aca="false">C149</f>
        <v>SASH STOP</v>
      </c>
      <c r="D171" s="163"/>
      <c r="E171" s="155" t="n">
        <f aca="false">VLOOKUP(C171,$C$133:$H$153,3,0)</f>
        <v>0</v>
      </c>
      <c r="F171" s="263" t="n">
        <f aca="false">VLOOKUP(C171,$C$133:$I$153,7,0)</f>
        <v>1908</v>
      </c>
      <c r="G171" s="155" t="n">
        <f aca="false">VLOOKUP(C171,$C$133:$J$153,8,0)</f>
        <v>1</v>
      </c>
      <c r="H171" s="160"/>
      <c r="I171" s="196"/>
      <c r="J171" s="196"/>
    </row>
    <row r="172" s="96" customFormat="true" ht="24.75" hidden="false" customHeight="true" outlineLevel="0" collapsed="false">
      <c r="A172" s="113" t="s">
        <v>396</v>
      </c>
      <c r="B172" s="113"/>
      <c r="C172" s="113"/>
      <c r="D172" s="113"/>
      <c r="E172" s="113"/>
      <c r="F172" s="113"/>
      <c r="G172" s="113"/>
      <c r="H172" s="113"/>
      <c r="I172" s="113"/>
      <c r="J172" s="113"/>
    </row>
    <row r="173" s="96" customFormat="true" ht="34.5" hidden="false" customHeight="true" outlineLevel="0" collapsed="false">
      <c r="A173" s="114" t="s">
        <v>319</v>
      </c>
      <c r="B173" s="115" t="s">
        <v>320</v>
      </c>
      <c r="C173" s="115" t="s">
        <v>168</v>
      </c>
      <c r="D173" s="115" t="s">
        <v>397</v>
      </c>
      <c r="E173" s="115" t="s">
        <v>321</v>
      </c>
      <c r="F173" s="116" t="s">
        <v>398</v>
      </c>
      <c r="G173" s="115" t="s">
        <v>399</v>
      </c>
      <c r="H173" s="116" t="s">
        <v>400</v>
      </c>
      <c r="I173" s="116" t="s">
        <v>401</v>
      </c>
      <c r="J173" s="117" t="s">
        <v>402</v>
      </c>
      <c r="N173" s="107" t="s">
        <v>288</v>
      </c>
      <c r="O173" s="165" t="s">
        <v>320</v>
      </c>
      <c r="P173" s="165" t="s">
        <v>168</v>
      </c>
      <c r="Q173" s="165" t="s">
        <v>397</v>
      </c>
      <c r="R173" s="165" t="s">
        <v>321</v>
      </c>
      <c r="S173" s="165" t="s">
        <v>398</v>
      </c>
      <c r="T173" s="165" t="s">
        <v>399</v>
      </c>
      <c r="U173" s="165" t="s">
        <v>400</v>
      </c>
      <c r="V173" s="165" t="s">
        <v>401</v>
      </c>
      <c r="W173" s="165" t="s">
        <v>402</v>
      </c>
    </row>
    <row r="174" s="96" customFormat="true" ht="18" hidden="false" customHeight="true" outlineLevel="0" collapsed="false">
      <c r="A174" s="166" t="n">
        <f aca="false">IF(B174="","",1)</f>
        <v>1</v>
      </c>
      <c r="B174" s="131" t="s">
        <v>410</v>
      </c>
      <c r="C174" s="131" t="s">
        <v>411</v>
      </c>
      <c r="D174" s="132" t="s">
        <v>267</v>
      </c>
      <c r="E174" s="130"/>
      <c r="F174" s="130" t="s">
        <v>267</v>
      </c>
      <c r="G174" s="130" t="s">
        <v>405</v>
      </c>
      <c r="H174" s="130" t="n">
        <v>14</v>
      </c>
      <c r="I174" s="133"/>
      <c r="J174" s="134" t="n">
        <f aca="false">$J$120*H174</f>
        <v>14</v>
      </c>
      <c r="N174" s="107" t="s">
        <v>406</v>
      </c>
      <c r="O174" s="55" t="s">
        <v>407</v>
      </c>
      <c r="P174" s="62" t="s">
        <v>408</v>
      </c>
      <c r="Q174" s="55" t="s">
        <v>227</v>
      </c>
      <c r="R174" s="158"/>
      <c r="S174" s="158" t="s">
        <v>227</v>
      </c>
      <c r="T174" s="158" t="s">
        <v>409</v>
      </c>
      <c r="U174" s="168" t="n">
        <f aca="false">((($I$141*$G$141)+($I$142*$G$142)+($I$143*$G$143)+($I$144*$G$144)+($I$145*$G$145))/1000)*$J$120</f>
        <v>30.528</v>
      </c>
      <c r="V174" s="168" t="n">
        <v>100</v>
      </c>
      <c r="W174" s="169" t="str">
        <f aca="false">IFERROR(ROUNDUP(("")/100,0),"")</f>
        <v/>
      </c>
    </row>
    <row r="175" s="96" customFormat="true" ht="18" hidden="false" customHeight="true" outlineLevel="0" collapsed="false">
      <c r="A175" s="170" t="n">
        <f aca="false">IF(B175="","",+A174+1)</f>
        <v>2</v>
      </c>
      <c r="B175" s="131" t="s">
        <v>415</v>
      </c>
      <c r="C175" s="131" t="s">
        <v>416</v>
      </c>
      <c r="D175" s="132" t="s">
        <v>222</v>
      </c>
      <c r="E175" s="130"/>
      <c r="F175" s="130" t="s">
        <v>222</v>
      </c>
      <c r="G175" s="130" t="s">
        <v>405</v>
      </c>
      <c r="H175" s="130" t="n">
        <v>2</v>
      </c>
      <c r="I175" s="133"/>
      <c r="J175" s="134" t="n">
        <f aca="false">$J$120*H175</f>
        <v>2</v>
      </c>
      <c r="N175" s="107" t="s">
        <v>412</v>
      </c>
      <c r="O175" s="55" t="s">
        <v>413</v>
      </c>
      <c r="P175" s="62" t="s">
        <v>414</v>
      </c>
      <c r="Q175" s="55" t="s">
        <v>234</v>
      </c>
      <c r="R175" s="158"/>
      <c r="S175" s="158" t="s">
        <v>234</v>
      </c>
      <c r="T175" s="158" t="s">
        <v>409</v>
      </c>
      <c r="U175" s="168" t="n">
        <f aca="false">((($I$141*$G$141)+($I$142*$G$142)+($I$143*$G$143)+($I$144*$G$144)+($I$145*$G$145))/1000)*$J$120</f>
        <v>30.528</v>
      </c>
      <c r="V175" s="168" t="n">
        <v>100</v>
      </c>
      <c r="W175" s="169" t="str">
        <f aca="false">IFERROR(ROUNDUP(("")/100,0),"")</f>
        <v/>
      </c>
    </row>
    <row r="176" s="96" customFormat="true" ht="18" hidden="false" customHeight="true" outlineLevel="0" collapsed="false">
      <c r="A176" s="170" t="n">
        <f aca="false">IF(B176="","",+A175+1)</f>
        <v>3</v>
      </c>
      <c r="B176" s="131" t="s">
        <v>420</v>
      </c>
      <c r="C176" s="131" t="s">
        <v>421</v>
      </c>
      <c r="D176" s="132" t="s">
        <v>225</v>
      </c>
      <c r="E176" s="130"/>
      <c r="F176" s="130" t="s">
        <v>225</v>
      </c>
      <c r="G176" s="130" t="s">
        <v>405</v>
      </c>
      <c r="H176" s="130" t="n">
        <v>2</v>
      </c>
      <c r="I176" s="133"/>
      <c r="J176" s="134" t="n">
        <f aca="false">$J$120*H176</f>
        <v>2</v>
      </c>
      <c r="N176" s="107" t="s">
        <v>417</v>
      </c>
      <c r="O176" s="62" t="s">
        <v>418</v>
      </c>
      <c r="P176" s="62" t="s">
        <v>419</v>
      </c>
      <c r="Q176" s="55" t="s">
        <v>236</v>
      </c>
      <c r="R176" s="158"/>
      <c r="S176" s="158" t="s">
        <v>236</v>
      </c>
      <c r="T176" s="158" t="s">
        <v>409</v>
      </c>
      <c r="U176" s="168" t="n">
        <f aca="false">((($I$141*$G$141)+($I$142*$G$142)+($I$143*$G$143)+($I$144*$G$144)+($I$145*$G$145))/1000)*$J$120</f>
        <v>30.528</v>
      </c>
      <c r="V176" s="168" t="n">
        <v>100</v>
      </c>
      <c r="W176" s="169" t="str">
        <f aca="false">IFERROR(ROUNDUP(("")/100,0),"")</f>
        <v/>
      </c>
    </row>
    <row r="177" s="96" customFormat="true" ht="18" hidden="false" customHeight="true" outlineLevel="0" collapsed="false">
      <c r="A177" s="170" t="n">
        <f aca="false">IF(B177="","",+A176+1)</f>
        <v>4</v>
      </c>
      <c r="B177" s="131" t="s">
        <v>425</v>
      </c>
      <c r="C177" s="131" t="s">
        <v>426</v>
      </c>
      <c r="D177" s="132" t="n">
        <v>9</v>
      </c>
      <c r="E177" s="130"/>
      <c r="F177" s="130" t="n">
        <v>9</v>
      </c>
      <c r="G177" s="130" t="s">
        <v>405</v>
      </c>
      <c r="H177" s="130" t="n">
        <v>8</v>
      </c>
      <c r="I177" s="133"/>
      <c r="J177" s="134" t="n">
        <f aca="false">$J$120*H177</f>
        <v>8</v>
      </c>
      <c r="N177" s="107" t="s">
        <v>422</v>
      </c>
      <c r="O177" s="62" t="s">
        <v>423</v>
      </c>
      <c r="P177" s="62" t="s">
        <v>424</v>
      </c>
      <c r="Q177" s="55" t="s">
        <v>238</v>
      </c>
      <c r="R177" s="158"/>
      <c r="S177" s="158" t="s">
        <v>238</v>
      </c>
      <c r="T177" s="158" t="s">
        <v>409</v>
      </c>
      <c r="U177" s="168" t="n">
        <f aca="false">((($I$141*$G$141)+($I$142*$G$142)+($I$143*$G$143)+($I$144*$G$144)+($I$145*$G$145))/1000)*$J$120</f>
        <v>30.528</v>
      </c>
      <c r="V177" s="168" t="n">
        <v>100</v>
      </c>
      <c r="W177" s="169" t="str">
        <f aca="false">IFERROR(ROUNDUP(("")/100,0),"")</f>
        <v/>
      </c>
    </row>
    <row r="178" s="96" customFormat="true" ht="18" hidden="false" customHeight="true" outlineLevel="0" collapsed="false">
      <c r="A178" s="170" t="n">
        <f aca="false">IF(B178="","",+A177+1)</f>
        <v>5</v>
      </c>
      <c r="B178" s="131" t="s">
        <v>430</v>
      </c>
      <c r="C178" s="131" t="s">
        <v>431</v>
      </c>
      <c r="D178" s="132" t="n">
        <v>9</v>
      </c>
      <c r="E178" s="130"/>
      <c r="F178" s="130" t="n">
        <v>9</v>
      </c>
      <c r="G178" s="130" t="s">
        <v>405</v>
      </c>
      <c r="H178" s="130" t="n">
        <v>110</v>
      </c>
      <c r="I178" s="133"/>
      <c r="J178" s="134" t="n">
        <f aca="false">$J$120*H178</f>
        <v>110</v>
      </c>
      <c r="N178" s="107" t="s">
        <v>427</v>
      </c>
      <c r="O178" s="62" t="s">
        <v>428</v>
      </c>
      <c r="P178" s="62" t="s">
        <v>429</v>
      </c>
      <c r="Q178" s="55" t="s">
        <v>240</v>
      </c>
      <c r="R178" s="158"/>
      <c r="S178" s="158" t="s">
        <v>240</v>
      </c>
      <c r="T178" s="158" t="s">
        <v>409</v>
      </c>
      <c r="U178" s="168" t="n">
        <f aca="false">((($I$141*$G$141)+($I$142*$G$142)+($I$143*$G$143)+($I$144*$G$144)+($I$145*$G$145))/1000)*$J$120</f>
        <v>30.528</v>
      </c>
      <c r="V178" s="168" t="n">
        <v>100</v>
      </c>
      <c r="W178" s="169" t="n">
        <f aca="false">ROUNDUP((U178)/100,0)</f>
        <v>1</v>
      </c>
    </row>
    <row r="179" s="96" customFormat="true" ht="18" hidden="false" customHeight="true" outlineLevel="0" collapsed="false">
      <c r="A179" s="170" t="n">
        <f aca="false">IF(B179="","",+A178+1)</f>
        <v>6</v>
      </c>
      <c r="B179" s="131" t="s">
        <v>603</v>
      </c>
      <c r="C179" s="131" t="s">
        <v>438</v>
      </c>
      <c r="D179" s="132" t="s">
        <v>4</v>
      </c>
      <c r="E179" s="130"/>
      <c r="F179" s="130" t="s">
        <v>4</v>
      </c>
      <c r="G179" s="130" t="s">
        <v>434</v>
      </c>
      <c r="H179" s="130" t="n">
        <v>1</v>
      </c>
      <c r="I179" s="133"/>
      <c r="J179" s="134" t="n">
        <f aca="false">$J$120*H179</f>
        <v>1</v>
      </c>
    </row>
    <row r="180" s="96" customFormat="true" ht="18" hidden="false" customHeight="true" outlineLevel="0" collapsed="false">
      <c r="A180" s="170" t="n">
        <f aca="false">IF(B180="","",+A179+1)</f>
        <v>7</v>
      </c>
      <c r="B180" s="131" t="s">
        <v>556</v>
      </c>
      <c r="C180" s="131" t="s">
        <v>557</v>
      </c>
      <c r="D180" s="132" t="s">
        <v>5</v>
      </c>
      <c r="E180" s="130"/>
      <c r="F180" s="130" t="s">
        <v>5</v>
      </c>
      <c r="G180" s="130" t="s">
        <v>434</v>
      </c>
      <c r="H180" s="130" t="n">
        <v>2</v>
      </c>
      <c r="I180" s="133"/>
      <c r="J180" s="134" t="n">
        <f aca="false">$J$120*H180</f>
        <v>2</v>
      </c>
    </row>
    <row r="181" s="96" customFormat="true" ht="18" hidden="false" customHeight="true" outlineLevel="0" collapsed="false">
      <c r="A181" s="170" t="n">
        <f aca="false">IF(B181="","",+A180+1)</f>
        <v>8</v>
      </c>
      <c r="B181" s="131" t="s">
        <v>432</v>
      </c>
      <c r="C181" s="131" t="s">
        <v>433</v>
      </c>
      <c r="D181" s="132" t="s">
        <v>6</v>
      </c>
      <c r="E181" s="130"/>
      <c r="F181" s="130" t="s">
        <v>6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9</v>
      </c>
      <c r="B182" s="131" t="s">
        <v>512</v>
      </c>
      <c r="C182" s="131" t="s">
        <v>513</v>
      </c>
      <c r="D182" s="132" t="s">
        <v>7</v>
      </c>
      <c r="E182" s="130"/>
      <c r="F182" s="130" t="s">
        <v>7</v>
      </c>
      <c r="G182" s="130" t="s">
        <v>434</v>
      </c>
      <c r="H182" s="130" t="n">
        <v>1</v>
      </c>
      <c r="I182" s="133"/>
      <c r="J182" s="134" t="n">
        <f aca="false">$J$120*H182</f>
        <v>1</v>
      </c>
    </row>
    <row r="183" s="96" customFormat="true" ht="18" hidden="false" customHeight="true" outlineLevel="0" collapsed="false">
      <c r="A183" s="170" t="n">
        <f aca="false">IF(B183="","",+A182+1)</f>
        <v>10</v>
      </c>
      <c r="B183" s="131" t="s">
        <v>514</v>
      </c>
      <c r="C183" s="131" t="s">
        <v>515</v>
      </c>
      <c r="D183" s="132" t="s">
        <v>8</v>
      </c>
      <c r="E183" s="130"/>
      <c r="F183" s="130" t="s">
        <v>8</v>
      </c>
      <c r="G183" s="130" t="s">
        <v>434</v>
      </c>
      <c r="H183" s="130" t="n">
        <v>1</v>
      </c>
      <c r="I183" s="133"/>
      <c r="J183" s="134" t="n">
        <f aca="false">$J$120*H183</f>
        <v>1</v>
      </c>
      <c r="Q183" s="172"/>
      <c r="R183" s="172"/>
      <c r="S183" s="172"/>
      <c r="T183" s="97"/>
      <c r="U183" s="97"/>
      <c r="V183" s="97"/>
    </row>
    <row r="184" s="96" customFormat="true" ht="18" hidden="false" customHeight="true" outlineLevel="0" collapsed="false">
      <c r="A184" s="170" t="n">
        <f aca="false">IF(B184="","",+A183+1)</f>
        <v>11</v>
      </c>
      <c r="B184" s="131" t="s">
        <v>554</v>
      </c>
      <c r="C184" s="131" t="s">
        <v>555</v>
      </c>
      <c r="D184" s="132" t="s">
        <v>11</v>
      </c>
      <c r="E184" s="130"/>
      <c r="F184" s="130" t="s">
        <v>11</v>
      </c>
      <c r="G184" s="130" t="s">
        <v>434</v>
      </c>
      <c r="H184" s="130" t="n">
        <v>2</v>
      </c>
      <c r="I184" s="142"/>
      <c r="J184" s="134" t="n">
        <f aca="false">$J$120*H184</f>
        <v>2</v>
      </c>
      <c r="N184" s="107" t="s">
        <v>289</v>
      </c>
      <c r="O184" s="165" t="s">
        <v>320</v>
      </c>
      <c r="P184" s="165" t="s">
        <v>168</v>
      </c>
      <c r="Q184" s="165" t="s">
        <v>397</v>
      </c>
      <c r="R184" s="165" t="s">
        <v>321</v>
      </c>
      <c r="S184" s="165" t="s">
        <v>398</v>
      </c>
      <c r="T184" s="165" t="s">
        <v>399</v>
      </c>
      <c r="U184" s="165" t="s">
        <v>400</v>
      </c>
      <c r="V184" s="165" t="s">
        <v>401</v>
      </c>
      <c r="W184" s="165" t="s">
        <v>402</v>
      </c>
    </row>
    <row r="185" s="96" customFormat="true" ht="18" hidden="false" customHeight="true" outlineLevel="0" collapsed="false">
      <c r="A185" s="170" t="n">
        <f aca="false">IF(B185="","",+A184+1)</f>
        <v>12</v>
      </c>
      <c r="B185" s="131" t="s">
        <v>439</v>
      </c>
      <c r="C185" s="131" t="s">
        <v>440</v>
      </c>
      <c r="D185" s="132" t="s">
        <v>12</v>
      </c>
      <c r="E185" s="130"/>
      <c r="F185" s="130" t="s">
        <v>12</v>
      </c>
      <c r="G185" s="130" t="s">
        <v>434</v>
      </c>
      <c r="H185" s="130" t="n">
        <v>3</v>
      </c>
      <c r="I185" s="142"/>
      <c r="J185" s="134" t="n">
        <f aca="false">$J$120*H185</f>
        <v>3</v>
      </c>
      <c r="N185" s="107" t="s">
        <v>445</v>
      </c>
      <c r="O185" s="62" t="s">
        <v>446</v>
      </c>
      <c r="P185" s="62" t="s">
        <v>447</v>
      </c>
      <c r="Q185" s="55" t="s">
        <v>230</v>
      </c>
      <c r="R185" s="158"/>
      <c r="S185" s="158" t="s">
        <v>230</v>
      </c>
      <c r="T185" s="158" t="s">
        <v>409</v>
      </c>
      <c r="U185" s="168" t="n">
        <f aca="false">((($I$134*$G$134)+($I$136*$G$136)+($I$139*$G$139))/1000)*$J$120</f>
        <v>5.758</v>
      </c>
      <c r="V185" s="168" t="n">
        <v>300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13</v>
      </c>
      <c r="B186" s="131" t="s">
        <v>540</v>
      </c>
      <c r="C186" s="131" t="s">
        <v>541</v>
      </c>
      <c r="D186" s="132" t="s">
        <v>542</v>
      </c>
      <c r="E186" s="130"/>
      <c r="F186" s="130" t="s">
        <v>542</v>
      </c>
      <c r="G186" s="130" t="s">
        <v>434</v>
      </c>
      <c r="H186" s="130" t="n">
        <v>1</v>
      </c>
      <c r="I186" s="133"/>
      <c r="J186" s="134" t="n">
        <f aca="false">$J$120*H186</f>
        <v>1</v>
      </c>
      <c r="N186" s="107" t="s">
        <v>448</v>
      </c>
      <c r="O186" s="62" t="s">
        <v>449</v>
      </c>
      <c r="P186" s="62" t="s">
        <v>450</v>
      </c>
      <c r="Q186" s="55" t="s">
        <v>451</v>
      </c>
      <c r="R186" s="158"/>
      <c r="S186" s="158" t="s">
        <v>451</v>
      </c>
      <c r="T186" s="158" t="s">
        <v>409</v>
      </c>
      <c r="U186" s="168" t="n">
        <f aca="false">((($I$134*$G$134)+($I$136*$G$136)+($I$139*$G$139))/1000)*$J$120</f>
        <v>5.758</v>
      </c>
      <c r="V186" s="168" t="n">
        <v>100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14</v>
      </c>
      <c r="B187" s="131" t="s">
        <v>441</v>
      </c>
      <c r="C187" s="131" t="s">
        <v>442</v>
      </c>
      <c r="D187" s="132" t="s">
        <v>274</v>
      </c>
      <c r="E187" s="130"/>
      <c r="F187" s="130" t="s">
        <v>274</v>
      </c>
      <c r="G187" s="130" t="s">
        <v>405</v>
      </c>
      <c r="H187" s="130" t="n">
        <v>6</v>
      </c>
      <c r="I187" s="133"/>
      <c r="J187" s="134" t="n">
        <f aca="false">$J$120*H187</f>
        <v>6</v>
      </c>
      <c r="N187" s="107" t="s">
        <v>445</v>
      </c>
      <c r="O187" s="62" t="s">
        <v>452</v>
      </c>
      <c r="P187" s="62" t="s">
        <v>453</v>
      </c>
      <c r="Q187" s="55" t="s">
        <v>232</v>
      </c>
      <c r="R187" s="158"/>
      <c r="S187" s="158" t="s">
        <v>232</v>
      </c>
      <c r="T187" s="158" t="s">
        <v>409</v>
      </c>
      <c r="U187" s="168" t="n">
        <f aca="false">((($I$141*$G$141*2)+($I$143*$G$143*2)+(($I$144*($G$144-1))*2))/1000)*$J$120</f>
        <v>49.608</v>
      </c>
      <c r="V187" s="168" t="n">
        <v>350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15</v>
      </c>
      <c r="B188" s="131" t="s">
        <v>443</v>
      </c>
      <c r="C188" s="131" t="s">
        <v>444</v>
      </c>
      <c r="D188" s="132" t="s">
        <v>272</v>
      </c>
      <c r="E188" s="130"/>
      <c r="F188" s="130" t="s">
        <v>272</v>
      </c>
      <c r="G188" s="130" t="s">
        <v>405</v>
      </c>
      <c r="H188" s="130" t="n">
        <v>1</v>
      </c>
      <c r="I188" s="133"/>
      <c r="J188" s="134" t="n">
        <f aca="false">$J$120*H188</f>
        <v>1</v>
      </c>
      <c r="N188" s="107" t="s">
        <v>448</v>
      </c>
      <c r="O188" s="62" t="s">
        <v>454</v>
      </c>
      <c r="P188" s="62" t="s">
        <v>455</v>
      </c>
      <c r="Q188" s="55" t="s">
        <v>456</v>
      </c>
      <c r="R188" s="158"/>
      <c r="S188" s="158" t="s">
        <v>456</v>
      </c>
      <c r="T188" s="158" t="s">
        <v>409</v>
      </c>
      <c r="U188" s="168" t="n">
        <f aca="false">((($I$141*$G$141*2)+($I$143*$G$143*2)+(($I$144*($G$144-1))*2))/1000)*$J$120</f>
        <v>49.608</v>
      </c>
      <c r="V188" s="168" t="n">
        <v>100</v>
      </c>
      <c r="W188" s="169" t="n">
        <f aca="false">ROUNDUP((U188)/V188,0)</f>
        <v>1</v>
      </c>
    </row>
    <row r="189" s="96" customFormat="true" ht="18" hidden="false" customHeight="true" outlineLevel="0" collapsed="false">
      <c r="A189" s="170" t="n">
        <f aca="false">IF(B189="","",+A188+1)</f>
        <v>16</v>
      </c>
      <c r="B189" s="131" t="s">
        <v>403</v>
      </c>
      <c r="C189" s="131" t="s">
        <v>404</v>
      </c>
      <c r="D189" s="132" t="s">
        <v>276</v>
      </c>
      <c r="E189" s="130"/>
      <c r="F189" s="130" t="s">
        <v>276</v>
      </c>
      <c r="G189" s="130" t="s">
        <v>405</v>
      </c>
      <c r="H189" s="130" t="n">
        <v>3</v>
      </c>
      <c r="I189" s="133"/>
      <c r="J189" s="134" t="n">
        <f aca="false">$J$120*H189</f>
        <v>3</v>
      </c>
    </row>
    <row r="190" s="96" customFormat="true" ht="18" hidden="false" customHeight="true" outlineLevel="0" collapsed="false">
      <c r="A190" s="170" t="n">
        <f aca="false">IF(B190="","",+A189+1)</f>
        <v>17</v>
      </c>
      <c r="B190" s="131" t="s">
        <v>580</v>
      </c>
      <c r="C190" s="131" t="s">
        <v>581</v>
      </c>
      <c r="D190" s="132" t="s">
        <v>582</v>
      </c>
      <c r="E190" s="130"/>
      <c r="F190" s="130" t="s">
        <v>582</v>
      </c>
      <c r="G190" s="130" t="s">
        <v>409</v>
      </c>
      <c r="H190" s="173" t="n">
        <f aca="false">((($I$148*$G$148)+($I$149*$G$149))/1000)*$J$120</f>
        <v>3.816</v>
      </c>
      <c r="I190" s="174" t="n">
        <v>100</v>
      </c>
      <c r="J190" s="175" t="n">
        <f aca="false">ROUNDUP((H190)/100,0)</f>
        <v>1</v>
      </c>
    </row>
    <row r="191" s="96" customFormat="true" ht="18" hidden="false" customHeight="true" outlineLevel="0" collapsed="false">
      <c r="A191" s="170" t="n">
        <f aca="false">IF(B191="","",+A190+1)</f>
        <v>18</v>
      </c>
      <c r="B191" s="131" t="s">
        <v>583</v>
      </c>
      <c r="C191" s="131" t="s">
        <v>584</v>
      </c>
      <c r="D191" s="132" t="s">
        <v>585</v>
      </c>
      <c r="E191" s="130"/>
      <c r="F191" s="130" t="s">
        <v>585</v>
      </c>
      <c r="G191" s="130" t="s">
        <v>409</v>
      </c>
      <c r="H191" s="173" t="n">
        <f aca="false">((($I$144*$G$144)+($I$145*$G$145))/1000)*$J$120</f>
        <v>7.632</v>
      </c>
      <c r="I191" s="174" t="n">
        <v>100</v>
      </c>
      <c r="J191" s="175" t="n">
        <f aca="false">ROUNDUP((H191)/100,0)</f>
        <v>1</v>
      </c>
    </row>
    <row r="192" s="96" customFormat="true" ht="18" hidden="false" customHeight="true" outlineLevel="0" collapsed="false">
      <c r="A192" s="170" t="n">
        <f aca="false">IF(B192="","",+A191+1)</f>
        <v>19</v>
      </c>
      <c r="B192" s="132" t="str">
        <f aca="false">IF($D$129="Standard",O185,IF($D$129="Soumdproof",O186,))</f>
        <v>ยางเฟรมกันน้ำ (ธรรมดา)</v>
      </c>
      <c r="C192" s="132" t="str">
        <f aca="false">IF($D$129="Standard",P185,IF($D$129="Soumdproof",P186,))</f>
        <v>FRAME SEAL (Standard)</v>
      </c>
      <c r="D192" s="132" t="str">
        <f aca="false">IF($D$129="Standard",Q185,IF($D$129="Soumdproof",Q186,))</f>
        <v>02-026</v>
      </c>
      <c r="E192" s="132" t="n">
        <f aca="false">IF($D$129="Standard",R185,IF($D$129="Soumdproof",R186,))</f>
        <v>0</v>
      </c>
      <c r="F192" s="130" t="str">
        <f aca="false">IF($D$129="Standard",S185,IF($D$129="Soumdproof",S186,))</f>
        <v>02-026</v>
      </c>
      <c r="G192" s="130" t="str">
        <f aca="false">IF($D$129="Standard",T185,IF($D$129="Soumdproof",T186,))</f>
        <v>M</v>
      </c>
      <c r="H192" s="173" t="n">
        <f aca="false">IF($D$129="Standard",U185,IF($D$129="Soumdproof",U186,))</f>
        <v>5.758</v>
      </c>
      <c r="I192" s="174" t="n">
        <f aca="false">IF($D$129="Standard",V185,IF($D$129="Soumdproof",V186,))</f>
        <v>300</v>
      </c>
      <c r="J192" s="175" t="n">
        <f aca="false">ROUNDUP((H192)/100,0)</f>
        <v>1</v>
      </c>
    </row>
    <row r="193" s="96" customFormat="true" ht="18" hidden="false" customHeight="true" outlineLevel="0" collapsed="false">
      <c r="A193" s="170" t="n">
        <f aca="false">IF(B193="","",+A192+1)</f>
        <v>20</v>
      </c>
      <c r="B193" s="132" t="str">
        <f aca="false">IF($D$129="Standard",O187,IF($D$129="Soumdproof",O188,))</f>
        <v>ยางแซชกันน้ำ (ธรรมดา)</v>
      </c>
      <c r="C193" s="132" t="str">
        <f aca="false">IF($D$129="Standard",P187,IF($D$129="Soumdproof",P188,))</f>
        <v>SASH SEAL FOAM (Standard)</v>
      </c>
      <c r="D193" s="132" t="str">
        <f aca="false">IF($D$129="Standard",Q187,IF($D$129="Soumdproof",Q188,))</f>
        <v>02-031</v>
      </c>
      <c r="E193" s="132" t="n">
        <f aca="false">IF($D$129="Standard",R187,IF($D$129="Soumdproof",R188,))</f>
        <v>0</v>
      </c>
      <c r="F193" s="130" t="str">
        <f aca="false">IF($D$129="Standard",S187,IF($D$129="Soumdproof",S188,))</f>
        <v>02-031</v>
      </c>
      <c r="G193" s="130" t="str">
        <f aca="false">IF($D$129="Standard",T187,IF($D$129="Soumdproof",T188,))</f>
        <v>M</v>
      </c>
      <c r="H193" s="173" t="n">
        <f aca="false">IF($D$129="Standard",U187,IF($D$129="Soumdproof",U188,))</f>
        <v>49.608</v>
      </c>
      <c r="I193" s="174" t="n">
        <f aca="false">IF($D$129="Standard",V187,IF($D$129="Soumdproof",V188,))</f>
        <v>350</v>
      </c>
      <c r="J193" s="175" t="n">
        <f aca="false">ROUNDUP((H193)/100,0)</f>
        <v>1</v>
      </c>
    </row>
    <row r="194" customFormat="false" ht="18" hidden="false" customHeight="true" outlineLevel="0" collapsed="false">
      <c r="A194" s="170" t="n">
        <f aca="false">IF(B194="","",+A193+1)</f>
        <v>21</v>
      </c>
      <c r="B194" s="176" t="str">
        <f aca="false">IF($D$127=5,$O$176,IF($D$127=6,$O$177,IF($D$127=8,$O$178,IF($D$127=10,$O$176,IF($D$127=12,$O$176,IF($D$127=14,$O$178,IF($D$127=18,$O$176,IF($D$127=20,$O$177,IF($D$127=22,"")))))))))</f>
        <v>5,8,10,12,18 mmยางอัดกระจก</v>
      </c>
      <c r="C194" s="176" t="str">
        <f aca="false">IF($D$127=5,$P$176,IF($D$127=6,$P$177,IF($D$127=8,$P$178,IF($D$127=10,$P$176,IF($D$127=12,$P$176,IF($D$127=14,$P$178,IF($D$127=18,$P$176,IF($D$127=20,$P$177,IF($D$127=22,"")))))))))</f>
        <v>5,8,10,12,18 mm ROLL IN WEDGE</v>
      </c>
      <c r="D194" s="176" t="str">
        <f aca="false">IF($D$127=5,$Q$176,IF($D$127=6,$Q$177,IF($D$127=8,$Q$178,IF($D$127=10,$Q$176,IF($D$127=12,$Q$176,IF($D$127=14,$Q$178,IF($D$127=18,$Q$176,IF($D$127=20,$Q$177,IF($D$127=22,"")))))))))</f>
        <v>02-033</v>
      </c>
      <c r="E194" s="176" t="n">
        <f aca="false">IF($D$129=5,R181,IF($D$129=6,R182,IF($D$129=8,R183,IF($D$129=10,R181,IF($D$129=12,R181,IF($D$129=14,R183,IF($D$129=18,R181,IF($D$129=20,R182,IF($D$129=22,"",)))))))))</f>
        <v>0</v>
      </c>
      <c r="F194" s="167" t="str">
        <f aca="false">IF($D$127=5,$S$176,IF($D$127=6,$S$177,IF($D$127=8,$S$178,IF($D$127=10,$S$176,IF($D$127=12,$S$176,IF($D$127=14,$S$178,IF($D$127=18,$S$176,IF($D$127=20,$S$177,IF($D$127=22,"")))))))))</f>
        <v>02-033</v>
      </c>
      <c r="G194" s="167" t="str">
        <f aca="false">IF($D$127=5,$T$176,IF($D$127=6,$T$177,IF($D$127=8,$T$178,IF($D$127=10,$T$176,IF($D$127=12,$T$176,IF($D$127=14,$T$178,IF($D$127=18,$T$176,IF($D$127=20,$T$177,IF($D$127=22,"")))))))))</f>
        <v>M</v>
      </c>
      <c r="H194" s="173" t="n">
        <f aca="false">IF($D$127=5,$U$176,IF($D$127=6,$U$177,IF($D$127=8,$U$178,IF($D$127=10,$U$176*2,IF($D$127=12,$U$176,IF($D$127=14,$U$178*2,IF($D$127=18,$U$176,IF($D$127=20,$U$177,IF($D$127=22,"")))))))))</f>
        <v>30.528</v>
      </c>
      <c r="I194" s="174" t="n">
        <f aca="false">IF($D$127=5,$V$176,IF($D$127=6,$V$177,IF($D$127=8,$V$178,IF($D$127=10,$V$176,IF($D$127=12,$V$176,IF($D$127=14,$V$178,IF($D$127=18,$V$176,IF($D$127=20,$V$177,IF($D$127=22,"")))))))))</f>
        <v>100</v>
      </c>
      <c r="J194" s="177" t="n">
        <f aca="false">ROUNDUP((H194)/100,0)</f>
        <v>1</v>
      </c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</row>
    <row r="195" s="96" customFormat="true" ht="18" hidden="false" customHeight="true" outlineLevel="0" collapsed="false">
      <c r="A195" s="170" t="n">
        <f aca="false">IF(B195="","",+A194+1)</f>
        <v>22</v>
      </c>
      <c r="B195" s="176" t="str">
        <f aca="false">IF($D$127=5,$O$174,IF($D$127=6,$O$174,IF($D$127=8,$O$176,IF($D$127=10,"",IF($D$127=12,$O$175,IF($D$127=14,"",IF($D$127=18,$O$174,IF($D$127=20,$O$175,IF($D$127=22,"",)))))))))</f>
        <v>5,6,18 mm ยางรองกระจก</v>
      </c>
      <c r="C195" s="176" t="str">
        <f aca="false">IF($D$127=5,$P$174,IF($D$127=6,$P$174,IF($D$127=8,$P$176,IF($D$127=10,"",IF($D$127=12,$P$175,IF($D$127=14,"",IF($D$127=18,$P$174,IF($D$127=20,$P$175,IF($D$127=22,"",)))))))))</f>
        <v>5,6,18 mm CAPTIVE WEDGE</v>
      </c>
      <c r="D195" s="176" t="str">
        <f aca="false">IF($D$127=5,$Q$174,IF($D$127=6,$Q$174,IF($D$127=8,$Q$176,IF($D$127=10,"",IF($D$127=12,$Q$175,IF($D$127=14,"",IF($D$127=18,$Q$174,IF($D$127=20,$Q$175,IF($D$127=22,"",)))))))))</f>
        <v>02-022</v>
      </c>
      <c r="E195" s="176" t="n">
        <f aca="false">IF($D$129=5,R179,IF($D$129=6,R179,IF($D$129=8,R181,IF($D$129=10,"",IF($D$129=12,R180,IF($D$129=14,"",IF($D$129=18,R179,IF($D$129=20,R180,IF($D$129=22,"",)))))))))</f>
        <v>0</v>
      </c>
      <c r="F195" s="167" t="str">
        <f aca="false">IF($D$127=5,$S$174,IF($D$127=6,$S$174,IF($D$127=8,$S$176,IF($D$127=10,"",IF($D$127=12,$S$175,IF($D$127=14,"",IF($D$127=18,$S$174,IF($D$127=20,$S$175,IF($D$127=22,"",)))))))))</f>
        <v>02-022</v>
      </c>
      <c r="G195" s="167" t="str">
        <f aca="false">IF($D$127=5,$T$174,IF($D$127=6,$T$174,IF($D$127=8,$T$176,IF($D$127=10,"",IF($D$127=12,$T$175,IF($D$127=14,"",IF($D$127=18,$T$174,IF($D$127=20,$T$175,IF($D$127=22,"",)))))))))</f>
        <v>M</v>
      </c>
      <c r="H195" s="173" t="n">
        <f aca="false">IF($D$127=5,$U$174,IF($D$127=6,$U$174,IF($D$127=8,$U$176,IF($D$127=10,"",IF($D$127=12,$U$175,IF($D$127=14,"",IF($D$127=18,$U$174,IF($D$127=20,$U$175,IF($D$127=22,"")))))))))</f>
        <v>30.528</v>
      </c>
      <c r="I195" s="174" t="n">
        <f aca="false">IF($D$127=5,$V$174,IF($D$127=6,$V$174,IF($D$127=8,$V$176,IF($D$127=10,"",IF($D$127=12,$V$175,IF($D$127=14,"",IF($D$127=18,$V$174,IF($D$127=20,$V$175,IF($D$127=22,"",)))))))))</f>
        <v>100</v>
      </c>
      <c r="J195" s="177" t="n">
        <f aca="false">ROUNDUP((H195)/100,0)</f>
        <v>1</v>
      </c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30"/>
      <c r="I196" s="133"/>
      <c r="J196" s="134"/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$J$120*H197</f>
        <v>0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$J$120*H198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$J$120*H204</f>
        <v>0</v>
      </c>
    </row>
    <row r="205" s="96" customFormat="true" ht="18" hidden="false" customHeight="true" outlineLevel="0" collapsed="false">
      <c r="A205" s="179" t="str">
        <f aca="false">IF(B205="","",+""+1)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$J$120*H205</f>
        <v>0</v>
      </c>
    </row>
    <row r="206" s="96" customFormat="true" ht="18" hidden="false" customHeight="true" outlineLevel="0" collapsed="false">
      <c r="A206" s="200"/>
      <c r="B206" s="98"/>
      <c r="D206" s="98"/>
      <c r="E206" s="97"/>
      <c r="F206" s="98"/>
      <c r="G206" s="98"/>
      <c r="H206" s="98"/>
      <c r="I206" s="196"/>
      <c r="J206" s="196"/>
    </row>
    <row r="207" customFormat="false" ht="18" hidden="false" customHeight="true" outlineLevel="0" collapsed="false">
      <c r="A207" s="97"/>
      <c r="J207" s="92" t="str">
        <f aca="false">LEFT($J$111,13)&amp;"-02"</f>
        <v>FG-240-7P1L6R-02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516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1940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517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1914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519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1940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190"/>
      <c r="H252" s="97"/>
      <c r="I252" s="196"/>
      <c r="J252" s="196"/>
    </row>
    <row r="253" s="96" customFormat="true" ht="15.75" hidden="false" customHeight="true" outlineLevel="0" collapsed="false">
      <c r="A253" s="97"/>
      <c r="D253" s="98"/>
      <c r="E253" s="97"/>
      <c r="F253" s="97"/>
      <c r="G253" s="97"/>
      <c r="H253" s="97"/>
      <c r="I253" s="196"/>
      <c r="J253" s="196"/>
    </row>
    <row r="254" s="96" customFormat="true" ht="15.75" hidden="false" customHeight="true" outlineLevel="0" collapsed="false">
      <c r="A254" s="191"/>
      <c r="B254" s="191"/>
      <c r="D254" s="192"/>
      <c r="E254" s="191"/>
      <c r="F254" s="191"/>
      <c r="G254" s="97"/>
      <c r="H254" s="97"/>
      <c r="I254" s="196"/>
      <c r="J254" s="196"/>
    </row>
    <row r="255" s="96" customFormat="true" ht="15.75" hidden="false" customHeight="true" outlineLevel="0" collapsed="false">
      <c r="A255" s="190"/>
      <c r="B255" s="190"/>
      <c r="C255" s="184" t="s">
        <v>520</v>
      </c>
      <c r="D255" s="194"/>
      <c r="E255" s="190"/>
      <c r="F255" s="189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459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1" t="s">
        <v>460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5" t="n">
        <f aca="false">$I$136</f>
        <v>1940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C259" s="187" t="n">
        <f aca="false">$J$136</f>
        <v>1</v>
      </c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C263" s="98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D264" s="98"/>
      <c r="E264" s="97"/>
      <c r="F264" s="97"/>
      <c r="G264" s="97"/>
      <c r="I264" s="196"/>
      <c r="J264" s="196"/>
    </row>
    <row r="265" s="96" customFormat="true" ht="15.75" hidden="false" customHeight="true" outlineLevel="0" collapsed="false">
      <c r="A265" s="200"/>
      <c r="C265" s="184" t="s">
        <v>586</v>
      </c>
      <c r="D265" s="98"/>
      <c r="E265" s="97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522</v>
      </c>
      <c r="D266" s="181"/>
      <c r="E266" s="181"/>
      <c r="F266" s="97"/>
      <c r="G266" s="97"/>
      <c r="H266" s="97"/>
      <c r="I266" s="196"/>
      <c r="J266" s="196"/>
    </row>
    <row r="267" s="96" customFormat="true" ht="15.75" hidden="false" customHeight="true" outlineLevel="0" collapsed="false">
      <c r="A267" s="200"/>
      <c r="C267" s="181" t="s">
        <v>468</v>
      </c>
      <c r="D267" s="181"/>
      <c r="E267" s="181"/>
      <c r="F267" s="97"/>
      <c r="G267" s="97"/>
      <c r="H267" s="97"/>
      <c r="J267" s="97"/>
    </row>
    <row r="268" s="96" customFormat="true" ht="15.75" hidden="false" customHeight="true" outlineLevel="0" collapsed="false">
      <c r="A268" s="200"/>
      <c r="C268" s="185" t="n">
        <f aca="false">$I$137</f>
        <v>2000</v>
      </c>
      <c r="D268" s="98"/>
      <c r="E268" s="97"/>
      <c r="F268" s="97"/>
      <c r="J268" s="97"/>
    </row>
    <row r="269" s="96" customFormat="true" ht="15.75" hidden="false" customHeight="true" outlineLevel="0" collapsed="false">
      <c r="A269" s="200"/>
      <c r="C269" s="187" t="n">
        <f aca="false">$J$137+$J$138</f>
        <v>2</v>
      </c>
      <c r="D269" s="98"/>
      <c r="E269" s="97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4"/>
      <c r="E271" s="184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H272" s="97"/>
      <c r="J272" s="97"/>
    </row>
    <row r="273" s="96" customFormat="true" ht="15.75" hidden="false" customHeight="true" outlineLevel="0" collapsed="false">
      <c r="A273" s="200"/>
      <c r="D273" s="181"/>
      <c r="E273" s="181"/>
      <c r="F273" s="97"/>
      <c r="G273" s="97"/>
      <c r="H273" s="97"/>
      <c r="J273" s="97"/>
    </row>
    <row r="274" s="96" customFormat="true" ht="15.75" hidden="false" customHeight="true" outlineLevel="0" collapsed="false">
      <c r="A274" s="200"/>
      <c r="D274" s="181"/>
      <c r="E274" s="181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D275" s="98"/>
      <c r="E275" s="97"/>
      <c r="F275" s="97"/>
      <c r="G275" s="97"/>
      <c r="I275" s="196"/>
      <c r="J275" s="196"/>
    </row>
    <row r="276" s="96" customFormat="true" ht="15.75" hidden="false" customHeight="true" outlineLevel="0" collapsed="false">
      <c r="A276" s="200"/>
      <c r="C276" s="184" t="s">
        <v>523</v>
      </c>
      <c r="D276" s="201"/>
      <c r="E276" s="196"/>
      <c r="F276" s="97"/>
      <c r="G276" s="97"/>
      <c r="I276" s="196"/>
      <c r="J276" s="196"/>
    </row>
    <row r="277" s="96" customFormat="true" ht="15.75" hidden="false" customHeight="true" outlineLevel="0" collapsed="false">
      <c r="A277" s="200"/>
      <c r="C277" s="181" t="s">
        <v>470</v>
      </c>
      <c r="D277" s="181"/>
      <c r="E277" s="181"/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1" t="s">
        <v>471</v>
      </c>
      <c r="D278" s="181"/>
      <c r="E278" s="181"/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C279" s="185" t="n">
        <f aca="false">$I$139</f>
        <v>1904</v>
      </c>
      <c r="F279" s="97"/>
      <c r="G279" s="97"/>
      <c r="I279" s="97"/>
      <c r="J279" s="196"/>
    </row>
    <row r="280" s="96" customFormat="true" ht="15.75" hidden="false" customHeight="true" outlineLevel="0" collapsed="false">
      <c r="A280" s="200"/>
      <c r="C280" s="187" t="n">
        <f aca="false">$J$139+$J$140</f>
        <v>2</v>
      </c>
      <c r="F280" s="97"/>
      <c r="G280" s="97"/>
      <c r="I280" s="97"/>
      <c r="J280" s="196"/>
    </row>
    <row r="281" s="96" customFormat="true" ht="15.75" hidden="false" customHeight="true" outlineLevel="0" collapsed="false">
      <c r="A281" s="200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D282" s="98"/>
      <c r="E282" s="97"/>
      <c r="F282" s="97"/>
      <c r="G282" s="97"/>
      <c r="H282" s="97"/>
      <c r="J282" s="97"/>
    </row>
    <row r="283" s="96" customFormat="true" ht="15.75" hidden="false" customHeight="true" outlineLevel="0" collapsed="false">
      <c r="A283" s="200"/>
      <c r="F283" s="97"/>
      <c r="G283" s="97"/>
      <c r="H283" s="97"/>
      <c r="J283" s="97"/>
    </row>
    <row r="284" s="96" customFormat="true" ht="15.75" hidden="false" customHeight="true" outlineLevel="0" collapsed="false">
      <c r="A284" s="200"/>
      <c r="F284" s="97"/>
      <c r="G284" s="97"/>
      <c r="H284" s="97"/>
      <c r="I284" s="201"/>
      <c r="J284" s="196"/>
    </row>
    <row r="285" s="96" customFormat="true" ht="15.75" hidden="false" customHeight="true" outlineLevel="0" collapsed="false">
      <c r="A285" s="200"/>
      <c r="C285" s="184" t="s">
        <v>524</v>
      </c>
      <c r="F285" s="97"/>
      <c r="G285" s="97"/>
      <c r="H285" s="97"/>
      <c r="I285" s="97"/>
      <c r="J285" s="196"/>
    </row>
    <row r="286" s="96" customFormat="true" ht="15.75" hidden="false" customHeight="true" outlineLevel="0" collapsed="false">
      <c r="A286" s="200"/>
      <c r="C286" s="83" t="s">
        <v>711</v>
      </c>
      <c r="D286" s="98"/>
      <c r="E286" s="97"/>
      <c r="F286" s="97"/>
      <c r="G286" s="97"/>
      <c r="H286" s="97"/>
      <c r="I286" s="196"/>
      <c r="J286" s="196"/>
    </row>
    <row r="287" s="96" customFormat="true" ht="15.75" hidden="false" customHeight="true" outlineLevel="0" collapsed="false">
      <c r="A287" s="200"/>
      <c r="C287" s="181" t="s">
        <v>712</v>
      </c>
      <c r="D287" s="98"/>
      <c r="E287" s="97"/>
      <c r="F287" s="97"/>
      <c r="G287" s="97"/>
      <c r="H287" s="97"/>
      <c r="I287" s="196"/>
      <c r="J287" s="196"/>
    </row>
    <row r="288" s="96" customFormat="true" ht="15.75" hidden="false" customHeight="true" outlineLevel="0" collapsed="false">
      <c r="A288" s="200"/>
      <c r="C288" s="181" t="s">
        <v>475</v>
      </c>
      <c r="D288" s="181"/>
      <c r="E288" s="181"/>
      <c r="F288" s="97"/>
      <c r="G288" s="97"/>
      <c r="I288" s="196"/>
      <c r="J288" s="196"/>
    </row>
    <row r="289" s="202" customFormat="true" ht="15.75" hidden="false" customHeight="true" outlineLevel="0" collapsed="false">
      <c r="A289" s="200"/>
      <c r="B289" s="96"/>
      <c r="C289" s="181" t="s">
        <v>476</v>
      </c>
      <c r="D289" s="181"/>
      <c r="E289" s="181"/>
      <c r="F289" s="97"/>
      <c r="G289" s="97"/>
      <c r="H289" s="96"/>
      <c r="I289" s="97"/>
      <c r="J289" s="97"/>
    </row>
    <row r="290" s="96" customFormat="true" ht="15.75" hidden="false" customHeight="true" outlineLevel="0" collapsed="false">
      <c r="A290" s="200"/>
      <c r="C290" s="185" t="n">
        <f aca="false">$I$141</f>
        <v>272.571428571429</v>
      </c>
      <c r="F290" s="97"/>
      <c r="G290" s="97"/>
      <c r="I290" s="191"/>
      <c r="J290" s="199"/>
    </row>
    <row r="291" s="96" customFormat="true" ht="15.75" hidden="false" customHeight="true" outlineLevel="0" collapsed="false">
      <c r="A291" s="200"/>
      <c r="C291" s="187" t="n">
        <f aca="false">$J$141+$J$142</f>
        <v>14</v>
      </c>
      <c r="D291" s="98"/>
      <c r="E291" s="97"/>
      <c r="F291" s="97"/>
      <c r="G291" s="97"/>
      <c r="H291" s="98"/>
      <c r="I291" s="189"/>
      <c r="J291" s="190"/>
    </row>
    <row r="292" s="96" customFormat="true" ht="15.75" hidden="false" customHeight="true" outlineLevel="0" collapsed="false">
      <c r="A292" s="200"/>
      <c r="C292" s="185" t="n">
        <f aca="false">$I$143</f>
        <v>1908</v>
      </c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C293" s="187" t="n">
        <f aca="false">$J$143+$J$144+$J$145</f>
        <v>14</v>
      </c>
      <c r="D293" s="98"/>
      <c r="E293" s="97"/>
      <c r="F293" s="97"/>
      <c r="G293" s="97"/>
      <c r="H293" s="97"/>
      <c r="I293" s="196"/>
      <c r="J293" s="196"/>
    </row>
    <row r="294" s="96" customFormat="true" ht="15.75" hidden="false" customHeight="true" outlineLevel="0" collapsed="false">
      <c r="A294" s="200"/>
      <c r="D294" s="98"/>
      <c r="E294" s="97"/>
      <c r="F294" s="97"/>
      <c r="G294" s="97"/>
      <c r="H294" s="97"/>
      <c r="I294" s="196"/>
      <c r="J294" s="196"/>
    </row>
    <row r="295" s="96" customFormat="true" ht="15.75" hidden="false" customHeight="true" outlineLevel="0" collapsed="false">
      <c r="A295" s="200"/>
      <c r="D295" s="98"/>
      <c r="E295" s="97"/>
      <c r="F295" s="97"/>
      <c r="G295" s="97"/>
      <c r="H295" s="97"/>
      <c r="I295" s="97"/>
      <c r="J295" s="196"/>
    </row>
    <row r="296" s="96" customFormat="true" ht="15.75" hidden="false" customHeight="true" outlineLevel="0" collapsed="false">
      <c r="A296" s="200"/>
      <c r="C296" s="202"/>
      <c r="D296" s="98"/>
      <c r="E296" s="97"/>
      <c r="F296" s="97"/>
      <c r="G296" s="97"/>
      <c r="H296" s="97"/>
      <c r="I296" s="97"/>
      <c r="J296" s="196"/>
    </row>
    <row r="297" s="96" customFormat="true" ht="15.75" hidden="false" customHeight="true" outlineLevel="0" collapsed="false">
      <c r="A297" s="200"/>
      <c r="C297" s="184" t="s">
        <v>525</v>
      </c>
      <c r="D297" s="98"/>
      <c r="E297" s="97"/>
      <c r="F297" s="97"/>
      <c r="G297" s="97"/>
      <c r="H297" s="97"/>
      <c r="I297" s="97"/>
      <c r="J297" s="196"/>
    </row>
    <row r="298" s="96" customFormat="true" ht="15.75" hidden="false" customHeight="true" outlineLevel="0" collapsed="false">
      <c r="A298" s="200"/>
      <c r="C298" s="83" t="s">
        <v>711</v>
      </c>
      <c r="D298" s="98"/>
      <c r="E298" s="97"/>
      <c r="F298" s="97"/>
      <c r="G298" s="191"/>
      <c r="H298" s="191"/>
      <c r="I298" s="97"/>
      <c r="J298" s="196"/>
    </row>
    <row r="299" s="96" customFormat="true" ht="15.75" hidden="false" customHeight="true" outlineLevel="0" collapsed="false">
      <c r="A299" s="200"/>
      <c r="C299" s="181" t="s">
        <v>712</v>
      </c>
      <c r="D299" s="181"/>
      <c r="E299" s="181"/>
      <c r="F299" s="97"/>
      <c r="G299" s="190"/>
      <c r="H299" s="189"/>
      <c r="I299" s="97"/>
      <c r="J299" s="196"/>
    </row>
    <row r="300" s="96" customFormat="true" ht="15.75" hidden="false" customHeight="true" outlineLevel="0" collapsed="false">
      <c r="A300" s="107"/>
      <c r="C300" s="181" t="s">
        <v>478</v>
      </c>
      <c r="D300" s="181"/>
      <c r="E300" s="181"/>
      <c r="F300" s="97"/>
      <c r="G300" s="97"/>
      <c r="H300" s="97"/>
      <c r="I300" s="97"/>
      <c r="J300" s="196"/>
    </row>
    <row r="301" s="96" customFormat="true" ht="15.75" hidden="false" customHeight="true" outlineLevel="0" collapsed="false">
      <c r="A301" s="191"/>
      <c r="B301" s="191"/>
      <c r="C301" s="181" t="s">
        <v>479</v>
      </c>
      <c r="D301" s="203"/>
      <c r="E301" s="204"/>
      <c r="F301" s="191"/>
      <c r="G301" s="97"/>
      <c r="H301" s="97"/>
      <c r="I301" s="97"/>
      <c r="J301" s="196"/>
    </row>
    <row r="302" s="96" customFormat="true" ht="15.75" hidden="false" customHeight="true" outlineLevel="0" collapsed="false">
      <c r="A302" s="190"/>
      <c r="B302" s="190"/>
      <c r="C302" s="185" t="n">
        <f aca="false">$I$146</f>
        <v>162.214285714286</v>
      </c>
      <c r="D302" s="205"/>
      <c r="E302" s="206"/>
      <c r="F302" s="189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7" t="n">
        <f aca="false">$J$146</f>
        <v>14</v>
      </c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C304" s="185" t="n">
        <f aca="false">$I$147</f>
        <v>1758</v>
      </c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C305" s="187" t="n">
        <f aca="false">$J$147</f>
        <v>14</v>
      </c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D306" s="98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4" t="s">
        <v>591</v>
      </c>
      <c r="D307" s="98"/>
      <c r="E307" s="97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181" t="s">
        <v>475</v>
      </c>
      <c r="D308" s="181"/>
      <c r="E308" s="181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249" t="s">
        <v>476</v>
      </c>
      <c r="D309" s="249"/>
      <c r="E309" s="249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5" t="n">
        <f aca="false">$I$148</f>
        <v>1908</v>
      </c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C311" s="187" t="n">
        <f aca="false">$J$148+$J$149</f>
        <v>2</v>
      </c>
      <c r="D311" s="181"/>
      <c r="E311" s="181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LEFT($J$111,13)&amp;"-03"</f>
        <v>FG-240-7P1L6R-03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A316" s="97"/>
      <c r="B316" s="49"/>
      <c r="C316" s="49"/>
      <c r="D316" s="207"/>
      <c r="E316" s="200"/>
      <c r="F316" s="200"/>
      <c r="G316" s="200"/>
      <c r="H316" s="200"/>
      <c r="I316" s="208"/>
      <c r="J316" s="77" t="str">
        <f aca="false">$J$2</f>
        <v>HOMELIFE</v>
      </c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240-7 Panel (1L6R)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195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91"/>
      <c r="D405" s="98"/>
      <c r="E405" s="97"/>
      <c r="F405" s="97"/>
      <c r="G405" s="97"/>
      <c r="H405" s="97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LEFT($J$111,13)&amp;"-04"</f>
        <v>FG-240-7P1L6R-04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77" t="str">
        <f aca="false">$J$2</f>
        <v>HOMELIFE</v>
      </c>
      <c r="K423" s="78"/>
      <c r="L423" s="78"/>
      <c r="M423" s="79"/>
      <c r="N423" s="79"/>
    </row>
    <row r="424" customFormat="false" ht="24.75" hidden="false" customHeight="true" outlineLevel="0" collapsed="false">
      <c r="A424" s="97"/>
      <c r="B424" s="96"/>
      <c r="C424" s="96"/>
      <c r="D424" s="98"/>
      <c r="E424" s="97"/>
      <c r="F424" s="97"/>
      <c r="G424" s="97"/>
      <c r="H424" s="97"/>
      <c r="I424" s="97"/>
      <c r="J424" s="80" t="str">
        <f aca="false">$J$3</f>
        <v>Fabricators Guide</v>
      </c>
      <c r="K424" s="78"/>
      <c r="L424" s="78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$J$4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240-7 Panel (1L6R)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191"/>
      <c r="C442" s="212"/>
      <c r="D442" s="98"/>
      <c r="E442" s="97"/>
      <c r="F442" s="97"/>
      <c r="H442" s="191"/>
      <c r="I442" s="191"/>
      <c r="J442" s="199"/>
    </row>
    <row r="443" s="96" customFormat="true" ht="15.75" hidden="false" customHeight="true" outlineLevel="0" collapsed="false">
      <c r="A443" s="190"/>
      <c r="C443" s="191"/>
      <c r="D443" s="192"/>
      <c r="E443" s="191"/>
      <c r="F443" s="191"/>
      <c r="H443" s="191"/>
      <c r="I443" s="191"/>
      <c r="J443" s="199"/>
    </row>
    <row r="444" s="96" customFormat="true" ht="34.5" hidden="false" customHeight="true" outlineLevel="0" collapsed="false">
      <c r="A444" s="97"/>
      <c r="C444" s="98"/>
      <c r="D444" s="194"/>
      <c r="E444" s="190"/>
      <c r="F444" s="189"/>
      <c r="H444" s="191"/>
      <c r="I444" s="196"/>
      <c r="J444" s="196"/>
    </row>
    <row r="445" customFormat="false" ht="15" hidden="false" customHeight="true" outlineLevel="0" collapsed="false">
      <c r="B445" s="211"/>
      <c r="C445" s="98"/>
      <c r="D445" s="98"/>
      <c r="E445" s="97"/>
      <c r="F445" s="98"/>
      <c r="G445" s="97"/>
      <c r="H445" s="97"/>
    </row>
    <row r="450" s="96" customFormat="true" ht="15.75" hidden="false" customHeight="true" outlineLevel="0" collapsed="false">
      <c r="A450" s="97"/>
      <c r="D450" s="73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191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97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196"/>
      <c r="J457" s="196"/>
    </row>
    <row r="458" s="96" customFormat="true" ht="15.7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195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202" customFormat="true" ht="15.75" hidden="false" customHeight="true" outlineLevel="0" collapsed="false">
      <c r="A477" s="97"/>
      <c r="B477" s="96"/>
      <c r="C477" s="96"/>
      <c r="D477" s="98"/>
      <c r="E477" s="97"/>
      <c r="F477" s="97"/>
      <c r="G477" s="97"/>
      <c r="H477" s="97"/>
      <c r="I477" s="97"/>
      <c r="J477" s="97"/>
    </row>
    <row r="478" s="96" customFormat="true" ht="15.75" hidden="false" customHeight="true" outlineLevel="0" collapsed="false">
      <c r="A478" s="191"/>
      <c r="D478" s="98"/>
      <c r="E478" s="97"/>
      <c r="F478" s="97"/>
      <c r="G478" s="97"/>
      <c r="H478" s="97"/>
      <c r="I478" s="191"/>
      <c r="J478" s="199"/>
    </row>
    <row r="479" s="96" customFormat="true" ht="15.75" hidden="false" customHeight="true" outlineLevel="0" collapsed="false">
      <c r="A479" s="190"/>
      <c r="B479" s="191"/>
      <c r="C479" s="191"/>
      <c r="D479" s="192"/>
      <c r="E479" s="191"/>
      <c r="F479" s="191"/>
      <c r="G479" s="191"/>
      <c r="H479" s="191"/>
      <c r="I479" s="189"/>
      <c r="J479" s="190"/>
    </row>
    <row r="480" s="96" customFormat="true" ht="15.75" hidden="false" customHeight="true" outlineLevel="0" collapsed="false">
      <c r="A480" s="200"/>
      <c r="B480" s="190"/>
      <c r="C480" s="191"/>
      <c r="D480" s="194"/>
      <c r="E480" s="190"/>
      <c r="F480" s="189"/>
      <c r="G480" s="190"/>
      <c r="H480" s="189"/>
      <c r="I480" s="196"/>
      <c r="J480" s="196"/>
    </row>
    <row r="481" s="96" customFormat="true" ht="15.75" hidden="false" customHeight="true" outlineLevel="0" collapsed="false">
      <c r="A481" s="200"/>
      <c r="C481" s="182"/>
      <c r="D481" s="98"/>
      <c r="E481" s="97"/>
      <c r="F481" s="97"/>
      <c r="G481" s="97"/>
      <c r="H481" s="182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C487" s="98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182"/>
      <c r="J499" s="97"/>
    </row>
    <row r="500" s="96" customFormat="true" ht="15.75" hidden="false" customHeight="true" outlineLevel="0" collapsed="false">
      <c r="A500" s="200"/>
      <c r="C500" s="188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I501" s="196"/>
      <c r="J501" s="196"/>
    </row>
    <row r="502" s="96" customFormat="true" ht="15.75" hidden="false" customHeight="true" outlineLevel="0" collapsed="false">
      <c r="A502" s="200"/>
      <c r="C502" s="98"/>
      <c r="D502" s="98"/>
      <c r="E502" s="97"/>
      <c r="F502" s="97"/>
      <c r="G502" s="97"/>
      <c r="H502" s="182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212"/>
      <c r="J513" s="195"/>
    </row>
    <row r="514" s="96" customFormat="true" ht="15.75" hidden="false" customHeight="true" outlineLevel="0" collapsed="false">
      <c r="A514" s="200"/>
      <c r="D514" s="98"/>
      <c r="E514" s="97"/>
      <c r="F514" s="97"/>
      <c r="G514" s="97"/>
      <c r="H514" s="238"/>
      <c r="J514" s="97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B516" s="191"/>
      <c r="C516" s="191"/>
      <c r="D516" s="192"/>
      <c r="E516" s="191"/>
      <c r="F516" s="191"/>
      <c r="G516" s="191"/>
      <c r="H516" s="191"/>
    </row>
    <row r="517" s="96" customFormat="true" ht="15.75" hidden="false" customHeight="true" outlineLevel="0" collapsed="false"/>
    <row r="518" s="96" customFormat="true" ht="24.75" hidden="false" customHeight="true" outlineLevel="0" collapsed="false">
      <c r="A518" s="88" t="s">
        <v>482</v>
      </c>
      <c r="B518" s="88"/>
      <c r="C518" s="88"/>
      <c r="D518" s="88"/>
      <c r="E518" s="88"/>
      <c r="F518" s="88"/>
      <c r="G518" s="88"/>
      <c r="H518" s="88"/>
      <c r="I518" s="88"/>
      <c r="J518" s="88"/>
    </row>
    <row r="519" s="96" customFormat="true" ht="34.5" hidden="false" customHeight="true" outlineLevel="0" collapsed="false">
      <c r="A519" s="114" t="s">
        <v>319</v>
      </c>
      <c r="B519" s="115" t="s">
        <v>168</v>
      </c>
      <c r="C519" s="115" t="s">
        <v>168</v>
      </c>
      <c r="D519" s="116" t="s">
        <v>483</v>
      </c>
      <c r="E519" s="115" t="s">
        <v>321</v>
      </c>
      <c r="F519" s="239" t="s">
        <v>484</v>
      </c>
      <c r="G519" s="240"/>
      <c r="H519" s="116" t="s">
        <v>484</v>
      </c>
      <c r="I519" s="116" t="s">
        <v>485</v>
      </c>
      <c r="J519" s="117" t="s">
        <v>323</v>
      </c>
      <c r="N519" s="118" t="s">
        <v>168</v>
      </c>
      <c r="O519" s="118" t="s">
        <v>168</v>
      </c>
    </row>
    <row r="520" s="96" customFormat="true" ht="15.75" hidden="false" customHeight="true" outlineLevel="0" collapsed="false">
      <c r="A520" s="120" t="n">
        <f aca="false">IF(C520="","",1)</f>
        <v>1</v>
      </c>
      <c r="B520" s="121" t="str">
        <f aca="false">IF($D$127=5,N520,IF($D$127=6,N521,IF($D$127=8,N522,IF($D$127=10,N523,IF($D$127=12,N524,IF($D$127=14,N525,IF($D$127=18,N526,IF($D$127=20,N527,IF($D$127=22,N528,)))))))))</f>
        <v>กระจก 5 mm (สูง) (กว้าง)</v>
      </c>
      <c r="C520" s="121" t="str">
        <f aca="false">IF($D$127=5,O520,IF($D$127=6,O521,IF($D$127=8,O522,IF($D$127=10,O523,IF($D$127=12,O524,IF($D$127=14,O525,IF($D$127=18,O526,IF($D$127=20,O527,IF($D$127=22,O528,)))))))))</f>
        <v>GLASS thk.5 mm (H) (W)</v>
      </c>
      <c r="D520" s="123" t="n">
        <f aca="false">$J$123-215</f>
        <v>1785</v>
      </c>
      <c r="E520" s="120" t="s">
        <v>486</v>
      </c>
      <c r="F520" s="224" t="s">
        <v>487</v>
      </c>
      <c r="G520" s="224"/>
      <c r="H520" s="120" t="s">
        <v>713</v>
      </c>
      <c r="I520" s="225" t="n">
        <f aca="false">(($J$126-185-(113.25*6))/7)-13</f>
        <v>149.214285714286</v>
      </c>
      <c r="J520" s="226" t="n">
        <f aca="false">$J$120*7</f>
        <v>7</v>
      </c>
      <c r="M520" s="96" t="n">
        <f aca="false">ROW()</f>
        <v>520</v>
      </c>
      <c r="N520" s="62" t="s">
        <v>489</v>
      </c>
      <c r="O520" s="62" t="s">
        <v>490</v>
      </c>
    </row>
    <row r="521" s="96" customFormat="true" ht="15.75" hidden="false" customHeight="true" outlineLevel="0" collapsed="false">
      <c r="A521" s="269"/>
      <c r="B521" s="228"/>
      <c r="C521" s="228"/>
      <c r="D521" s="176"/>
      <c r="E521" s="167"/>
      <c r="F521" s="229"/>
      <c r="G521" s="230"/>
      <c r="H521" s="167"/>
      <c r="I521" s="231"/>
      <c r="J521" s="232"/>
      <c r="M521" s="96" t="n">
        <f aca="false">ROW()</f>
        <v>521</v>
      </c>
      <c r="N521" s="62" t="s">
        <v>491</v>
      </c>
      <c r="O521" s="62" t="s">
        <v>492</v>
      </c>
    </row>
    <row r="522" s="96" customFormat="true" ht="15.75" hidden="false" customHeight="true" outlineLevel="0" collapsed="false">
      <c r="A522" s="269"/>
      <c r="B522" s="228"/>
      <c r="C522" s="228"/>
      <c r="D522" s="176"/>
      <c r="E522" s="167"/>
      <c r="F522" s="229"/>
      <c r="G522" s="230"/>
      <c r="H522" s="167"/>
      <c r="I522" s="231"/>
      <c r="J522" s="232"/>
      <c r="M522" s="96" t="n">
        <f aca="false">ROW()</f>
        <v>522</v>
      </c>
      <c r="N522" s="62" t="s">
        <v>493</v>
      </c>
      <c r="O522" s="62" t="s">
        <v>494</v>
      </c>
    </row>
    <row r="523" s="96" customFormat="true" ht="15.75" hidden="false" customHeight="true" outlineLevel="0" collapsed="false">
      <c r="A523" s="130" t="str">
        <f aca="false">IF(B523="","",+""+1)</f>
        <v/>
      </c>
      <c r="B523" s="131"/>
      <c r="C523" s="131"/>
      <c r="D523" s="132"/>
      <c r="E523" s="130"/>
      <c r="F523" s="233"/>
      <c r="G523" s="270"/>
      <c r="H523" s="130"/>
      <c r="I523" s="142"/>
      <c r="J523" s="133"/>
      <c r="M523" s="96" t="n">
        <f aca="false">ROW()</f>
        <v>523</v>
      </c>
      <c r="N523" s="62" t="s">
        <v>495</v>
      </c>
      <c r="O523" s="62" t="s">
        <v>496</v>
      </c>
    </row>
    <row r="524" s="96" customFormat="true" ht="15.75" hidden="false" customHeight="true" outlineLevel="0" collapsed="false">
      <c r="A524" s="136" t="str">
        <f aca="false">IF(B524="","",+A523+1)</f>
        <v/>
      </c>
      <c r="B524" s="135"/>
      <c r="C524" s="135"/>
      <c r="D524" s="139"/>
      <c r="E524" s="136"/>
      <c r="F524" s="236"/>
      <c r="G524" s="237"/>
      <c r="H524" s="136"/>
      <c r="I524" s="180"/>
      <c r="J524" s="140"/>
      <c r="M524" s="96" t="n">
        <f aca="false">ROW()</f>
        <v>524</v>
      </c>
      <c r="N524" s="62" t="s">
        <v>497</v>
      </c>
      <c r="O524" s="62" t="s">
        <v>498</v>
      </c>
    </row>
    <row r="525" s="96" customFormat="true" ht="15.75" hidden="false" customHeight="true" outlineLevel="0" collapsed="false">
      <c r="A525" s="97"/>
      <c r="D525" s="98"/>
      <c r="E525" s="97"/>
      <c r="F525" s="97"/>
      <c r="G525" s="97"/>
      <c r="H525" s="97"/>
      <c r="I525" s="97"/>
      <c r="J525" s="196"/>
      <c r="M525" s="96" t="n">
        <f aca="false">ROW()</f>
        <v>525</v>
      </c>
      <c r="N525" s="62" t="s">
        <v>499</v>
      </c>
      <c r="O525" s="62" t="s">
        <v>500</v>
      </c>
    </row>
    <row r="526" customFormat="false" ht="14.25" hidden="false" customHeight="false" outlineLevel="0" collapsed="false">
      <c r="J526" s="92" t="str">
        <f aca="false">LEFT($J$111,13)&amp;"-05"</f>
        <v>FG-240-7P1L6R-05</v>
      </c>
      <c r="M526" s="96" t="n">
        <f aca="false">ROW()</f>
        <v>526</v>
      </c>
      <c r="N526" s="62" t="s">
        <v>501</v>
      </c>
      <c r="O526" s="62" t="s">
        <v>502</v>
      </c>
    </row>
    <row r="527" customFormat="false" ht="14.25" hidden="false" customHeight="false" outlineLevel="0" collapsed="false">
      <c r="M527" s="96" t="n">
        <f aca="false">ROW()</f>
        <v>527</v>
      </c>
      <c r="N527" s="62" t="s">
        <v>503</v>
      </c>
      <c r="O527" s="62" t="s">
        <v>504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505</v>
      </c>
      <c r="O528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7"/>
    <mergeCell ref="H163:H167"/>
    <mergeCell ref="I166:J167"/>
    <mergeCell ref="D168:D169"/>
    <mergeCell ref="H168:H169"/>
    <mergeCell ref="I168:J168"/>
    <mergeCell ref="D170:D171"/>
    <mergeCell ref="H170:H171"/>
    <mergeCell ref="A172:J172"/>
    <mergeCell ref="A213:J213"/>
    <mergeCell ref="C309:E309"/>
    <mergeCell ref="A320:J320"/>
    <mergeCell ref="F330:G330"/>
    <mergeCell ref="F331:G331"/>
    <mergeCell ref="F334:G334"/>
    <mergeCell ref="A427:J427"/>
    <mergeCell ref="A518:J518"/>
    <mergeCell ref="F520:G520"/>
  </mergeCells>
  <dataValidations count="4">
    <dataValidation allowBlank="true" errorStyle="stop" operator="between" showDropDown="false" showErrorMessage="true" showInputMessage="true" sqref="C206" type="list">
      <formula1>$O$174:$O$192</formula1>
      <formula2>0</formula2>
    </dataValidation>
    <dataValidation allowBlank="true" errorStyle="stop" operator="between" showDropDown="false" showErrorMessage="true" showInputMessage="true" sqref="D123:G123" type="list">
      <formula1>$P$118:$P$127</formula1>
      <formula2>0</formula2>
    </dataValidation>
    <dataValidation allowBlank="true" errorStyle="stop" operator="between" showDropDown="false" showErrorMessage="true" showInputMessage="true" sqref="D127:G127" type="list">
      <formula1>$N$119:$N$127</formula1>
      <formula2>0</formula2>
    </dataValidation>
    <dataValidation allowBlank="true" errorStyle="stop" operator="between" showDropDown="false" showErrorMessage="true" showInputMessage="true" sqref="D129:G129" type="list">
      <formula1>$O$119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528"/>
  <sheetViews>
    <sheetView showFormulas="false" showGridLines="false" showRowColHeaders="true" showZeros="true" rightToLeft="false" tabSelected="false" showOutlineSymbols="true" defaultGridColor="true" view="pageBreakPreview" topLeftCell="A114" colorId="64" zoomScale="75" zoomScaleNormal="75" zoomScalePageLayoutView="75" workbookViewId="0">
      <selection pane="topLeft" activeCell="I135" activeCellId="0" sqref="I135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11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6.67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1.67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714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>
      <c r="G55" s="91"/>
    </row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715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8" hidden="false" customHeight="true" outlineLevel="0" collapsed="false">
      <c r="A118" s="97"/>
      <c r="C118" s="81"/>
      <c r="D118" s="98"/>
      <c r="E118" s="83"/>
      <c r="J118" s="99"/>
      <c r="K118" s="83"/>
      <c r="N118" s="258" t="s">
        <v>288</v>
      </c>
      <c r="O118" s="97" t="s">
        <v>289</v>
      </c>
      <c r="P118" s="102" t="s">
        <v>290</v>
      </c>
    </row>
    <row r="119" s="96" customFormat="true" ht="15" hidden="false" customHeight="true" outlineLevel="0" collapsed="false">
      <c r="A119" s="97"/>
      <c r="C119" s="100" t="s">
        <v>286</v>
      </c>
      <c r="D119" s="101"/>
      <c r="E119" s="101"/>
      <c r="F119" s="101"/>
      <c r="G119" s="101"/>
      <c r="I119" s="83"/>
      <c r="J119" s="97"/>
      <c r="N119" s="259" t="n">
        <v>5</v>
      </c>
      <c r="O119" s="97" t="s">
        <v>509</v>
      </c>
      <c r="P119" s="106" t="s">
        <v>294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6</v>
      </c>
      <c r="O120" s="97" t="s">
        <v>296</v>
      </c>
      <c r="P120" s="106" t="s">
        <v>297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8</v>
      </c>
      <c r="P121" s="106" t="s">
        <v>299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10</v>
      </c>
      <c r="P122" s="106" t="s">
        <v>303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2500</v>
      </c>
      <c r="N123" s="259" t="n">
        <v>12</v>
      </c>
      <c r="P123" s="106" t="s">
        <v>305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14</v>
      </c>
      <c r="P124" s="106" t="s">
        <v>308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18</v>
      </c>
      <c r="P125" s="106" t="s">
        <v>311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4450</v>
      </c>
      <c r="K126" s="110"/>
      <c r="L126" s="110"/>
      <c r="N126" s="259" t="n">
        <v>20</v>
      </c>
      <c r="P126" s="106" t="s">
        <v>313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5</v>
      </c>
      <c r="E127" s="111"/>
      <c r="F127" s="111"/>
      <c r="G127" s="111"/>
      <c r="H127" s="104"/>
      <c r="I127" s="104"/>
      <c r="J127" s="105"/>
      <c r="N127" s="259" t="n">
        <v>22</v>
      </c>
      <c r="P127" s="106" t="s">
        <v>315</v>
      </c>
    </row>
    <row r="128" s="96" customFormat="true" ht="18.75" hidden="false" customHeight="true" outlineLevel="0" collapsed="false">
      <c r="C128" s="108" t="s">
        <v>314</v>
      </c>
      <c r="I128" s="97"/>
      <c r="J128" s="97"/>
    </row>
    <row r="129" s="96" customFormat="true" ht="15" hidden="false" customHeight="true" outlineLevel="0" collapsed="false">
      <c r="A129" s="89" t="str">
        <f aca="false">A18</f>
        <v>240-7 Panel (2L5R)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4390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14</v>
      </c>
      <c r="U133" s="127" t="s">
        <v>709</v>
      </c>
      <c r="V133" s="128" t="n">
        <f aca="false">($J$126-185-(113.25*6))/7</f>
        <v>512.214285714286</v>
      </c>
      <c r="W133" s="129" t="n">
        <f aca="false">$J$120*T133</f>
        <v>14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4364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14</v>
      </c>
      <c r="U134" s="130" t="s">
        <v>709</v>
      </c>
      <c r="V134" s="142" t="n">
        <f aca="false">($J$126-185-(113.25*6))/7</f>
        <v>512.214285714286</v>
      </c>
      <c r="W134" s="134" t="n">
        <f aca="false">$J$120*T134</f>
        <v>14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4390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14</v>
      </c>
      <c r="U135" s="136" t="s">
        <v>709</v>
      </c>
      <c r="V135" s="180" t="n">
        <f aca="false">($J$126-185-(113.25*6))/7</f>
        <v>512.214285714286</v>
      </c>
      <c r="W135" s="137" t="n">
        <f aca="false">$J$120*T135</f>
        <v>14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4390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14</v>
      </c>
      <c r="U136" s="127" t="s">
        <v>360</v>
      </c>
      <c r="V136" s="138" t="n">
        <f aca="false">$J$123-242</f>
        <v>2258</v>
      </c>
      <c r="W136" s="129" t="n">
        <f aca="false">$J$120*T136</f>
        <v>14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2500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14</v>
      </c>
      <c r="U137" s="130" t="s">
        <v>360</v>
      </c>
      <c r="V137" s="133" t="n">
        <f aca="false">$J$123-242</f>
        <v>2258</v>
      </c>
      <c r="W137" s="134" t="n">
        <f aca="false">$J$120*T137</f>
        <v>14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2500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14</v>
      </c>
      <c r="U138" s="136" t="s">
        <v>360</v>
      </c>
      <c r="V138" s="140" t="n">
        <f aca="false">$J$123-242</f>
        <v>2258</v>
      </c>
      <c r="W138" s="137" t="n">
        <f aca="false">$J$120*T138</f>
        <v>14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2404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2404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7</v>
      </c>
      <c r="H141" s="130" t="s">
        <v>710</v>
      </c>
      <c r="I141" s="141" t="n">
        <f aca="false">($J$126-60-(7+1)*4)/7</f>
        <v>622.571428571429</v>
      </c>
      <c r="J141" s="134" t="n">
        <f aca="false">$J$120*G141</f>
        <v>7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7</v>
      </c>
      <c r="H142" s="130" t="s">
        <v>710</v>
      </c>
      <c r="I142" s="141" t="n">
        <f aca="false">($J$126-60-(7+1)*4)/7</f>
        <v>622.571428571429</v>
      </c>
      <c r="J142" s="134" t="n">
        <f aca="false">$J$120*G142</f>
        <v>7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10</v>
      </c>
      <c r="H143" s="130" t="s">
        <v>389</v>
      </c>
      <c r="I143" s="133" t="n">
        <f aca="false">$J$123-92</f>
        <v>2408</v>
      </c>
      <c r="J143" s="134" t="n">
        <f aca="false">$J$120*G143</f>
        <v>10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1</v>
      </c>
      <c r="H144" s="130" t="s">
        <v>389</v>
      </c>
      <c r="I144" s="133" t="n">
        <f aca="false">$J$123-92</f>
        <v>2408</v>
      </c>
      <c r="J144" s="134" t="n">
        <f aca="false">$J$120*G144</f>
        <v>1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390</v>
      </c>
      <c r="C145" s="131" t="s">
        <v>391</v>
      </c>
      <c r="D145" s="132" t="s">
        <v>74</v>
      </c>
      <c r="E145" s="130" t="n">
        <v>1.106</v>
      </c>
      <c r="F145" s="132" t="s">
        <v>563</v>
      </c>
      <c r="G145" s="130" t="n">
        <v>2</v>
      </c>
      <c r="H145" s="130" t="s">
        <v>389</v>
      </c>
      <c r="I145" s="133" t="n">
        <f aca="false">$J$123-92</f>
        <v>2408</v>
      </c>
      <c r="J145" s="134" t="n">
        <f aca="false">$J$120*G145</f>
        <v>2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">
        <v>531</v>
      </c>
      <c r="C146" s="131" t="s">
        <v>532</v>
      </c>
      <c r="D146" s="132" t="s">
        <v>74</v>
      </c>
      <c r="E146" s="130" t="n">
        <v>1.106</v>
      </c>
      <c r="F146" s="132" t="s">
        <v>564</v>
      </c>
      <c r="G146" s="130" t="n">
        <v>1</v>
      </c>
      <c r="H146" s="130" t="s">
        <v>389</v>
      </c>
      <c r="I146" s="133" t="n">
        <f aca="false">$J$123-92</f>
        <v>2408</v>
      </c>
      <c r="J146" s="134" t="n">
        <f aca="false">$J$120*G146</f>
        <v>1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7" s="131" t="str">
        <f aca="false">IF($D$127=5,Q133,IF($D$127=6,Q133,IF($D$127=8,Q134,IF($D$127=10,Q134,IF($D$127=12,Q134,IF($D$127=14,Q135,IF($D$127=18,Q135,IF($D$127=20,Q135,IF($D$127=22,Q135,)))))))))</f>
        <v>B24008</v>
      </c>
      <c r="E147" s="131" t="n">
        <f aca="false">IF($D$127=5,R133,IF($D$127=6,R133,IF($D$127=8,R134,IF($D$127=10,R134,IF($D$127=12,R134,IF($D$127=14,R135,IF($D$127=18,R135,IF($D$127=20,R135,IF($D$127=22,R135,)))))))))</f>
        <v>0.231</v>
      </c>
      <c r="F147" s="131" t="str">
        <f aca="false">IF($D$127=5,S133,IF($D$127=6,S133,IF($D$127=8,S134,IF($D$127=10,S134,IF($D$127=12,S134,IF($D$127=14,S135,IF($D$127=18,S135,IF($D$127=20,S135,IF($D$127=22,S135,)))))))))</f>
        <v>B24008-001</v>
      </c>
      <c r="G147" s="130" t="n">
        <f aca="false">IF($D$127=5,T133,IF($D$127=6,T133,IF($D$127=8,T134,IF($D$127=10,T134,IF($D$127=12,T134,IF($D$127=14,T135,IF($D$127=18,T135,IF($D$127=20,T135,IF($D$127=22,T135,)))))))))</f>
        <v>14</v>
      </c>
      <c r="H147" s="130" t="str">
        <f aca="false">IF($D$127=5,U133,IF($D$127=6,U133,IF($D$127=8,U134,IF($D$127=10,U134,IF($D$127=12,U134,IF($D$127=14,U135,IF($D$127=18,U135,IF($D$127=20,U135,IF($D$127=22,U135,)))))))))</f>
        <v>(W-185-(113.25 × 6))/7</v>
      </c>
      <c r="I147" s="141" t="n">
        <f aca="false">IF($D$127=5,V133,IF($D$127=6,V133,IF($D$127=8,V134,IF($D$127=10,V134,IF($D$127=12,V134,IF($D$127=14,V135,IF($D$127=18,V135,IF($D$127=20,V135,IF($D$127=22,V135,)))))))))</f>
        <v>512.214285714286</v>
      </c>
      <c r="J147" s="134" t="n">
        <f aca="false">$J$120*G147</f>
        <v>14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8" s="131" t="str">
        <f aca="false">IF($D$127=5,Q136,IF($D$127=6,Q136,IF($D$127=8,Q137,IF($D$127=10,Q137,IF($D$127=12,Q137,IF($D$127=14,Q138,IF($D$127=18,Q138,IF($D$127=20,Q138,IF($D$127=22,Q138,)))))))))</f>
        <v>B24008</v>
      </c>
      <c r="E148" s="131" t="n">
        <f aca="false">IF($D$127=5,R136,IF($D$127=6,R136,IF($D$127=8,R137,IF($D$127=10,R137,IF($D$127=12,R137,IF($D$127=14,R138,IF($D$127=18,R138,IF($D$127=20,R138,IF($D$127=22,R138,)))))))))</f>
        <v>0.231</v>
      </c>
      <c r="F148" s="131" t="str">
        <f aca="false">IF($D$127=5,S136,IF($D$127=6,S136,IF($D$127=8,S137,IF($D$127=10,S137,IF($D$127=12,S137,IF($D$127=14,S138,IF($D$127=18,S138,IF($D$127=20,S138,IF($D$127=22,S138,)))))))))</f>
        <v>B24008-002</v>
      </c>
      <c r="G148" s="130" t="n">
        <f aca="false">IF($D$127=5,T136,IF($D$127=6,T136,IF($D$127=8,T137,IF($D$127=10,T137,IF($D$127=12,T137,IF($D$127=14,T138,IF($D$127=18,T138,IF($D$127=20,T138,IF($D$127=22,T138,)))))))))</f>
        <v>14</v>
      </c>
      <c r="H148" s="130" t="str">
        <f aca="false">IF($D$127=5,U136,IF($D$127=6,U136,IF($D$127=8,U137,IF($D$127=10,U137,IF($D$127=12,U137,IF($D$127=14,U138,IF($D$127=18,U138,IF($D$127=20,U138,IF($D$127=22,U138,)))))))))</f>
        <v>H-242</v>
      </c>
      <c r="I148" s="133" t="n">
        <f aca="false">IF($D$127=5,V136,IF($D$127=6,V136,IF($D$127=8,V137,IF($D$127=10,V137,IF($D$127=12,V137,IF($D$127=14,V138,IF($D$127=18,V138,IF($D$127=20,V138,IF($D$127=22,V138,)))))))))</f>
        <v>2258</v>
      </c>
      <c r="J148" s="134" t="n">
        <f aca="false">$J$120*G148</f>
        <v>14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535</v>
      </c>
      <c r="D149" s="132" t="s">
        <v>536</v>
      </c>
      <c r="E149" s="130"/>
      <c r="F149" s="132" t="s">
        <v>537</v>
      </c>
      <c r="G149" s="130" t="n">
        <v>1</v>
      </c>
      <c r="H149" s="130" t="s">
        <v>389</v>
      </c>
      <c r="I149" s="133" t="n">
        <f aca="false">$J$123-92</f>
        <v>2408</v>
      </c>
      <c r="J149" s="134" t="n">
        <f aca="false">$J$120*G149</f>
        <v>1</v>
      </c>
    </row>
    <row r="150" s="96" customFormat="true" ht="18" hidden="false" customHeight="true" outlineLevel="0" collapsed="false">
      <c r="A150" s="130" t="n">
        <f aca="false">IF(B150="","",+A149+1)</f>
        <v>18</v>
      </c>
      <c r="B150" s="131" t="s">
        <v>534</v>
      </c>
      <c r="C150" s="131" t="s">
        <v>535</v>
      </c>
      <c r="D150" s="132" t="s">
        <v>536</v>
      </c>
      <c r="E150" s="130"/>
      <c r="F150" s="132" t="s">
        <v>539</v>
      </c>
      <c r="G150" s="130" t="n">
        <v>1</v>
      </c>
      <c r="H150" s="130" t="s">
        <v>389</v>
      </c>
      <c r="I150" s="133" t="n">
        <f aca="false">$J$123-92</f>
        <v>2408</v>
      </c>
      <c r="J150" s="134" t="n">
        <f aca="false">$J$120*G150</f>
        <v>1</v>
      </c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33"/>
      <c r="J151" s="134"/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4390</v>
      </c>
      <c r="G155" s="155" t="n">
        <f aca="false">VLOOKUP(C155,$C$133:$J$153,8,0)</f>
        <v>1</v>
      </c>
      <c r="H155" s="264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VLOOKUP(C156,$C$133:$I$153,7,0)</f>
        <v>4364</v>
      </c>
      <c r="G156" s="155" t="n">
        <f aca="false">VLOOKUP(C156,$C$133:$J$153,8,0)</f>
        <v>1</v>
      </c>
      <c r="H156" s="310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VLOOKUP(C157,$C$133:$I$153,7,0)</f>
        <v>4390</v>
      </c>
      <c r="G157" s="155" t="n">
        <f aca="false">VLOOKUP(C157,$C$133:$J$153,8,0)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VLOOKUP(C158,$C$133:$I$153,7,0)</f>
        <v>4390</v>
      </c>
      <c r="G158" s="155" t="n">
        <f aca="false">VLOOKUP(C158,$C$133:$J$153,8,0)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VLOOKUP(C159,$C$133:$I$153,7,0)</f>
        <v>2500</v>
      </c>
      <c r="G159" s="155" t="n">
        <f aca="false">VLOOKUP(C159,$C$133:$J$153,8,0)</f>
        <v>1</v>
      </c>
      <c r="H159" s="160" t="n">
        <f aca="false">ROUNDUP(((F159*G159)+(F160*G160))/6400,0)</f>
        <v>1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VLOOKUP(C160,$C$133:$I$153,7,0)</f>
        <v>2500</v>
      </c>
      <c r="G160" s="155" t="n">
        <f aca="false">VLOOKUP(C160,$C$133:$J$153,8,0)</f>
        <v>1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VLOOKUP(C161,$C$133:$I$153,7,0)</f>
        <v>2404</v>
      </c>
      <c r="G161" s="155" t="n">
        <f aca="false">VLOOKUP(C161,$C$133:$J$153,8,0)</f>
        <v>1</v>
      </c>
      <c r="H161" s="160" t="n">
        <f aca="false">ROUNDUP(((F161*G161)+(F162*G162))/6400,0)</f>
        <v>1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155" t="n">
        <f aca="false">VLOOKUP(C162,$C$133:$H$153,3,0)</f>
        <v>0.235</v>
      </c>
      <c r="F162" s="263" t="n">
        <f aca="false">VLOOKUP(C162,$C$133:$I$153,7,0)</f>
        <v>2404</v>
      </c>
      <c r="G162" s="155" t="n">
        <f aca="false">VLOOKUP(C162,$C$133:$J$153,8,0)</f>
        <v>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155" t="n">
        <f aca="false">VLOOKUP(C163,$C$133:$H$153,3,0)</f>
        <v>1.106</v>
      </c>
      <c r="F163" s="267" t="n">
        <f aca="false">VLOOKUP(C163,$C$133:$I$153,7,0)</f>
        <v>622.571428571429</v>
      </c>
      <c r="G163" s="155" t="n">
        <f aca="false">VLOOKUP(C163,$C$133:$J$153,8,0)</f>
        <v>7</v>
      </c>
      <c r="H163" s="160" t="n">
        <f aca="false">ROUNDUP(((F163*G163)+(F164*G164)+(F165*G165)+(F166*G166)+(F167*G167)+(F168*G168))/6400,0)</f>
        <v>7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155" t="n">
        <f aca="false">VLOOKUP(C164,$C$133:$H$153,3,0)</f>
        <v>1.106</v>
      </c>
      <c r="F164" s="267" t="n">
        <f aca="false">VLOOKUP(C164,$C$133:$I$153,7,0)</f>
        <v>622.571428571429</v>
      </c>
      <c r="G164" s="155" t="n">
        <f aca="false">VLOOKUP(C164,$C$133:$J$153,8,0)</f>
        <v>7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155" t="n">
        <f aca="false">VLOOKUP(C165,$C$133:$H$153,3,0)</f>
        <v>1.106</v>
      </c>
      <c r="F165" s="263" t="n">
        <f aca="false">VLOOKUP(C165,$C$133:$I$153,7,0)</f>
        <v>2408</v>
      </c>
      <c r="G165" s="155" t="n">
        <f aca="false">VLOOKUP(C165,$C$133:$J$153,8,0)</f>
        <v>10</v>
      </c>
      <c r="H165" s="160"/>
      <c r="I165" s="161"/>
      <c r="J165" s="161"/>
    </row>
    <row r="166" s="96" customFormat="true" ht="13.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155" t="n">
        <f aca="false">VLOOKUP(C166,$C$133:$H$153,3,0)</f>
        <v>1.106</v>
      </c>
      <c r="F166" s="263" t="n">
        <f aca="false">VLOOKUP(C166,$C$133:$I$153,7,0)</f>
        <v>2408</v>
      </c>
      <c r="G166" s="155" t="n">
        <f aca="false">VLOOKUP(C166,$C$133:$J$153,8,0)</f>
        <v>1</v>
      </c>
      <c r="H166" s="160"/>
      <c r="I166" s="161"/>
      <c r="J166" s="161"/>
    </row>
    <row r="167" s="96" customFormat="true" ht="13.5" hidden="false" customHeight="true" outlineLevel="1" collapsed="false">
      <c r="A167" s="158" t="n">
        <f aca="false">IF(B167="","",+A166+1)</f>
        <v>13</v>
      </c>
      <c r="B167" s="153" t="str">
        <f aca="false">B145</f>
        <v>เสากุญแจ</v>
      </c>
      <c r="C167" s="153" t="str">
        <f aca="false">C145</f>
        <v>SASH (Ver) LOCK </v>
      </c>
      <c r="D167" s="159"/>
      <c r="E167" s="155" t="n">
        <f aca="false">VLOOKUP(C167,$C$133:$H$153,3,0)</f>
        <v>1.106</v>
      </c>
      <c r="F167" s="263" t="n">
        <f aca="false">VLOOKUP(C167,$C$133:$I$153,7,0)</f>
        <v>2408</v>
      </c>
      <c r="G167" s="155" t="n">
        <f aca="false">VLOOKUP(C167,$C$133:$J$153,8,0)</f>
        <v>1</v>
      </c>
      <c r="H167" s="160"/>
      <c r="I167" s="161"/>
      <c r="J167" s="161"/>
    </row>
    <row r="168" s="96" customFormat="true" ht="15" hidden="false" customHeight="true" outlineLevel="1" collapsed="false">
      <c r="A168" s="158" t="n">
        <f aca="false">IF(B168="","",+A167+1)</f>
        <v>14</v>
      </c>
      <c r="B168" s="153" t="str">
        <f aca="false">B146</f>
        <v>เสากุญแจมือจับ</v>
      </c>
      <c r="C168" s="153" t="str">
        <f aca="false">C146</f>
        <v>SASH (Ver) LOCK HANDLE</v>
      </c>
      <c r="D168" s="159"/>
      <c r="E168" s="155" t="n">
        <f aca="false">VLOOKUP(C168,$C$133:$H$153,3,0)</f>
        <v>1.106</v>
      </c>
      <c r="F168" s="263" t="n">
        <f aca="false">VLOOKUP(C168,$C$133:$I$153,7,0)</f>
        <v>2408</v>
      </c>
      <c r="G168" s="155" t="n">
        <f aca="false">VLOOKUP(C168,$C$133:$J$153,8,0)</f>
        <v>1</v>
      </c>
      <c r="H168" s="160"/>
      <c r="I168" s="265"/>
      <c r="J168" s="265"/>
    </row>
    <row r="169" s="96" customFormat="true" ht="13.5" hidden="false" customHeight="true" outlineLevel="1" collapsed="false">
      <c r="A169" s="158" t="n">
        <f aca="false">IF(B169="","",+A168+1)</f>
        <v>15</v>
      </c>
      <c r="B169" s="153" t="str">
        <f aca="false">B147</f>
        <v>5-6mm คิ้วตบกระจกแนวนอน</v>
      </c>
      <c r="C169" s="153" t="str">
        <f aca="false">C147</f>
        <v>5-6mm GLAZING BEAD HORIZONTAL</v>
      </c>
      <c r="D169" s="159" t="str">
        <f aca="false">VLOOKUP(C169,$C$133:$H$153,2,0)</f>
        <v>B24008</v>
      </c>
      <c r="E169" s="155" t="n">
        <f aca="false">VLOOKUP(C169,$C$133:$H$153,3,0)</f>
        <v>0.231</v>
      </c>
      <c r="F169" s="267" t="n">
        <f aca="false">VLOOKUP(C169,$C$133:$I$153,7,0)</f>
        <v>512.214285714286</v>
      </c>
      <c r="G169" s="155" t="n">
        <f aca="false">VLOOKUP(C169,$C$133:$J$153,8,0)</f>
        <v>14</v>
      </c>
      <c r="H169" s="160" t="n">
        <f aca="false">ROUNDUP(((F169*G169)+(F170*G170))/6400,0)</f>
        <v>7</v>
      </c>
      <c r="I169" s="196"/>
      <c r="J169" s="196"/>
    </row>
    <row r="170" s="96" customFormat="true" ht="15" hidden="false" customHeight="true" outlineLevel="1" collapsed="false">
      <c r="A170" s="158" t="n">
        <f aca="false">IF(B170="","",+A169+1)</f>
        <v>16</v>
      </c>
      <c r="B170" s="153" t="str">
        <f aca="false">B148</f>
        <v>5-6mm คิ้วตบกระจกแนวตั้ง</v>
      </c>
      <c r="C170" s="153" t="str">
        <f aca="false">C148</f>
        <v>5-6mm GLAZING BEAD VERTICAL</v>
      </c>
      <c r="D170" s="159"/>
      <c r="E170" s="155" t="n">
        <f aca="false">VLOOKUP(C170,$C$133:$H$153,3,0)</f>
        <v>0.231</v>
      </c>
      <c r="F170" s="263" t="n">
        <f aca="false">VLOOKUP(C170,$C$133:$I$153,7,0)</f>
        <v>2258</v>
      </c>
      <c r="G170" s="155" t="n">
        <f aca="false">VLOOKUP(C170,$C$133:$J$153,8,0)</f>
        <v>14</v>
      </c>
      <c r="H170" s="160"/>
      <c r="I170" s="196"/>
      <c r="J170" s="196"/>
    </row>
    <row r="171" s="96" customFormat="true" ht="13.5" hidden="false" customHeight="true" outlineLevel="1" collapsed="false">
      <c r="A171" s="158" t="n">
        <f aca="false">IF(B171="","",+A170+1)</f>
        <v>17</v>
      </c>
      <c r="B171" s="153" t="str">
        <f aca="false">B149</f>
        <v>บังใบ</v>
      </c>
      <c r="C171" s="153" t="str">
        <f aca="false">C149</f>
        <v>SASH STOP</v>
      </c>
      <c r="D171" s="163" t="str">
        <f aca="false">VLOOKUP(C171,$C$133:$H$153,2,0)</f>
        <v>B24009</v>
      </c>
      <c r="E171" s="155" t="n">
        <f aca="false">VLOOKUP(C171,$C$133:$H$153,3,0)</f>
        <v>0</v>
      </c>
      <c r="F171" s="263" t="n">
        <f aca="false">VLOOKUP(C171,$C$133:$I$153,7,0)</f>
        <v>2408</v>
      </c>
      <c r="G171" s="155" t="n">
        <f aca="false">VLOOKUP(C171,$C$133:$J$153,8,0)</f>
        <v>1</v>
      </c>
      <c r="H171" s="160" t="n">
        <f aca="false">ROUNDUP(((F171*G171)+(F172*G172))/6400,0)</f>
        <v>1</v>
      </c>
      <c r="I171" s="196"/>
      <c r="J171" s="196"/>
    </row>
    <row r="172" s="96" customFormat="true" ht="14.25" hidden="false" customHeight="false" outlineLevel="1" collapsed="false">
      <c r="A172" s="158" t="n">
        <f aca="false">IF(B172="","",+A171+1)</f>
        <v>18</v>
      </c>
      <c r="B172" s="153" t="str">
        <f aca="false">B150</f>
        <v>บังใบ</v>
      </c>
      <c r="C172" s="153" t="str">
        <f aca="false">C150</f>
        <v>SASH STOP</v>
      </c>
      <c r="D172" s="163"/>
      <c r="E172" s="155" t="n">
        <f aca="false">VLOOKUP(C172,$C$133:$H$153,3,0)</f>
        <v>0</v>
      </c>
      <c r="F172" s="263" t="n">
        <f aca="false">VLOOKUP(C172,$C$133:$I$153,7,0)</f>
        <v>2408</v>
      </c>
      <c r="G172" s="155" t="n">
        <f aca="false">VLOOKUP(C172,$C$133:$J$153,8,0)</f>
        <v>1</v>
      </c>
      <c r="H172" s="160"/>
      <c r="I172" s="196"/>
      <c r="J172" s="196"/>
    </row>
    <row r="173" s="96" customFormat="true" ht="24.75" hidden="false" customHeight="true" outlineLevel="0" collapsed="false">
      <c r="A173" s="113" t="s">
        <v>396</v>
      </c>
      <c r="B173" s="113"/>
      <c r="C173" s="113"/>
      <c r="D173" s="113"/>
      <c r="E173" s="113"/>
      <c r="F173" s="113"/>
      <c r="G173" s="113"/>
      <c r="H173" s="113"/>
      <c r="I173" s="113"/>
      <c r="J173" s="113"/>
    </row>
    <row r="174" s="96" customFormat="true" ht="34.5" hidden="false" customHeight="true" outlineLevel="0" collapsed="false">
      <c r="A174" s="114" t="s">
        <v>319</v>
      </c>
      <c r="B174" s="115" t="s">
        <v>320</v>
      </c>
      <c r="C174" s="115" t="s">
        <v>168</v>
      </c>
      <c r="D174" s="115" t="s">
        <v>397</v>
      </c>
      <c r="E174" s="115" t="s">
        <v>321</v>
      </c>
      <c r="F174" s="116" t="s">
        <v>398</v>
      </c>
      <c r="G174" s="115" t="s">
        <v>399</v>
      </c>
      <c r="H174" s="116" t="s">
        <v>400</v>
      </c>
      <c r="I174" s="116" t="s">
        <v>401</v>
      </c>
      <c r="J174" s="117" t="s">
        <v>402</v>
      </c>
      <c r="N174" s="107" t="s">
        <v>288</v>
      </c>
      <c r="O174" s="165" t="s">
        <v>320</v>
      </c>
      <c r="P174" s="165" t="s">
        <v>168</v>
      </c>
      <c r="Q174" s="165" t="s">
        <v>397</v>
      </c>
      <c r="R174" s="165" t="s">
        <v>321</v>
      </c>
      <c r="S174" s="165" t="s">
        <v>398</v>
      </c>
      <c r="T174" s="165" t="s">
        <v>399</v>
      </c>
      <c r="U174" s="165" t="s">
        <v>400</v>
      </c>
      <c r="V174" s="165" t="s">
        <v>401</v>
      </c>
      <c r="W174" s="165" t="s">
        <v>402</v>
      </c>
    </row>
    <row r="175" s="96" customFormat="true" ht="18" hidden="false" customHeight="true" outlineLevel="0" collapsed="false">
      <c r="A175" s="166" t="n">
        <f aca="false">IF(B175="","",1)</f>
        <v>1</v>
      </c>
      <c r="B175" s="131" t="s">
        <v>410</v>
      </c>
      <c r="C175" s="131" t="s">
        <v>411</v>
      </c>
      <c r="D175" s="132" t="s">
        <v>267</v>
      </c>
      <c r="E175" s="130"/>
      <c r="F175" s="130" t="s">
        <v>267</v>
      </c>
      <c r="G175" s="130" t="s">
        <v>405</v>
      </c>
      <c r="H175" s="130" t="n">
        <v>14</v>
      </c>
      <c r="I175" s="133"/>
      <c r="J175" s="134" t="n">
        <f aca="false">$J$120*H175</f>
        <v>14</v>
      </c>
      <c r="N175" s="107" t="s">
        <v>406</v>
      </c>
      <c r="O175" s="55" t="s">
        <v>407</v>
      </c>
      <c r="P175" s="62" t="s">
        <v>408</v>
      </c>
      <c r="Q175" s="55" t="s">
        <v>227</v>
      </c>
      <c r="R175" s="158"/>
      <c r="S175" s="158" t="s">
        <v>227</v>
      </c>
      <c r="T175" s="158" t="s">
        <v>409</v>
      </c>
      <c r="U175" s="168" t="n">
        <f aca="false">((($I$141*$G$141)+($I$142*$G$142)+($I$143*$G$143)+($I$144*$G$144)+($I$145*$G$145)+($I$146*$G$146))/1000)*$J$120</f>
        <v>42.428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2</v>
      </c>
      <c r="B176" s="131" t="s">
        <v>415</v>
      </c>
      <c r="C176" s="131" t="s">
        <v>416</v>
      </c>
      <c r="D176" s="132" t="s">
        <v>222</v>
      </c>
      <c r="E176" s="130"/>
      <c r="F176" s="130" t="s">
        <v>222</v>
      </c>
      <c r="G176" s="130" t="s">
        <v>405</v>
      </c>
      <c r="H176" s="130" t="n">
        <v>2</v>
      </c>
      <c r="I176" s="133"/>
      <c r="J176" s="134" t="n">
        <f aca="false">$J$120*H176</f>
        <v>2</v>
      </c>
      <c r="N176" s="107" t="s">
        <v>412</v>
      </c>
      <c r="O176" s="55" t="s">
        <v>413</v>
      </c>
      <c r="P176" s="62" t="s">
        <v>414</v>
      </c>
      <c r="Q176" s="55" t="s">
        <v>234</v>
      </c>
      <c r="R176" s="158"/>
      <c r="S176" s="158" t="s">
        <v>234</v>
      </c>
      <c r="T176" s="158" t="s">
        <v>409</v>
      </c>
      <c r="U176" s="168" t="n">
        <f aca="false">((($I$141*$G$141)+($I$142*$G$142)+($I$143*$G$143)+($I$144*$G$144)+($I$145*$G$145)+($I$146*$G$146))/1000)*$J$120</f>
        <v>42.428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3</v>
      </c>
      <c r="B177" s="131" t="s">
        <v>420</v>
      </c>
      <c r="C177" s="131" t="s">
        <v>421</v>
      </c>
      <c r="D177" s="132" t="s">
        <v>225</v>
      </c>
      <c r="E177" s="130"/>
      <c r="F177" s="130" t="s">
        <v>225</v>
      </c>
      <c r="G177" s="130" t="s">
        <v>405</v>
      </c>
      <c r="H177" s="130" t="n">
        <v>2</v>
      </c>
      <c r="I177" s="133"/>
      <c r="J177" s="134" t="n">
        <f aca="false">$J$120*H177</f>
        <v>2</v>
      </c>
      <c r="N177" s="107" t="s">
        <v>417</v>
      </c>
      <c r="O177" s="62" t="s">
        <v>418</v>
      </c>
      <c r="P177" s="62" t="s">
        <v>419</v>
      </c>
      <c r="Q177" s="55" t="s">
        <v>236</v>
      </c>
      <c r="R177" s="158"/>
      <c r="S177" s="158" t="s">
        <v>236</v>
      </c>
      <c r="T177" s="158" t="s">
        <v>409</v>
      </c>
      <c r="U177" s="168" t="n">
        <f aca="false">((($I$141*$G$141)+($I$142*$G$142)+($I$143*$G$143)+($I$144*$G$144)+($I$145*$G$145)+($I$146*$G$146))/1000)*$J$120</f>
        <v>42.428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4</v>
      </c>
      <c r="B178" s="131" t="s">
        <v>425</v>
      </c>
      <c r="C178" s="131" t="s">
        <v>426</v>
      </c>
      <c r="D178" s="132" t="n">
        <v>9</v>
      </c>
      <c r="E178" s="130"/>
      <c r="F178" s="130" t="n">
        <v>9</v>
      </c>
      <c r="G178" s="130" t="s">
        <v>405</v>
      </c>
      <c r="H178" s="130" t="n">
        <v>8</v>
      </c>
      <c r="I178" s="133"/>
      <c r="J178" s="134" t="n">
        <f aca="false">$J$120*H178</f>
        <v>8</v>
      </c>
      <c r="N178" s="107" t="s">
        <v>422</v>
      </c>
      <c r="O178" s="62" t="s">
        <v>423</v>
      </c>
      <c r="P178" s="62" t="s">
        <v>424</v>
      </c>
      <c r="Q178" s="55" t="s">
        <v>238</v>
      </c>
      <c r="R178" s="158"/>
      <c r="S178" s="158" t="s">
        <v>238</v>
      </c>
      <c r="T178" s="158" t="s">
        <v>409</v>
      </c>
      <c r="U178" s="168" t="n">
        <f aca="false">((($I$141*$G$141)+($I$142*$G$142)+($I$143*$G$143)+($I$144*$G$144)+($I$145*$G$145)+($I$146*$G$146))/1000)*$J$120</f>
        <v>42.428</v>
      </c>
      <c r="V178" s="168" t="n">
        <v>100</v>
      </c>
      <c r="W178" s="169" t="n">
        <f aca="false">ROUNDUP((U178)/100,0)</f>
        <v>1</v>
      </c>
    </row>
    <row r="179" s="96" customFormat="true" ht="18" hidden="false" customHeight="true" outlineLevel="0" collapsed="false">
      <c r="A179" s="170" t="n">
        <f aca="false">IF(B179="","",+A178+1)</f>
        <v>5</v>
      </c>
      <c r="B179" s="131" t="s">
        <v>430</v>
      </c>
      <c r="C179" s="131" t="s">
        <v>431</v>
      </c>
      <c r="D179" s="132" t="n">
        <v>9</v>
      </c>
      <c r="E179" s="130"/>
      <c r="F179" s="130" t="n">
        <v>9</v>
      </c>
      <c r="G179" s="130" t="s">
        <v>405</v>
      </c>
      <c r="H179" s="130" t="n">
        <v>110</v>
      </c>
      <c r="I179" s="133"/>
      <c r="J179" s="134" t="n">
        <f aca="false">$J$120*H179</f>
        <v>110</v>
      </c>
      <c r="N179" s="107" t="s">
        <v>427</v>
      </c>
      <c r="O179" s="62" t="s">
        <v>428</v>
      </c>
      <c r="P179" s="62" t="s">
        <v>429</v>
      </c>
      <c r="Q179" s="55" t="s">
        <v>240</v>
      </c>
      <c r="R179" s="158"/>
      <c r="S179" s="158" t="s">
        <v>240</v>
      </c>
      <c r="T179" s="158" t="s">
        <v>409</v>
      </c>
      <c r="U179" s="168" t="n">
        <f aca="false">((($I$141*$G$141)+($I$142*$G$142)+($I$143*$G$143)+($I$144*$G$144)+($I$145*$G$145)+($I$146*$G$146))/1000)*$J$120</f>
        <v>42.428</v>
      </c>
      <c r="V179" s="168" t="n">
        <v>100</v>
      </c>
      <c r="W179" s="169" t="n">
        <f aca="false">ROUNDUP((U179)/100,0)</f>
        <v>1</v>
      </c>
    </row>
    <row r="180" s="96" customFormat="true" ht="18" hidden="false" customHeight="true" outlineLevel="0" collapsed="false">
      <c r="A180" s="170" t="n">
        <f aca="false">IF(B180="","",+A179+1)</f>
        <v>6</v>
      </c>
      <c r="B180" s="131" t="s">
        <v>432</v>
      </c>
      <c r="C180" s="131" t="s">
        <v>433</v>
      </c>
      <c r="D180" s="132" t="s">
        <v>6</v>
      </c>
      <c r="E180" s="130"/>
      <c r="F180" s="130" t="s">
        <v>6</v>
      </c>
      <c r="G180" s="130" t="s">
        <v>434</v>
      </c>
      <c r="H180" s="130" t="n">
        <v>1</v>
      </c>
      <c r="I180" s="133"/>
      <c r="J180" s="134" t="n">
        <f aca="false">$J$120*H180</f>
        <v>1</v>
      </c>
    </row>
    <row r="181" s="96" customFormat="true" ht="18" hidden="false" customHeight="true" outlineLevel="0" collapsed="false">
      <c r="A181" s="170" t="n">
        <f aca="false">IF(B181="","",+A180+1)</f>
        <v>7</v>
      </c>
      <c r="B181" s="131" t="s">
        <v>512</v>
      </c>
      <c r="C181" s="131" t="s">
        <v>513</v>
      </c>
      <c r="D181" s="132" t="s">
        <v>7</v>
      </c>
      <c r="E181" s="130"/>
      <c r="F181" s="130" t="s">
        <v>7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8</v>
      </c>
      <c r="B182" s="131" t="s">
        <v>554</v>
      </c>
      <c r="C182" s="131" t="s">
        <v>555</v>
      </c>
      <c r="D182" s="132" t="s">
        <v>11</v>
      </c>
      <c r="E182" s="130"/>
      <c r="F182" s="130" t="s">
        <v>11</v>
      </c>
      <c r="G182" s="130" t="s">
        <v>434</v>
      </c>
      <c r="H182" s="130" t="n">
        <v>2</v>
      </c>
      <c r="I182" s="133"/>
      <c r="J182" s="134" t="n">
        <f aca="false">$J$120*H182</f>
        <v>2</v>
      </c>
    </row>
    <row r="183" s="96" customFormat="true" ht="18" hidden="false" customHeight="true" outlineLevel="0" collapsed="false">
      <c r="A183" s="170" t="n">
        <f aca="false">IF(B183="","",+A182+1)</f>
        <v>9</v>
      </c>
      <c r="B183" s="131" t="s">
        <v>439</v>
      </c>
      <c r="C183" s="131" t="s">
        <v>440</v>
      </c>
      <c r="D183" s="132" t="s">
        <v>12</v>
      </c>
      <c r="E183" s="130"/>
      <c r="F183" s="130" t="s">
        <v>12</v>
      </c>
      <c r="G183" s="130" t="s">
        <v>434</v>
      </c>
      <c r="H183" s="130" t="n">
        <v>3</v>
      </c>
      <c r="I183" s="142"/>
      <c r="J183" s="134" t="n">
        <f aca="false">$J$120*H183</f>
        <v>3</v>
      </c>
    </row>
    <row r="184" s="96" customFormat="true" ht="18" hidden="false" customHeight="true" outlineLevel="0" collapsed="false">
      <c r="A184" s="170" t="n">
        <f aca="false">IF(B184="","",+A183+1)</f>
        <v>10</v>
      </c>
      <c r="B184" s="131" t="s">
        <v>603</v>
      </c>
      <c r="C184" s="131" t="s">
        <v>438</v>
      </c>
      <c r="D184" s="132" t="s">
        <v>4</v>
      </c>
      <c r="E184" s="130"/>
      <c r="F184" s="130" t="s">
        <v>4</v>
      </c>
      <c r="G184" s="130" t="s">
        <v>434</v>
      </c>
      <c r="H184" s="130" t="n">
        <v>2</v>
      </c>
      <c r="I184" s="133"/>
      <c r="J184" s="134" t="n">
        <f aca="false">$J$120*H184</f>
        <v>2</v>
      </c>
      <c r="Q184" s="172"/>
      <c r="R184" s="172"/>
      <c r="S184" s="172"/>
      <c r="T184" s="97"/>
      <c r="U184" s="97"/>
      <c r="V184" s="97"/>
    </row>
    <row r="185" s="96" customFormat="true" ht="18" hidden="false" customHeight="true" outlineLevel="0" collapsed="false">
      <c r="A185" s="170" t="n">
        <f aca="false">IF(B185="","",+A184+1)</f>
        <v>11</v>
      </c>
      <c r="B185" s="131" t="s">
        <v>556</v>
      </c>
      <c r="C185" s="131" t="s">
        <v>557</v>
      </c>
      <c r="D185" s="132" t="s">
        <v>5</v>
      </c>
      <c r="E185" s="130"/>
      <c r="F185" s="130" t="s">
        <v>5</v>
      </c>
      <c r="G185" s="130" t="s">
        <v>434</v>
      </c>
      <c r="H185" s="130" t="n">
        <v>1</v>
      </c>
      <c r="I185" s="133"/>
      <c r="J185" s="134" t="n">
        <f aca="false">$J$120*H185</f>
        <v>1</v>
      </c>
      <c r="N185" s="107" t="s">
        <v>289</v>
      </c>
      <c r="O185" s="165" t="s">
        <v>320</v>
      </c>
      <c r="P185" s="165" t="s">
        <v>168</v>
      </c>
      <c r="Q185" s="165" t="s">
        <v>397</v>
      </c>
      <c r="R185" s="165" t="s">
        <v>321</v>
      </c>
      <c r="S185" s="165" t="s">
        <v>398</v>
      </c>
      <c r="T185" s="165" t="s">
        <v>399</v>
      </c>
      <c r="U185" s="165" t="s">
        <v>400</v>
      </c>
      <c r="V185" s="165" t="s">
        <v>401</v>
      </c>
      <c r="W185" s="165" t="s">
        <v>402</v>
      </c>
    </row>
    <row r="186" s="96" customFormat="true" ht="18" hidden="false" customHeight="true" outlineLevel="0" collapsed="false">
      <c r="A186" s="170" t="n">
        <f aca="false">IF(B186="","",+A185+1)</f>
        <v>12</v>
      </c>
      <c r="B186" s="131" t="s">
        <v>435</v>
      </c>
      <c r="C186" s="131" t="s">
        <v>436</v>
      </c>
      <c r="D186" s="132" t="s">
        <v>9</v>
      </c>
      <c r="E186" s="130"/>
      <c r="F186" s="130" t="s">
        <v>9</v>
      </c>
      <c r="G186" s="130" t="s">
        <v>434</v>
      </c>
      <c r="H186" s="130" t="n">
        <v>1</v>
      </c>
      <c r="I186" s="133"/>
      <c r="J186" s="134" t="n">
        <f aca="false">$J$120*H186</f>
        <v>1</v>
      </c>
      <c r="N186" s="107" t="s">
        <v>445</v>
      </c>
      <c r="O186" s="62" t="s">
        <v>446</v>
      </c>
      <c r="P186" s="62" t="s">
        <v>447</v>
      </c>
      <c r="Q186" s="55" t="s">
        <v>230</v>
      </c>
      <c r="R186" s="158"/>
      <c r="S186" s="158" t="s">
        <v>230</v>
      </c>
      <c r="T186" s="158" t="s">
        <v>409</v>
      </c>
      <c r="U186" s="168" t="n">
        <f aca="false">((($I$134*$G$134)+($I$136*$G$136)+($I$139*$G$139))/1000)*$J$120</f>
        <v>11.158</v>
      </c>
      <c r="V186" s="168" t="n">
        <v>300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13</v>
      </c>
      <c r="B187" s="131" t="s">
        <v>540</v>
      </c>
      <c r="C187" s="131" t="s">
        <v>541</v>
      </c>
      <c r="D187" s="132" t="s">
        <v>542</v>
      </c>
      <c r="E187" s="130"/>
      <c r="F187" s="130" t="s">
        <v>542</v>
      </c>
      <c r="G187" s="130" t="s">
        <v>434</v>
      </c>
      <c r="H187" s="130" t="n">
        <v>1</v>
      </c>
      <c r="I187" s="142"/>
      <c r="J187" s="134" t="n">
        <f aca="false">$J$120*H187</f>
        <v>1</v>
      </c>
      <c r="N187" s="107" t="s">
        <v>448</v>
      </c>
      <c r="O187" s="62" t="s">
        <v>449</v>
      </c>
      <c r="P187" s="62" t="s">
        <v>450</v>
      </c>
      <c r="Q187" s="55" t="s">
        <v>451</v>
      </c>
      <c r="R187" s="158"/>
      <c r="S187" s="158" t="s">
        <v>451</v>
      </c>
      <c r="T187" s="158" t="s">
        <v>409</v>
      </c>
      <c r="U187" s="168" t="n">
        <f aca="false">((($I$134*$G$134)+($I$136*$G$136)+($I$139*$G$139))/1000)*$J$120</f>
        <v>11.158</v>
      </c>
      <c r="V187" s="168" t="n">
        <v>100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14</v>
      </c>
      <c r="B188" s="131" t="s">
        <v>441</v>
      </c>
      <c r="C188" s="131" t="s">
        <v>442</v>
      </c>
      <c r="D188" s="132" t="s">
        <v>274</v>
      </c>
      <c r="E188" s="130"/>
      <c r="F188" s="130" t="s">
        <v>274</v>
      </c>
      <c r="G188" s="130" t="s">
        <v>405</v>
      </c>
      <c r="H188" s="130" t="n">
        <v>6</v>
      </c>
      <c r="I188" s="133"/>
      <c r="J188" s="134" t="n">
        <f aca="false">$J$120*H188</f>
        <v>6</v>
      </c>
      <c r="N188" s="107" t="s">
        <v>445</v>
      </c>
      <c r="O188" s="62" t="s">
        <v>452</v>
      </c>
      <c r="P188" s="62" t="s">
        <v>453</v>
      </c>
      <c r="Q188" s="55" t="s">
        <v>232</v>
      </c>
      <c r="R188" s="158"/>
      <c r="S188" s="158" t="s">
        <v>232</v>
      </c>
      <c r="T188" s="158" t="s">
        <v>409</v>
      </c>
      <c r="U188" s="168" t="n">
        <f aca="false">((($I$141*$G$141*2)+($I$143*$G$143*2)+($I$144*$G$144*2)+($I$145*$G$145))/1000)*$J$120</f>
        <v>66.508</v>
      </c>
      <c r="V188" s="168" t="n">
        <v>350</v>
      </c>
      <c r="W188" s="169" t="n">
        <f aca="false">ROUNDUP((U188)/V188,0)</f>
        <v>1</v>
      </c>
    </row>
    <row r="189" s="96" customFormat="true" ht="18" hidden="false" customHeight="true" outlineLevel="0" collapsed="false">
      <c r="A189" s="170" t="n">
        <f aca="false">IF(B189="","",+A188+1)</f>
        <v>15</v>
      </c>
      <c r="B189" s="131" t="s">
        <v>443</v>
      </c>
      <c r="C189" s="131" t="s">
        <v>444</v>
      </c>
      <c r="D189" s="132" t="s">
        <v>272</v>
      </c>
      <c r="E189" s="130"/>
      <c r="F189" s="130" t="s">
        <v>272</v>
      </c>
      <c r="G189" s="130" t="s">
        <v>405</v>
      </c>
      <c r="H189" s="130" t="n">
        <v>1</v>
      </c>
      <c r="I189" s="133"/>
      <c r="J189" s="134" t="n">
        <f aca="false">$J$120*H189</f>
        <v>1</v>
      </c>
      <c r="N189" s="107" t="s">
        <v>448</v>
      </c>
      <c r="O189" s="62" t="s">
        <v>454</v>
      </c>
      <c r="P189" s="62" t="s">
        <v>455</v>
      </c>
      <c r="Q189" s="55" t="s">
        <v>456</v>
      </c>
      <c r="R189" s="158"/>
      <c r="S189" s="158" t="s">
        <v>456</v>
      </c>
      <c r="T189" s="158" t="s">
        <v>409</v>
      </c>
      <c r="U189" s="168" t="n">
        <f aca="false">((($I$141*$G$141*2)+($I$143*$G$143*2)+($I$144*$G$144*2)+($I$145*$G$145))/1000)*$J$120</f>
        <v>66.508</v>
      </c>
      <c r="V189" s="168" t="n">
        <v>100</v>
      </c>
      <c r="W189" s="169" t="n">
        <f aca="false">ROUNDUP((U189)/V189,0)</f>
        <v>1</v>
      </c>
    </row>
    <row r="190" s="96" customFormat="true" ht="18" hidden="false" customHeight="true" outlineLevel="0" collapsed="false">
      <c r="A190" s="170" t="n">
        <f aca="false">IF(B190="","",+A189+1)</f>
        <v>16</v>
      </c>
      <c r="B190" s="131" t="s">
        <v>403</v>
      </c>
      <c r="C190" s="131" t="s">
        <v>404</v>
      </c>
      <c r="D190" s="132" t="s">
        <v>276</v>
      </c>
      <c r="E190" s="130"/>
      <c r="F190" s="130" t="s">
        <v>276</v>
      </c>
      <c r="G190" s="130" t="s">
        <v>405</v>
      </c>
      <c r="H190" s="130" t="n">
        <v>3</v>
      </c>
      <c r="I190" s="133"/>
      <c r="J190" s="134" t="n">
        <f aca="false">$J$120*H190</f>
        <v>3</v>
      </c>
    </row>
    <row r="191" s="96" customFormat="true" ht="18" hidden="false" customHeight="true" outlineLevel="0" collapsed="false">
      <c r="A191" s="170" t="n">
        <f aca="false">IF(B191="","",+A190+1)</f>
        <v>17</v>
      </c>
      <c r="B191" s="131" t="s">
        <v>580</v>
      </c>
      <c r="C191" s="131" t="s">
        <v>581</v>
      </c>
      <c r="D191" s="132" t="s">
        <v>582</v>
      </c>
      <c r="E191" s="130"/>
      <c r="F191" s="130" t="s">
        <v>582</v>
      </c>
      <c r="G191" s="130" t="s">
        <v>409</v>
      </c>
      <c r="H191" s="173" t="n">
        <f aca="false">((($I$149*$G$149)+($I$150*$G$150))/1000)*$J$120</f>
        <v>4.816</v>
      </c>
      <c r="I191" s="174" t="n">
        <v>100</v>
      </c>
      <c r="J191" s="175" t="n">
        <f aca="false">ROUNDUP((H191)/100,0)</f>
        <v>1</v>
      </c>
    </row>
    <row r="192" s="96" customFormat="true" ht="18" hidden="false" customHeight="true" outlineLevel="0" collapsed="false">
      <c r="A192" s="170" t="n">
        <f aca="false">IF(B192="","",+A191+1)</f>
        <v>18</v>
      </c>
      <c r="B192" s="131" t="s">
        <v>583</v>
      </c>
      <c r="C192" s="131" t="s">
        <v>584</v>
      </c>
      <c r="D192" s="132" t="s">
        <v>585</v>
      </c>
      <c r="E192" s="130"/>
      <c r="F192" s="130" t="s">
        <v>585</v>
      </c>
      <c r="G192" s="130" t="s">
        <v>409</v>
      </c>
      <c r="H192" s="173" t="n">
        <f aca="false">((($I$144*$G$144)+(I146*G146))/1000)*$J$120</f>
        <v>4.816</v>
      </c>
      <c r="I192" s="174" t="n">
        <v>100</v>
      </c>
      <c r="J192" s="175" t="n">
        <f aca="false">ROUNDUP((H192)/100,0)</f>
        <v>1</v>
      </c>
    </row>
    <row r="193" s="96" customFormat="true" ht="18" hidden="false" customHeight="true" outlineLevel="0" collapsed="false">
      <c r="A193" s="170" t="n">
        <f aca="false">IF(B193="","",+A192+1)</f>
        <v>19</v>
      </c>
      <c r="B193" s="132" t="str">
        <f aca="false">IF($D$129="Standard",O186,IF($D$129="Soumdproof",O187,))</f>
        <v>ยางเฟรมกันน้ำ (ธรรมดา)</v>
      </c>
      <c r="C193" s="132" t="str">
        <f aca="false">IF($D$129="Standard",P186,IF($D$129="Soumdproof",P187,))</f>
        <v>FRAME SEAL (Standard)</v>
      </c>
      <c r="D193" s="132" t="str">
        <f aca="false">IF($D$129="Standard",Q186,IF($D$129="Soumdproof",Q187,))</f>
        <v>02-026</v>
      </c>
      <c r="E193" s="132" t="n">
        <f aca="false">IF($D$129="Standard",R186,IF($D$129="Soumdproof",R187,))</f>
        <v>0</v>
      </c>
      <c r="F193" s="130" t="str">
        <f aca="false">IF($D$129="Standard",S186,IF($D$129="Soumdproof",S187,))</f>
        <v>02-026</v>
      </c>
      <c r="G193" s="130" t="str">
        <f aca="false">IF($D$129="Standard",T186,IF($D$129="Soumdproof",T187,))</f>
        <v>M</v>
      </c>
      <c r="H193" s="173" t="n">
        <f aca="false">IF($D$129="Standard",U186,IF($D$129="Soumdproof",U187,))</f>
        <v>11.158</v>
      </c>
      <c r="I193" s="174" t="n">
        <f aca="false">IF($D$129="Standard",V186,IF($D$129="Soumdproof",V187,))</f>
        <v>300</v>
      </c>
      <c r="J193" s="175" t="n">
        <f aca="false">ROUNDUP((H193)/100,0)</f>
        <v>1</v>
      </c>
    </row>
    <row r="194" s="96" customFormat="true" ht="18" hidden="false" customHeight="true" outlineLevel="0" collapsed="false">
      <c r="A194" s="170" t="n">
        <f aca="false">IF(B194="","",+A193+1)</f>
        <v>20</v>
      </c>
      <c r="B194" s="132" t="str">
        <f aca="false">IF($D$129="Standard",O188,IF($D$129="Soumdproof",O189,))</f>
        <v>ยางแซชกันน้ำ (ธรรมดา)</v>
      </c>
      <c r="C194" s="132" t="str">
        <f aca="false">IF($D$129="Standard",P188,IF($D$129="Soumdproof",P189,))</f>
        <v>SASH SEAL FOAM (Standard)</v>
      </c>
      <c r="D194" s="132" t="str">
        <f aca="false">IF($D$129="Standard",Q188,IF($D$129="Soumdproof",Q189,))</f>
        <v>02-031</v>
      </c>
      <c r="E194" s="132" t="n">
        <f aca="false">IF($D$129="Standard",R188,IF($D$129="Soumdproof",R189,))</f>
        <v>0</v>
      </c>
      <c r="F194" s="130" t="str">
        <f aca="false">IF($D$129="Standard",S188,IF($D$129="Soumdproof",S189,))</f>
        <v>02-031</v>
      </c>
      <c r="G194" s="130" t="str">
        <f aca="false">IF($D$129="Standard",T188,IF($D$129="Soumdproof",T189,))</f>
        <v>M</v>
      </c>
      <c r="H194" s="173" t="n">
        <f aca="false">IF($D$129="Standard",U188,IF($D$129="Soumdproof",U189,))</f>
        <v>66.508</v>
      </c>
      <c r="I194" s="174" t="n">
        <f aca="false">IF($D$129="Standard",V188,IF($D$129="Soumdproof",V189,))</f>
        <v>350</v>
      </c>
      <c r="J194" s="175" t="n">
        <f aca="false">ROUNDUP((H194)/100,0)</f>
        <v>1</v>
      </c>
    </row>
    <row r="195" customFormat="false" ht="18" hidden="false" customHeight="true" outlineLevel="0" collapsed="false">
      <c r="A195" s="170" t="n">
        <f aca="false">IF(B195="","",+A194+1)</f>
        <v>21</v>
      </c>
      <c r="B195" s="176" t="str">
        <f aca="false">IF($D$127=5,$O$177,IF($D$127=6,$O$178,IF($D$127=8,$O$179,IF($D$127=10,$O$177,IF($D$127=12,$O$177,IF($D$127=14,$O$179,IF($D$127=18,$O$177,IF($D$127=20,$O$178,IF($D$127=22,"")))))))))</f>
        <v>5,8,10,12,18 mmยางอัดกระจก</v>
      </c>
      <c r="C195" s="176" t="str">
        <f aca="false">IF($D$127=5,$P$177,IF($D$127=6,$P$178,IF($D$127=8,$P$179,IF($D$127=10,$P$177,IF($D$127=12,$P$177,IF($D$127=14,$P$179,IF($D$127=18,$P$177,IF($D$127=20,$P$178,IF($D$127=22,"")))))))))</f>
        <v>5,8,10,12,18 mm ROLL IN WEDGE</v>
      </c>
      <c r="D195" s="176" t="str">
        <f aca="false">IF($D$127=5,$Q$177,IF($D$127=6,$Q$178,IF($D$127=8,$Q$179,IF($D$127=10,$Q$177,IF($D$127=12,$Q$177,IF($D$127=14,$Q$179,IF($D$127=18,$Q$177,IF($D$127=20,$Q$178,IF($D$127=22,"")))))))))</f>
        <v>02-033</v>
      </c>
      <c r="E195" s="176" t="n">
        <f aca="false">IF($D$129=5,R181,IF($D$129=6,R182,IF($D$129=8,R183,IF($D$129=10,R181,IF($D$129=12,R181,IF($D$129=14,R183,IF($D$129=18,R181,IF($D$129=20,R182,IF($D$129=22,"",)))))))))</f>
        <v>0</v>
      </c>
      <c r="F195" s="167" t="str">
        <f aca="false">IF($D$127=5,$S$177,IF($D$127=6,$S$178,IF($D$127=8,$S$179,IF($D$127=10,$S$177,IF($D$127=12,$S$177,IF($D$127=14,$S$179,IF($D$127=18,$S$177,IF($D$127=20,$S$178,IF($D$127=22,"")))))))))</f>
        <v>02-033</v>
      </c>
      <c r="G195" s="167" t="str">
        <f aca="false">IF($D$127=5,$T$177,IF($D$127=6,$T$178,IF($D$127=8,$T$179,IF($D$127=10,$T$177,IF($D$127=12,$T$177,IF($D$127=14,$T$179,IF($D$127=18,$T$177,IF($D$127=20,$T$178,IF($D$127=22,"")))))))))</f>
        <v>M</v>
      </c>
      <c r="H195" s="173" t="n">
        <f aca="false">IF($D$127=5,$U$177,IF($D$127=6,$U$178,IF($D$127=8,$U$179,IF($D$127=10,$U$177*2,IF($D$127=12,$U$177,IF($D$127=14,$U$179*2,IF($D$127=18,$U$177,IF($D$127=20,$U$178,IF($D$127=22,"")))))))))</f>
        <v>42.428</v>
      </c>
      <c r="I195" s="174" t="n">
        <f aca="false">IF($D$127=5,$V$177,IF($D$127=6,$V$178,IF($D$127=8,$V$179,IF($D$127=10,$V$177,IF($D$127=12,$V$177,IF($D$127=14,$V$179,IF($D$127=18,$V$177,IF($D$127=20,$V$178,IF($D$127=22,"")))))))))</f>
        <v>100</v>
      </c>
      <c r="J195" s="177" t="n">
        <f aca="false">ROUNDUP((H195)/100,0)</f>
        <v>1</v>
      </c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</row>
    <row r="196" s="96" customFormat="true" ht="18" hidden="false" customHeight="true" outlineLevel="0" collapsed="false">
      <c r="A196" s="170" t="n">
        <f aca="false">IF(B196="","",+A195+1)</f>
        <v>22</v>
      </c>
      <c r="B196" s="176" t="str">
        <f aca="false">IF($D$127=5,$O$175,IF($D$127=6,$O$175,IF($D$127=8,$O$177,IF($D$127=10,"",IF($D$127=12,$O$176,IF($D$127=14,"",IF($D$127=18,$O$175,IF($D$127=20,$O$176,IF($D$127=22,"",)))))))))</f>
        <v>5,6,18 mm ยางรองกระจก</v>
      </c>
      <c r="C196" s="176" t="str">
        <f aca="false">IF($D$127=5,$P$175,IF($D$127=6,$P$175,IF($D$127=8,$P$177,IF($D$127=10,"",IF($D$127=12,$P$176,IF($D$127=14,"",IF($D$127=18,$P$175,IF($D$127=20,$P$176,IF($D$127=22,"",)))))))))</f>
        <v>5,6,18 mm CAPTIVE WEDGE</v>
      </c>
      <c r="D196" s="176" t="str">
        <f aca="false">IF($D$127=5,$Q$175,IF($D$127=6,$Q$175,IF($D$127=8,$Q$177,IF($D$127=10,"",IF($D$127=12,$Q$176,IF($D$127=14,"",IF($D$127=18,$Q$175,IF($D$127=20,$Q$176,IF($D$127=22,"",)))))))))</f>
        <v>02-022</v>
      </c>
      <c r="E196" s="176" t="n">
        <f aca="false">IF($D$129=5,R179,IF($D$129=6,R179,IF($D$129=8,R181,IF($D$129=10,"",IF($D$129=12,R180,IF($D$129=14,"",IF($D$129=18,R179,IF($D$129=20,R180,IF($D$129=22,"",)))))))))</f>
        <v>0</v>
      </c>
      <c r="F196" s="167" t="str">
        <f aca="false">IF($D$127=5,$S$175,IF($D$127=6,$S$175,IF($D$127=8,$S$177,IF($D$127=10,"",IF($D$127=12,$S$176,IF($D$127=14,"",IF($D$127=18,$S$175,IF($D$127=20,$S$176,IF($D$127=22,"",)))))))))</f>
        <v>02-022</v>
      </c>
      <c r="G196" s="167" t="str">
        <f aca="false">IF($D$127=5,$T$175,IF($D$127=6,$T$175,IF($D$127=8,$T$177,IF($D$127=10,"",IF($D$127=12,$T$176,IF($D$127=14,"",IF($D$127=18,$T$175,IF($D$127=20,$T$176,IF($D$127=22,"",)))))))))</f>
        <v>M</v>
      </c>
      <c r="H196" s="173" t="n">
        <f aca="false">IF($D$127=5,$U$175,IF($D$127=6,$U$175,IF($D$127=8,$U$177,IF($D$127=10,"",IF($D$127=12,$U$176,IF($D$127=14,"",IF($D$127=18,$U$175,IF($D$127=20,$U$176,IF($D$127=22,"")))))))))</f>
        <v>42.428</v>
      </c>
      <c r="I196" s="174" t="n">
        <f aca="false">IF($D$127=5,$V$175,IF($D$127=6,$V$175,IF($D$127=8,$V$177,IF($D$127=10,"",IF($D$127=12,$V$176,IF($D$127=14,"",IF($D$127=18,$V$175,IF($D$127=20,$V$176,IF($D$127=22,"",)))))))))</f>
        <v>100</v>
      </c>
      <c r="J196" s="177" t="n">
        <f aca="false">ROUNDUP((H196)/100,0)</f>
        <v>1</v>
      </c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/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$J$120*H198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$J$120*H204</f>
        <v>0</v>
      </c>
    </row>
    <row r="205" s="96" customFormat="true" ht="18" hidden="false" customHeight="true" outlineLevel="0" collapsed="false">
      <c r="A205" s="179" t="str">
        <f aca="false">IF(B205="","",+A204+1)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$J$120*H205</f>
        <v>0</v>
      </c>
    </row>
    <row r="206" s="96" customFormat="true" ht="18" hidden="false" customHeight="true" outlineLevel="0" collapsed="false">
      <c r="A206" s="200"/>
      <c r="B206" s="98"/>
      <c r="D206" s="98"/>
      <c r="E206" s="97"/>
      <c r="F206" s="98"/>
      <c r="G206" s="98"/>
      <c r="H206" s="98"/>
      <c r="I206" s="196"/>
      <c r="J206" s="196"/>
    </row>
    <row r="207" customFormat="false" ht="18" hidden="false" customHeight="true" outlineLevel="0" collapsed="false">
      <c r="A207" s="97"/>
      <c r="J207" s="92" t="str">
        <f aca="false">LEFT($J$111,13)&amp;"-02"</f>
        <v>FG-240-7P2L5R-02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516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4390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517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4364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519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4390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97"/>
      <c r="H252" s="97"/>
      <c r="I252" s="196"/>
      <c r="J252" s="196"/>
    </row>
    <row r="253" s="96" customFormat="true" ht="15.75" hidden="false" customHeight="true" outlineLevel="0" collapsed="false">
      <c r="A253" s="191"/>
      <c r="B253" s="191"/>
      <c r="D253" s="192"/>
      <c r="E253" s="191"/>
      <c r="F253" s="191"/>
      <c r="G253" s="97"/>
      <c r="H253" s="97"/>
      <c r="I253" s="196"/>
      <c r="J253" s="196"/>
    </row>
    <row r="254" s="96" customFormat="true" ht="15.75" hidden="false" customHeight="true" outlineLevel="0" collapsed="false">
      <c r="A254" s="190"/>
      <c r="B254" s="190"/>
      <c r="C254" s="184" t="s">
        <v>520</v>
      </c>
      <c r="D254" s="194"/>
      <c r="E254" s="190"/>
      <c r="F254" s="189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459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460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5" t="n">
        <f aca="false">$I$136</f>
        <v>4390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7" t="n">
        <f aca="false">$J$136</f>
        <v>1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C262" s="98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184" t="s">
        <v>521</v>
      </c>
      <c r="D264" s="98"/>
      <c r="E264" s="97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522</v>
      </c>
      <c r="D265" s="181"/>
      <c r="E265" s="181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468</v>
      </c>
      <c r="D266" s="181"/>
      <c r="E266" s="181"/>
      <c r="F266" s="97"/>
      <c r="G266" s="97"/>
      <c r="H266" s="97"/>
      <c r="J266" s="97"/>
    </row>
    <row r="267" s="96" customFormat="true" ht="15.75" hidden="false" customHeight="true" outlineLevel="0" collapsed="false">
      <c r="A267" s="200"/>
      <c r="C267" s="185" t="n">
        <f aca="false">$I$137</f>
        <v>2500</v>
      </c>
      <c r="D267" s="98"/>
      <c r="E267" s="97"/>
      <c r="F267" s="97"/>
      <c r="J267" s="97"/>
    </row>
    <row r="268" s="96" customFormat="true" ht="15.75" hidden="false" customHeight="true" outlineLevel="0" collapsed="false">
      <c r="A268" s="200"/>
      <c r="C268" s="187" t="n">
        <f aca="false">$J$137+$J$138</f>
        <v>2</v>
      </c>
      <c r="D268" s="98"/>
      <c r="E268" s="97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I272" s="196"/>
      <c r="J272" s="196"/>
    </row>
    <row r="273" s="96" customFormat="true" ht="15.75" hidden="false" customHeight="true" outlineLevel="0" collapsed="false">
      <c r="A273" s="200"/>
      <c r="D273" s="98"/>
      <c r="E273" s="97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C274" s="184" t="s">
        <v>588</v>
      </c>
      <c r="D274" s="201"/>
      <c r="E274" s="196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1" t="s">
        <v>470</v>
      </c>
      <c r="D275" s="181"/>
      <c r="E275" s="181"/>
      <c r="F275" s="97"/>
      <c r="G275" s="97"/>
      <c r="I275" s="97"/>
      <c r="J275" s="196"/>
    </row>
    <row r="276" s="96" customFormat="true" ht="15.75" hidden="false" customHeight="true" outlineLevel="0" collapsed="false">
      <c r="A276" s="200"/>
      <c r="C276" s="181" t="s">
        <v>471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5" t="n">
        <f aca="false">$I$139</f>
        <v>2404</v>
      </c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7" t="n">
        <f aca="false">$J$139+$J$140</f>
        <v>2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F279" s="97"/>
      <c r="G279" s="97"/>
      <c r="H279" s="97"/>
      <c r="J279" s="97"/>
    </row>
    <row r="280" s="96" customFormat="true" ht="15.75" hidden="false" customHeight="true" outlineLevel="0" collapsed="false">
      <c r="A280" s="200"/>
      <c r="D280" s="98"/>
      <c r="E280" s="97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I282" s="201"/>
      <c r="J282" s="196"/>
    </row>
    <row r="283" s="96" customFormat="true" ht="15.75" hidden="false" customHeight="true" outlineLevel="0" collapsed="false">
      <c r="A283" s="200"/>
      <c r="C283" s="184" t="s">
        <v>524</v>
      </c>
      <c r="F283" s="97"/>
      <c r="G283" s="97"/>
      <c r="H283" s="97"/>
      <c r="I283" s="97"/>
      <c r="J283" s="196"/>
    </row>
    <row r="284" s="96" customFormat="true" ht="15.75" hidden="false" customHeight="true" outlineLevel="0" collapsed="false">
      <c r="A284" s="200"/>
      <c r="C284" s="83" t="s">
        <v>711</v>
      </c>
      <c r="D284" s="98"/>
      <c r="E284" s="97"/>
      <c r="F284" s="97"/>
      <c r="G284" s="97"/>
      <c r="H284" s="97"/>
      <c r="I284" s="196"/>
      <c r="J284" s="196"/>
    </row>
    <row r="285" s="96" customFormat="true" ht="15.75" hidden="false" customHeight="true" outlineLevel="0" collapsed="false">
      <c r="A285" s="200"/>
      <c r="C285" s="181" t="s">
        <v>712</v>
      </c>
      <c r="D285" s="98"/>
      <c r="E285" s="97"/>
      <c r="F285" s="97"/>
      <c r="G285" s="97"/>
      <c r="H285" s="97"/>
      <c r="I285" s="196"/>
      <c r="J285" s="196"/>
    </row>
    <row r="286" s="96" customFormat="true" ht="15.75" hidden="false" customHeight="true" outlineLevel="0" collapsed="false">
      <c r="A286" s="200"/>
      <c r="C286" s="181" t="s">
        <v>475</v>
      </c>
      <c r="D286" s="181"/>
      <c r="E286" s="181"/>
      <c r="F286" s="97"/>
      <c r="G286" s="97"/>
      <c r="I286" s="196"/>
      <c r="J286" s="196"/>
    </row>
    <row r="287" s="202" customFormat="true" ht="15.75" hidden="false" customHeight="true" outlineLevel="0" collapsed="false">
      <c r="A287" s="200"/>
      <c r="B287" s="96"/>
      <c r="C287" s="181" t="s">
        <v>476</v>
      </c>
      <c r="D287" s="181"/>
      <c r="E287" s="181"/>
      <c r="F287" s="97"/>
      <c r="G287" s="97"/>
      <c r="H287" s="96"/>
      <c r="I287" s="97"/>
      <c r="J287" s="97"/>
    </row>
    <row r="288" s="96" customFormat="true" ht="15.75" hidden="false" customHeight="true" outlineLevel="0" collapsed="false">
      <c r="A288" s="200"/>
      <c r="C288" s="185" t="n">
        <f aca="false">$I$141</f>
        <v>622.571428571429</v>
      </c>
      <c r="F288" s="97"/>
      <c r="G288" s="97"/>
      <c r="I288" s="191"/>
      <c r="J288" s="199"/>
    </row>
    <row r="289" s="96" customFormat="true" ht="15.75" hidden="false" customHeight="true" outlineLevel="0" collapsed="false">
      <c r="A289" s="200"/>
      <c r="C289" s="187" t="n">
        <f aca="false">$J$141+$J$142</f>
        <v>14</v>
      </c>
      <c r="D289" s="98"/>
      <c r="E289" s="97"/>
      <c r="F289" s="97"/>
      <c r="G289" s="97"/>
      <c r="H289" s="98"/>
      <c r="I289" s="189"/>
      <c r="J289" s="190"/>
    </row>
    <row r="290" s="96" customFormat="true" ht="15.75" hidden="false" customHeight="true" outlineLevel="0" collapsed="false">
      <c r="A290" s="200"/>
      <c r="C290" s="185" t="n">
        <f aca="false">$I$143</f>
        <v>2408</v>
      </c>
      <c r="D290" s="98"/>
      <c r="E290" s="97"/>
      <c r="F290" s="97"/>
      <c r="G290" s="97"/>
      <c r="H290" s="97"/>
      <c r="I290" s="196"/>
      <c r="J290" s="196"/>
    </row>
    <row r="291" s="96" customFormat="true" ht="15.75" hidden="false" customHeight="true" outlineLevel="0" collapsed="false">
      <c r="A291" s="200"/>
      <c r="C291" s="187" t="n">
        <f aca="false">$J$143+$J$144+$J$145+$J$146</f>
        <v>14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D293" s="98"/>
      <c r="E293" s="97"/>
      <c r="F293" s="97"/>
      <c r="G293" s="97"/>
      <c r="H293" s="97"/>
      <c r="I293" s="97"/>
      <c r="J293" s="196"/>
    </row>
    <row r="294" s="96" customFormat="true" ht="15.75" hidden="false" customHeight="true" outlineLevel="0" collapsed="false">
      <c r="A294" s="200"/>
      <c r="C294" s="202"/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184" t="s">
        <v>525</v>
      </c>
      <c r="D295" s="98"/>
      <c r="E295" s="97"/>
      <c r="F295" s="97"/>
      <c r="G295" s="97"/>
      <c r="H295" s="97"/>
      <c r="I295" s="97"/>
      <c r="J295" s="196"/>
    </row>
    <row r="296" s="96" customFormat="true" ht="15.75" hidden="false" customHeight="true" outlineLevel="0" collapsed="false">
      <c r="A296" s="200"/>
      <c r="C296" s="83" t="s">
        <v>711</v>
      </c>
      <c r="D296" s="98"/>
      <c r="E296" s="97"/>
      <c r="F296" s="97"/>
      <c r="G296" s="191"/>
      <c r="H296" s="191"/>
      <c r="I296" s="97"/>
      <c r="J296" s="196"/>
    </row>
    <row r="297" s="96" customFormat="true" ht="15.75" hidden="false" customHeight="true" outlineLevel="0" collapsed="false">
      <c r="A297" s="200"/>
      <c r="C297" s="181" t="s">
        <v>716</v>
      </c>
      <c r="D297" s="181"/>
      <c r="E297" s="181"/>
      <c r="F297" s="97"/>
      <c r="G297" s="190"/>
      <c r="H297" s="189"/>
      <c r="I297" s="97"/>
      <c r="J297" s="196"/>
    </row>
    <row r="298" s="96" customFormat="true" ht="15.75" hidden="false" customHeight="true" outlineLevel="0" collapsed="false">
      <c r="A298" s="107"/>
      <c r="C298" s="181" t="s">
        <v>478</v>
      </c>
      <c r="D298" s="181"/>
      <c r="E298" s="181"/>
      <c r="F298" s="97"/>
      <c r="G298" s="97"/>
      <c r="H298" s="97"/>
      <c r="I298" s="97"/>
      <c r="J298" s="196"/>
    </row>
    <row r="299" s="96" customFormat="true" ht="15.75" hidden="false" customHeight="true" outlineLevel="0" collapsed="false">
      <c r="A299" s="191"/>
      <c r="B299" s="191"/>
      <c r="C299" s="181" t="s">
        <v>479</v>
      </c>
      <c r="D299" s="203"/>
      <c r="E299" s="204"/>
      <c r="F299" s="191"/>
      <c r="G299" s="97"/>
      <c r="H299" s="97"/>
      <c r="I299" s="97"/>
      <c r="J299" s="196"/>
    </row>
    <row r="300" s="96" customFormat="true" ht="15.75" hidden="false" customHeight="true" outlineLevel="0" collapsed="false">
      <c r="A300" s="190"/>
      <c r="B300" s="190"/>
      <c r="C300" s="185" t="n">
        <f aca="false">$I$147</f>
        <v>512.214285714286</v>
      </c>
      <c r="D300" s="205"/>
      <c r="E300" s="206"/>
      <c r="F300" s="189"/>
      <c r="G300" s="97"/>
      <c r="H300" s="97"/>
      <c r="I300" s="97"/>
      <c r="J300" s="196"/>
    </row>
    <row r="301" s="96" customFormat="true" ht="15.75" hidden="false" customHeight="true" outlineLevel="0" collapsed="false">
      <c r="A301" s="97"/>
      <c r="C301" s="187" t="n">
        <f aca="false">$J$147</f>
        <v>14</v>
      </c>
      <c r="D301" s="98"/>
      <c r="F301" s="97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5" t="n">
        <f aca="false">$I$148</f>
        <v>2258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7" t="n">
        <f aca="false">$J$148</f>
        <v>14</v>
      </c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C306" s="184" t="s">
        <v>591</v>
      </c>
      <c r="D306" s="98"/>
      <c r="E306" s="97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1" t="s">
        <v>475</v>
      </c>
      <c r="D307" s="181"/>
      <c r="E307" s="181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249" t="s">
        <v>476</v>
      </c>
      <c r="D308" s="249"/>
      <c r="E308" s="249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5" t="n">
        <f aca="false">$I$149</f>
        <v>2408</v>
      </c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7" t="n">
        <f aca="false">$J$149+$J$150</f>
        <v>2</v>
      </c>
      <c r="D310" s="181"/>
      <c r="E310" s="181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LEFT($J$111,13)&amp;"-03"</f>
        <v>FG-240-7P2L5R-03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A316" s="97"/>
      <c r="B316" s="49"/>
      <c r="C316" s="49"/>
      <c r="D316" s="207"/>
      <c r="E316" s="200"/>
      <c r="F316" s="200"/>
      <c r="G316" s="200"/>
      <c r="H316" s="200"/>
      <c r="I316" s="208"/>
      <c r="J316" s="77" t="str">
        <f aca="false">$J$2</f>
        <v>HOMELIFE</v>
      </c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240-7 Panel (2L5R)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195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91"/>
      <c r="D405" s="98"/>
      <c r="E405" s="97"/>
      <c r="F405" s="97"/>
      <c r="G405" s="97"/>
      <c r="H405" s="97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LEFT($J$111,13)&amp;"-04"</f>
        <v>FG-240-7P2L5R-04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77" t="str">
        <f aca="false">$J$2</f>
        <v>HOMELIFE</v>
      </c>
      <c r="K423" s="78"/>
      <c r="L423" s="78"/>
      <c r="M423" s="79"/>
      <c r="N423" s="79"/>
    </row>
    <row r="424" customFormat="false" ht="24.75" hidden="false" customHeight="true" outlineLevel="0" collapsed="false">
      <c r="A424" s="97"/>
      <c r="B424" s="96"/>
      <c r="C424" s="96"/>
      <c r="D424" s="98"/>
      <c r="E424" s="97"/>
      <c r="F424" s="97"/>
      <c r="G424" s="97"/>
      <c r="H424" s="97"/>
      <c r="I424" s="97"/>
      <c r="J424" s="80" t="str">
        <f aca="false">$J$3</f>
        <v>Fabricators Guide</v>
      </c>
      <c r="K424" s="78"/>
      <c r="L424" s="78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$J$4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240-7 Panel (2L5R)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191"/>
      <c r="C442" s="212"/>
      <c r="D442" s="98"/>
      <c r="E442" s="97"/>
      <c r="F442" s="97"/>
      <c r="H442" s="191"/>
      <c r="I442" s="191"/>
      <c r="J442" s="199"/>
    </row>
    <row r="443" s="96" customFormat="true" ht="15.75" hidden="false" customHeight="true" outlineLevel="0" collapsed="false">
      <c r="A443" s="190"/>
      <c r="C443" s="191"/>
      <c r="D443" s="192"/>
      <c r="E443" s="191"/>
      <c r="F443" s="191"/>
      <c r="H443" s="191"/>
      <c r="I443" s="191"/>
      <c r="J443" s="199"/>
    </row>
    <row r="444" s="96" customFormat="true" ht="34.5" hidden="false" customHeight="true" outlineLevel="0" collapsed="false">
      <c r="A444" s="97"/>
      <c r="C444" s="98"/>
      <c r="D444" s="194"/>
      <c r="E444" s="190"/>
      <c r="F444" s="189"/>
      <c r="H444" s="191"/>
      <c r="I444" s="196"/>
      <c r="J444" s="196"/>
    </row>
    <row r="445" customFormat="false" ht="15" hidden="false" customHeight="true" outlineLevel="0" collapsed="false">
      <c r="B445" s="211"/>
      <c r="C445" s="98"/>
      <c r="D445" s="98"/>
      <c r="E445" s="97"/>
      <c r="F445" s="98"/>
      <c r="G445" s="97"/>
      <c r="H445" s="97"/>
    </row>
    <row r="450" s="96" customFormat="true" ht="15.75" hidden="false" customHeight="true" outlineLevel="0" collapsed="false">
      <c r="A450" s="97"/>
      <c r="D450" s="73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191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97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196"/>
      <c r="J457" s="196"/>
    </row>
    <row r="458" s="96" customFormat="true" ht="15.7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195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202" customFormat="true" ht="15.75" hidden="false" customHeight="true" outlineLevel="0" collapsed="false">
      <c r="A477" s="97"/>
      <c r="B477" s="96"/>
      <c r="C477" s="96"/>
      <c r="D477" s="98"/>
      <c r="E477" s="97"/>
      <c r="F477" s="97"/>
      <c r="G477" s="97"/>
      <c r="H477" s="97"/>
      <c r="I477" s="97"/>
      <c r="J477" s="97"/>
    </row>
    <row r="478" s="96" customFormat="true" ht="15.75" hidden="false" customHeight="true" outlineLevel="0" collapsed="false">
      <c r="A478" s="191"/>
      <c r="D478" s="98"/>
      <c r="E478" s="97"/>
      <c r="F478" s="97"/>
      <c r="G478" s="97"/>
      <c r="H478" s="97"/>
      <c r="I478" s="191"/>
      <c r="J478" s="199"/>
    </row>
    <row r="479" s="96" customFormat="true" ht="15.75" hidden="false" customHeight="true" outlineLevel="0" collapsed="false">
      <c r="A479" s="190"/>
      <c r="B479" s="191"/>
      <c r="C479" s="191"/>
      <c r="D479" s="192"/>
      <c r="E479" s="191"/>
      <c r="F479" s="191"/>
      <c r="G479" s="191"/>
      <c r="H479" s="191"/>
      <c r="I479" s="189"/>
      <c r="J479" s="190"/>
    </row>
    <row r="480" s="96" customFormat="true" ht="15.75" hidden="false" customHeight="true" outlineLevel="0" collapsed="false">
      <c r="A480" s="200"/>
      <c r="B480" s="190"/>
      <c r="C480" s="191"/>
      <c r="D480" s="194"/>
      <c r="E480" s="190"/>
      <c r="F480" s="189"/>
      <c r="G480" s="190"/>
      <c r="H480" s="189"/>
      <c r="I480" s="196"/>
      <c r="J480" s="196"/>
    </row>
    <row r="481" s="96" customFormat="true" ht="15.75" hidden="false" customHeight="true" outlineLevel="0" collapsed="false">
      <c r="A481" s="200"/>
      <c r="C481" s="182"/>
      <c r="D481" s="98"/>
      <c r="E481" s="97"/>
      <c r="F481" s="97"/>
      <c r="G481" s="97"/>
      <c r="H481" s="182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C487" s="98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182"/>
      <c r="J499" s="97"/>
    </row>
    <row r="500" s="96" customFormat="true" ht="15.75" hidden="false" customHeight="true" outlineLevel="0" collapsed="false">
      <c r="A500" s="200"/>
      <c r="C500" s="188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I501" s="196"/>
      <c r="J501" s="196"/>
    </row>
    <row r="502" s="96" customFormat="true" ht="15.75" hidden="false" customHeight="true" outlineLevel="0" collapsed="false">
      <c r="A502" s="200"/>
      <c r="C502" s="98"/>
      <c r="D502" s="98"/>
      <c r="E502" s="97"/>
      <c r="F502" s="97"/>
      <c r="G502" s="97"/>
      <c r="H502" s="182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212"/>
      <c r="J511" s="195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212"/>
      <c r="J512" s="195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212"/>
      <c r="J513" s="195"/>
    </row>
    <row r="514" s="96" customFormat="true" ht="15.75" hidden="false" customHeight="true" outlineLevel="0" collapsed="false">
      <c r="A514" s="200"/>
      <c r="D514" s="98"/>
      <c r="E514" s="97"/>
      <c r="F514" s="97"/>
      <c r="G514" s="97"/>
      <c r="H514" s="238"/>
      <c r="J514" s="97"/>
    </row>
    <row r="515" s="96" customFormat="true" ht="15.75" hidden="false" customHeight="true" outlineLevel="0" collapsed="false">
      <c r="A515" s="191"/>
      <c r="D515" s="98"/>
      <c r="E515" s="97"/>
      <c r="F515" s="97"/>
      <c r="G515" s="97"/>
      <c r="I515" s="191"/>
      <c r="J515" s="199"/>
    </row>
    <row r="516" s="96" customFormat="true" ht="15.75" hidden="false" customHeight="true" outlineLevel="0" collapsed="false">
      <c r="B516" s="191"/>
      <c r="C516" s="191"/>
      <c r="D516" s="192"/>
      <c r="E516" s="191"/>
      <c r="F516" s="191"/>
      <c r="G516" s="191"/>
      <c r="H516" s="191"/>
    </row>
    <row r="517" s="96" customFormat="true" ht="15.75" hidden="false" customHeight="true" outlineLevel="0" collapsed="false"/>
    <row r="518" s="96" customFormat="true" ht="24.75" hidden="false" customHeight="true" outlineLevel="0" collapsed="false">
      <c r="A518" s="88" t="s">
        <v>482</v>
      </c>
      <c r="B518" s="88"/>
      <c r="C518" s="88"/>
      <c r="D518" s="88"/>
      <c r="E518" s="88"/>
      <c r="F518" s="88"/>
      <c r="G518" s="88"/>
      <c r="H518" s="88"/>
      <c r="I518" s="88"/>
      <c r="J518" s="88"/>
    </row>
    <row r="519" s="96" customFormat="true" ht="34.5" hidden="false" customHeight="true" outlineLevel="0" collapsed="false">
      <c r="A519" s="114" t="s">
        <v>319</v>
      </c>
      <c r="B519" s="115" t="s">
        <v>168</v>
      </c>
      <c r="C519" s="115" t="s">
        <v>168</v>
      </c>
      <c r="D519" s="116" t="s">
        <v>483</v>
      </c>
      <c r="E519" s="115" t="s">
        <v>321</v>
      </c>
      <c r="F519" s="239" t="s">
        <v>484</v>
      </c>
      <c r="G519" s="240"/>
      <c r="H519" s="116" t="s">
        <v>484</v>
      </c>
      <c r="I519" s="116" t="s">
        <v>485</v>
      </c>
      <c r="J519" s="117" t="s">
        <v>323</v>
      </c>
      <c r="N519" s="118" t="s">
        <v>168</v>
      </c>
      <c r="O519" s="118" t="s">
        <v>168</v>
      </c>
    </row>
    <row r="520" s="96" customFormat="true" ht="15.75" hidden="false" customHeight="true" outlineLevel="0" collapsed="false">
      <c r="A520" s="120" t="n">
        <f aca="false">IF(C520="","",1)</f>
        <v>1</v>
      </c>
      <c r="B520" s="121" t="str">
        <f aca="false">IF($D$127=5,N520,IF($D$127=6,N521,IF($D$127=8,N522,IF($D$127=10,N523,IF($D$127=12,N524,IF($D$127=14,N525,IF($D$127=18,N526,IF($D$127=20,N527,IF($D$127=22,N528,)))))))))</f>
        <v>กระจก 5 mm (สูง) (กว้าง)</v>
      </c>
      <c r="C520" s="121" t="str">
        <f aca="false">IF($D$127=5,O520,IF($D$127=6,O521,IF($D$127=8,O522,IF($D$127=10,O523,IF($D$127=12,O524,IF($D$127=14,O525,IF($D$127=18,O526,IF($D$127=20,O527,IF($D$127=22,O528,)))))))))</f>
        <v>GLASS thk.5 mm (H) (W)</v>
      </c>
      <c r="D520" s="123" t="n">
        <f aca="false">$J$123-215</f>
        <v>2285</v>
      </c>
      <c r="E520" s="120" t="s">
        <v>486</v>
      </c>
      <c r="F520" s="224" t="s">
        <v>487</v>
      </c>
      <c r="G520" s="224"/>
      <c r="H520" s="120" t="s">
        <v>713</v>
      </c>
      <c r="I520" s="225" t="n">
        <f aca="false">(($J$126-185-(113.25*6))/7)-13</f>
        <v>499.214285714286</v>
      </c>
      <c r="J520" s="226" t="n">
        <f aca="false">$J$120*7</f>
        <v>7</v>
      </c>
      <c r="M520" s="96" t="n">
        <f aca="false">+ROW()</f>
        <v>520</v>
      </c>
      <c r="N520" s="62" t="s">
        <v>489</v>
      </c>
      <c r="O520" s="62" t="s">
        <v>490</v>
      </c>
    </row>
    <row r="521" s="96" customFormat="true" ht="15.75" hidden="false" customHeight="true" outlineLevel="0" collapsed="false">
      <c r="A521" s="269"/>
      <c r="B521" s="228"/>
      <c r="C521" s="228"/>
      <c r="D521" s="176"/>
      <c r="E521" s="167"/>
      <c r="F521" s="229"/>
      <c r="G521" s="230"/>
      <c r="H521" s="167"/>
      <c r="I521" s="231"/>
      <c r="J521" s="232"/>
      <c r="M521" s="96" t="n">
        <f aca="false">+ROW()</f>
        <v>521</v>
      </c>
      <c r="N521" s="62" t="s">
        <v>491</v>
      </c>
      <c r="O521" s="62" t="s">
        <v>492</v>
      </c>
    </row>
    <row r="522" s="96" customFormat="true" ht="15.75" hidden="false" customHeight="true" outlineLevel="0" collapsed="false">
      <c r="A522" s="269"/>
      <c r="B522" s="228"/>
      <c r="C522" s="228"/>
      <c r="D522" s="176"/>
      <c r="E522" s="167"/>
      <c r="F522" s="229"/>
      <c r="G522" s="230"/>
      <c r="H522" s="167"/>
      <c r="I522" s="231"/>
      <c r="J522" s="232"/>
      <c r="M522" s="96" t="n">
        <f aca="false">+ROW()</f>
        <v>522</v>
      </c>
      <c r="N522" s="62" t="s">
        <v>493</v>
      </c>
      <c r="O522" s="62" t="s">
        <v>494</v>
      </c>
    </row>
    <row r="523" s="96" customFormat="true" ht="15.75" hidden="false" customHeight="true" outlineLevel="0" collapsed="false">
      <c r="A523" s="130" t="str">
        <f aca="false">IF(B523="","",+""+1)</f>
        <v/>
      </c>
      <c r="B523" s="131"/>
      <c r="C523" s="131"/>
      <c r="D523" s="132"/>
      <c r="E523" s="130"/>
      <c r="F523" s="233"/>
      <c r="G523" s="270"/>
      <c r="H523" s="130"/>
      <c r="I523" s="142"/>
      <c r="J523" s="133"/>
      <c r="M523" s="96" t="n">
        <f aca="false">+ROW()</f>
        <v>523</v>
      </c>
      <c r="N523" s="62" t="s">
        <v>495</v>
      </c>
      <c r="O523" s="62" t="s">
        <v>496</v>
      </c>
    </row>
    <row r="524" s="96" customFormat="true" ht="15.75" hidden="false" customHeight="true" outlineLevel="0" collapsed="false">
      <c r="A524" s="136" t="str">
        <f aca="false">IF(B524="","",+A523+1)</f>
        <v/>
      </c>
      <c r="B524" s="135"/>
      <c r="C524" s="135"/>
      <c r="D524" s="139"/>
      <c r="E524" s="136"/>
      <c r="F524" s="236"/>
      <c r="G524" s="237"/>
      <c r="H524" s="136"/>
      <c r="I524" s="180"/>
      <c r="J524" s="140"/>
      <c r="M524" s="96" t="n">
        <f aca="false">+ROW()</f>
        <v>524</v>
      </c>
      <c r="N524" s="62" t="s">
        <v>497</v>
      </c>
      <c r="O524" s="62" t="s">
        <v>498</v>
      </c>
    </row>
    <row r="525" s="96" customFormat="true" ht="15.75" hidden="false" customHeight="true" outlineLevel="0" collapsed="false">
      <c r="A525" s="97"/>
      <c r="D525" s="98"/>
      <c r="E525" s="97"/>
      <c r="F525" s="97"/>
      <c r="G525" s="97"/>
      <c r="H525" s="97"/>
      <c r="I525" s="97"/>
      <c r="J525" s="196"/>
      <c r="M525" s="96" t="n">
        <f aca="false">+ROW()</f>
        <v>525</v>
      </c>
      <c r="N525" s="62" t="s">
        <v>499</v>
      </c>
      <c r="O525" s="62" t="s">
        <v>500</v>
      </c>
    </row>
    <row r="526" customFormat="false" ht="14.25" hidden="false" customHeight="false" outlineLevel="0" collapsed="false">
      <c r="J526" s="92" t="str">
        <f aca="false">LEFT($J$111,13)&amp;"-05"</f>
        <v>FG-240-7P2L5R-05</v>
      </c>
      <c r="M526" s="96" t="n">
        <f aca="false">+ROW()</f>
        <v>526</v>
      </c>
      <c r="N526" s="62" t="s">
        <v>501</v>
      </c>
      <c r="O526" s="62" t="s">
        <v>502</v>
      </c>
      <c r="P526" s="96"/>
      <c r="Q526" s="96"/>
      <c r="R526" s="96"/>
      <c r="S526" s="96"/>
      <c r="T526" s="96"/>
      <c r="U526" s="96"/>
      <c r="V526" s="96"/>
    </row>
    <row r="527" customFormat="false" ht="14.25" hidden="false" customHeight="false" outlineLevel="0" collapsed="false">
      <c r="M527" s="96" t="n">
        <f aca="false">+ROW()</f>
        <v>527</v>
      </c>
      <c r="N527" s="62" t="s">
        <v>503</v>
      </c>
      <c r="O527" s="62" t="s">
        <v>504</v>
      </c>
      <c r="P527" s="96"/>
      <c r="Q527" s="96"/>
      <c r="R527" s="96"/>
      <c r="S527" s="96"/>
      <c r="T527" s="96"/>
      <c r="U527" s="96"/>
      <c r="V527" s="96"/>
    </row>
    <row r="528" customFormat="false" ht="14.25" hidden="false" customHeight="false" outlineLevel="0" collapsed="false">
      <c r="M528" s="96" t="n">
        <f aca="false">+ROW()</f>
        <v>528</v>
      </c>
      <c r="N528" s="62" t="s">
        <v>505</v>
      </c>
      <c r="O528" s="62" t="s">
        <v>506</v>
      </c>
      <c r="P528" s="96"/>
      <c r="Q528" s="96"/>
      <c r="R528" s="96"/>
      <c r="S528" s="96"/>
      <c r="T528" s="96"/>
      <c r="U528" s="96"/>
      <c r="V528" s="96"/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8"/>
    <mergeCell ref="H163:H168"/>
    <mergeCell ref="I166:J167"/>
    <mergeCell ref="I168:J168"/>
    <mergeCell ref="D169:D170"/>
    <mergeCell ref="H169:H170"/>
    <mergeCell ref="D171:D172"/>
    <mergeCell ref="H171:H172"/>
    <mergeCell ref="A173:J173"/>
    <mergeCell ref="A213:J213"/>
    <mergeCell ref="C308:E308"/>
    <mergeCell ref="A320:J320"/>
    <mergeCell ref="F330:G330"/>
    <mergeCell ref="F331:G331"/>
    <mergeCell ref="F334:G334"/>
    <mergeCell ref="A427:J427"/>
    <mergeCell ref="A518:J518"/>
    <mergeCell ref="F520:G520"/>
  </mergeCells>
  <dataValidations count="4">
    <dataValidation allowBlank="true" errorStyle="stop" operator="between" showDropDown="false" showErrorMessage="true" showInputMessage="true" sqref="C206" type="list">
      <formula1>$O$175:$O$193</formula1>
      <formula2>0</formula2>
    </dataValidation>
    <dataValidation allowBlank="true" errorStyle="stop" operator="between" showDropDown="false" showErrorMessage="true" showInputMessage="true" sqref="D123:G123" type="list">
      <formula1>$P$118:$P$127</formula1>
      <formula2>0</formula2>
    </dataValidation>
    <dataValidation allowBlank="true" errorStyle="stop" operator="between" showDropDown="false" showErrorMessage="true" showInputMessage="true" sqref="D127:G127" type="list">
      <formula1>$N$119:$N$127</formula1>
      <formula2>0</formula2>
    </dataValidation>
    <dataValidation allowBlank="true" errorStyle="stop" operator="between" showDropDown="false" showErrorMessage="true" showInputMessage="true" sqref="D129:G129" type="list">
      <formula1>$O$119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W528"/>
  <sheetViews>
    <sheetView showFormulas="false" showGridLines="false" showRowColHeaders="true" showZeros="true" rightToLeft="false" tabSelected="false" showOutlineSymbols="true" defaultGridColor="true" view="pageBreakPreview" topLeftCell="A112" colorId="64" zoomScale="75" zoomScaleNormal="75" zoomScalePageLayoutView="75" workbookViewId="0">
      <selection pane="topLeft" activeCell="D127" activeCellId="0" sqref="D127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11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6.67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0.56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717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>
      <c r="G55" s="91"/>
    </row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718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311" t="s">
        <v>285</v>
      </c>
      <c r="B117" s="311"/>
      <c r="C117" s="311"/>
      <c r="D117" s="311"/>
      <c r="E117" s="311"/>
      <c r="F117" s="311"/>
      <c r="G117" s="311"/>
      <c r="H117" s="311"/>
      <c r="I117" s="311"/>
      <c r="J117" s="311"/>
      <c r="K117" s="83"/>
      <c r="L117" s="87"/>
      <c r="M117" s="87"/>
      <c r="N117" s="87"/>
    </row>
    <row r="118" s="96" customFormat="true" ht="18" hidden="false" customHeight="true" outlineLevel="0" collapsed="false">
      <c r="A118" s="97"/>
      <c r="C118" s="81"/>
      <c r="D118" s="98"/>
      <c r="E118" s="83"/>
      <c r="J118" s="99"/>
      <c r="K118" s="83"/>
      <c r="N118" s="258" t="s">
        <v>288</v>
      </c>
      <c r="O118" s="97" t="s">
        <v>289</v>
      </c>
      <c r="P118" s="102" t="s">
        <v>290</v>
      </c>
    </row>
    <row r="119" s="96" customFormat="true" ht="15" hidden="false" customHeight="true" outlineLevel="0" collapsed="false">
      <c r="A119" s="97"/>
      <c r="C119" s="100" t="s">
        <v>286</v>
      </c>
      <c r="D119" s="101"/>
      <c r="E119" s="101"/>
      <c r="F119" s="101"/>
      <c r="G119" s="101"/>
      <c r="I119" s="83"/>
      <c r="J119" s="97"/>
      <c r="N119" s="259" t="n">
        <v>5</v>
      </c>
      <c r="O119" s="97" t="s">
        <v>509</v>
      </c>
      <c r="P119" s="106" t="s">
        <v>294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6</v>
      </c>
      <c r="O120" s="97" t="s">
        <v>296</v>
      </c>
      <c r="P120" s="106" t="s">
        <v>297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8</v>
      </c>
      <c r="P121" s="106" t="s">
        <v>299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10</v>
      </c>
      <c r="P122" s="106" t="s">
        <v>303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2900</v>
      </c>
      <c r="N123" s="259" t="n">
        <v>12</v>
      </c>
      <c r="P123" s="106" t="s">
        <v>305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14</v>
      </c>
      <c r="P124" s="106" t="s">
        <v>308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18</v>
      </c>
      <c r="P125" s="106" t="s">
        <v>311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5000</v>
      </c>
      <c r="K126" s="110"/>
      <c r="L126" s="110"/>
      <c r="N126" s="259" t="n">
        <v>20</v>
      </c>
      <c r="P126" s="106" t="s">
        <v>313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8</v>
      </c>
      <c r="E127" s="111"/>
      <c r="F127" s="111"/>
      <c r="G127" s="111"/>
      <c r="H127" s="104"/>
      <c r="I127" s="104"/>
      <c r="J127" s="105"/>
      <c r="N127" s="259" t="n">
        <v>22</v>
      </c>
      <c r="P127" s="106" t="s">
        <v>315</v>
      </c>
    </row>
    <row r="128" s="96" customFormat="true" ht="18.75" hidden="false" customHeight="true" outlineLevel="0" collapsed="false">
      <c r="C128" s="108" t="s">
        <v>314</v>
      </c>
      <c r="I128" s="97"/>
      <c r="J128" s="97"/>
    </row>
    <row r="129" s="96" customFormat="true" ht="15" hidden="false" customHeight="true" outlineLevel="0" collapsed="false">
      <c r="A129" s="89" t="str">
        <f aca="false">A18</f>
        <v>240-7 Panel (3L4R)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4940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14</v>
      </c>
      <c r="U133" s="127" t="s">
        <v>709</v>
      </c>
      <c r="V133" s="128" t="n">
        <f aca="false">($J$126-185-(113.25*6))/7</f>
        <v>590.785714285714</v>
      </c>
      <c r="W133" s="129" t="n">
        <f aca="false">$J$120*T133</f>
        <v>14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4914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14</v>
      </c>
      <c r="U134" s="130" t="s">
        <v>709</v>
      </c>
      <c r="V134" s="142" t="n">
        <f aca="false">($J$126-185-(113.25*6))/7</f>
        <v>590.785714285714</v>
      </c>
      <c r="W134" s="134" t="n">
        <f aca="false">$J$120*T134</f>
        <v>14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4940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14</v>
      </c>
      <c r="U135" s="136" t="s">
        <v>709</v>
      </c>
      <c r="V135" s="180" t="n">
        <f aca="false">($J$126-185-(113.25*6))/7</f>
        <v>590.785714285714</v>
      </c>
      <c r="W135" s="137" t="n">
        <f aca="false">$J$120*T135</f>
        <v>14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4940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14</v>
      </c>
      <c r="U136" s="127" t="s">
        <v>360</v>
      </c>
      <c r="V136" s="138" t="n">
        <f aca="false">$J$123-242</f>
        <v>2658</v>
      </c>
      <c r="W136" s="129" t="n">
        <f aca="false">$J$120*T136</f>
        <v>14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2900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14</v>
      </c>
      <c r="U137" s="130" t="s">
        <v>360</v>
      </c>
      <c r="V137" s="133" t="n">
        <f aca="false">$J$123-242</f>
        <v>2658</v>
      </c>
      <c r="W137" s="134" t="n">
        <f aca="false">$J$120*T137</f>
        <v>14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2900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14</v>
      </c>
      <c r="U138" s="136" t="s">
        <v>360</v>
      </c>
      <c r="V138" s="140" t="n">
        <f aca="false">$J$123-242</f>
        <v>2658</v>
      </c>
      <c r="W138" s="137" t="n">
        <f aca="false">$J$120*T138</f>
        <v>14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2804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2804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7</v>
      </c>
      <c r="H141" s="130" t="s">
        <v>710</v>
      </c>
      <c r="I141" s="141" t="n">
        <f aca="false">($J$126-60-(7+1)*4)/7</f>
        <v>701.142857142857</v>
      </c>
      <c r="J141" s="134" t="n">
        <f aca="false">$J$120*G141</f>
        <v>7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7</v>
      </c>
      <c r="H142" s="130" t="s">
        <v>710</v>
      </c>
      <c r="I142" s="141" t="n">
        <f aca="false">($J$126-60-(7+1)*4)/7</f>
        <v>701.142857142857</v>
      </c>
      <c r="J142" s="134" t="n">
        <f aca="false">$J$120*G142</f>
        <v>7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10</v>
      </c>
      <c r="H143" s="130" t="s">
        <v>389</v>
      </c>
      <c r="I143" s="133" t="n">
        <f aca="false">$J$123-92</f>
        <v>2808</v>
      </c>
      <c r="J143" s="134" t="n">
        <f aca="false">$J$120*G143</f>
        <v>10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1</v>
      </c>
      <c r="H144" s="130" t="s">
        <v>389</v>
      </c>
      <c r="I144" s="133" t="n">
        <f aca="false">$J$123-92</f>
        <v>2808</v>
      </c>
      <c r="J144" s="134" t="n">
        <f aca="false">$J$120*G144</f>
        <v>1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390</v>
      </c>
      <c r="C145" s="131" t="s">
        <v>391</v>
      </c>
      <c r="D145" s="132" t="s">
        <v>74</v>
      </c>
      <c r="E145" s="130" t="n">
        <v>1.106</v>
      </c>
      <c r="F145" s="132" t="s">
        <v>563</v>
      </c>
      <c r="G145" s="130" t="n">
        <v>2</v>
      </c>
      <c r="H145" s="130" t="s">
        <v>389</v>
      </c>
      <c r="I145" s="133" t="n">
        <f aca="false">$J$123-92</f>
        <v>2808</v>
      </c>
      <c r="J145" s="134" t="n">
        <f aca="false">$J$120*G145</f>
        <v>2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">
        <v>531</v>
      </c>
      <c r="C146" s="131" t="s">
        <v>532</v>
      </c>
      <c r="D146" s="132" t="s">
        <v>74</v>
      </c>
      <c r="E146" s="130" t="n">
        <v>1.106</v>
      </c>
      <c r="F146" s="132" t="s">
        <v>533</v>
      </c>
      <c r="G146" s="130" t="n">
        <v>1</v>
      </c>
      <c r="H146" s="130" t="s">
        <v>389</v>
      </c>
      <c r="I146" s="133" t="n">
        <f aca="false">$J$123-92</f>
        <v>2808</v>
      </c>
      <c r="J146" s="134" t="n">
        <f aca="false">$J$120*G146</f>
        <v>1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IF($D$127=5,O133,IF($D$127=6,O133,IF($D$127=8,O134,IF($D$127=10,O134,IF($D$127=12,O134,IF($D$127=14,O135,IF($D$127=18,O135,IF($D$127=20,O135,IF($D$127=22,O135,)))))))))</f>
        <v>8-12mm คิ้วตบกระจกแนวนอน</v>
      </c>
      <c r="C147" s="131" t="str">
        <f aca="false">IF($D$127=5,P133,IF($D$127=6,P133,IF($D$127=8,P134,IF($D$127=10,P134,IF($D$127=12,P134,IF($D$127=14,P135,IF($D$127=18,P135,IF($D$127=20,P135,IF($D$127=22,P135,)))))))))</f>
        <v>8-12mm GLAZING BEAD HORIZONTAL</v>
      </c>
      <c r="D147" s="131" t="str">
        <f aca="false">IF($D$127=5,Q133,IF($D$127=6,Q133,IF($D$127=8,Q134,IF($D$127=10,Q134,IF($D$127=12,Q134,IF($D$127=14,Q135,IF($D$127=18,Q135,IF($D$127=20,Q135,IF($D$127=22,Q135,)))))))))</f>
        <v>B24016</v>
      </c>
      <c r="E147" s="131" t="n">
        <f aca="false">IF($D$127=5,R133,IF($D$127=6,R133,IF($D$127=8,R134,IF($D$127=10,R134,IF($D$127=12,R134,IF($D$127=14,R135,IF($D$127=18,R135,IF($D$127=20,R135,IF($D$127=22,R135,)))))))))</f>
        <v>0.215</v>
      </c>
      <c r="F147" s="131" t="str">
        <f aca="false">IF($D$127=5,S133,IF($D$127=6,S133,IF($D$127=8,S134,IF($D$127=10,S134,IF($D$127=12,S134,IF($D$127=14,S135,IF($D$127=18,S135,IF($D$127=20,S135,IF($D$127=22,S135,)))))))))</f>
        <v>B24016-001</v>
      </c>
      <c r="G147" s="130" t="n">
        <f aca="false">IF($D$127=5,T133,IF($D$127=6,T133,IF($D$127=8,T134,IF($D$127=10,T134,IF($D$127=12,T134,IF($D$127=14,T135,IF($D$127=18,T135,IF($D$127=20,T135,IF($D$127=22,T135,)))))))))</f>
        <v>14</v>
      </c>
      <c r="H147" s="130" t="str">
        <f aca="false">IF($D$127=5,U133,IF($D$127=6,U133,IF($D$127=8,U134,IF($D$127=10,U134,IF($D$127=12,U134,IF($D$127=14,U135,IF($D$127=18,U135,IF($D$127=20,U135,IF($D$127=22,U135,)))))))))</f>
        <v>(W-185-(113.25 × 6))/7</v>
      </c>
      <c r="I147" s="141" t="n">
        <f aca="false">IF($D$127=5,V133,IF($D$127=6,V133,IF($D$127=8,V134,IF($D$127=10,V134,IF($D$127=12,V134,IF($D$127=14,V135,IF($D$127=18,V135,IF($D$127=20,V135,IF($D$127=22,V135,)))))))))</f>
        <v>590.785714285714</v>
      </c>
      <c r="J147" s="134" t="n">
        <f aca="false">$J$120*G147</f>
        <v>14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tr">
        <f aca="false">IF($D$127=5,O136,IF($D$127=6,O136,IF($D$127=8,O137,IF($D$127=10,O137,IF($D$127=12,O137,IF($D$127=14,O138,IF($D$127=18,O138,IF($D$127=20,O138,IF($D$127=22,O138,)))))))))</f>
        <v>8-12mm คิ้วตบกระจกแนวตั้ง</v>
      </c>
      <c r="C148" s="131" t="str">
        <f aca="false">IF($D$127=5,P136,IF($D$127=6,P136,IF($D$127=8,P137,IF($D$127=10,P137,IF($D$127=12,P137,IF($D$127=14,P138,IF($D$127=18,P138,IF($D$127=20,P138,IF($D$127=22,P138,)))))))))</f>
        <v>8-12mm GLAZING BEAD VERTICAL</v>
      </c>
      <c r="D148" s="131" t="str">
        <f aca="false">IF($D$127=5,Q136,IF($D$127=6,Q136,IF($D$127=8,Q137,IF($D$127=10,Q137,IF($D$127=12,Q137,IF($D$127=14,Q138,IF($D$127=18,Q138,IF($D$127=20,Q138,IF($D$127=22,Q138,)))))))))</f>
        <v>B24016</v>
      </c>
      <c r="E148" s="131" t="n">
        <f aca="false">IF($D$127=5,R136,IF($D$127=6,R136,IF($D$127=8,R137,IF($D$127=10,R137,IF($D$127=12,R137,IF($D$127=14,R138,IF($D$127=18,R138,IF($D$127=20,R138,IF($D$127=22,R138,)))))))))</f>
        <v>0.215</v>
      </c>
      <c r="F148" s="131" t="str">
        <f aca="false">IF($D$127=5,S136,IF($D$127=6,S136,IF($D$127=8,S137,IF($D$127=10,S137,IF($D$127=12,S137,IF($D$127=14,S138,IF($D$127=18,S138,IF($D$127=20,S138,IF($D$127=22,S138,)))))))))</f>
        <v>B24016-002</v>
      </c>
      <c r="G148" s="130" t="n">
        <f aca="false">IF($D$127=5,T136,IF($D$127=6,T136,IF($D$127=8,T137,IF($D$127=10,T137,IF($D$127=12,T137,IF($D$127=14,T138,IF($D$127=18,T138,IF($D$127=20,T138,IF($D$127=22,T138,)))))))))</f>
        <v>14</v>
      </c>
      <c r="H148" s="130" t="str">
        <f aca="false">IF($D$127=5,U136,IF($D$127=6,U136,IF($D$127=8,U137,IF($D$127=10,U137,IF($D$127=12,U137,IF($D$127=14,U138,IF($D$127=18,U138,IF($D$127=20,U138,IF($D$127=22,U138,)))))))))</f>
        <v>H-242</v>
      </c>
      <c r="I148" s="133" t="n">
        <f aca="false">IF($D$127=5,V136,IF($D$127=6,V136,IF($D$127=8,V137,IF($D$127=10,V137,IF($D$127=12,V137,IF($D$127=14,V138,IF($D$127=18,V138,IF($D$127=20,V138,IF($D$127=22,V138,)))))))))</f>
        <v>2658</v>
      </c>
      <c r="J148" s="134" t="n">
        <f aca="false">$J$120*G148</f>
        <v>14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535</v>
      </c>
      <c r="D149" s="132" t="s">
        <v>536</v>
      </c>
      <c r="E149" s="130"/>
      <c r="F149" s="132" t="s">
        <v>537</v>
      </c>
      <c r="G149" s="130" t="n">
        <v>1</v>
      </c>
      <c r="H149" s="130" t="s">
        <v>389</v>
      </c>
      <c r="I149" s="133" t="n">
        <f aca="false">$J$123-92</f>
        <v>2808</v>
      </c>
      <c r="J149" s="134" t="n">
        <f aca="false">$J$120*G149</f>
        <v>1</v>
      </c>
    </row>
    <row r="150" s="96" customFormat="true" ht="18" hidden="false" customHeight="true" outlineLevel="0" collapsed="false">
      <c r="A150" s="130" t="n">
        <f aca="false">IF(B150="","",+A149+1)</f>
        <v>18</v>
      </c>
      <c r="B150" s="131" t="s">
        <v>534</v>
      </c>
      <c r="C150" s="131" t="s">
        <v>535</v>
      </c>
      <c r="D150" s="132" t="s">
        <v>536</v>
      </c>
      <c r="E150" s="130"/>
      <c r="F150" s="132" t="s">
        <v>539</v>
      </c>
      <c r="G150" s="130" t="n">
        <v>1</v>
      </c>
      <c r="H150" s="130" t="s">
        <v>389</v>
      </c>
      <c r="I150" s="133" t="n">
        <f aca="false">$J$123-92</f>
        <v>2808</v>
      </c>
      <c r="J150" s="134" t="n">
        <f aca="false">$J$120*G150</f>
        <v>1</v>
      </c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42"/>
      <c r="J151" s="134" t="n">
        <f aca="false">$J$120*G151</f>
        <v>0</v>
      </c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IF(B153="","",+A151+1)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4940</v>
      </c>
      <c r="G155" s="155" t="n">
        <f aca="false">VLOOKUP(C155,$C$133:$J$153,8,0)</f>
        <v>1</v>
      </c>
      <c r="H155" s="264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VLOOKUP(C156,$C$133:$I$153,7,0)</f>
        <v>4914</v>
      </c>
      <c r="G156" s="155" t="n">
        <f aca="false">VLOOKUP(C156,$C$133:$J$153,8,0)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VLOOKUP(C157,$C$133:$I$153,7,0)</f>
        <v>4940</v>
      </c>
      <c r="G157" s="155" t="n">
        <f aca="false">VLOOKUP(C157,$C$133:$J$153,8,0)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VLOOKUP(C158,$C$133:$I$153,7,0)</f>
        <v>4940</v>
      </c>
      <c r="G158" s="155" t="n">
        <f aca="false">VLOOKUP(C158,$C$133:$J$153,8,0)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VLOOKUP(C159,$C$133:$I$153,7,0)</f>
        <v>2900</v>
      </c>
      <c r="G159" s="155" t="n">
        <f aca="false">VLOOKUP(C159,$C$133:$J$153,8,0)</f>
        <v>1</v>
      </c>
      <c r="H159" s="160" t="n">
        <f aca="false">ROUNDUP(((F159*G159)+(F160*G160))/6400,0)</f>
        <v>1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VLOOKUP(C160,$C$133:$I$153,7,0)</f>
        <v>2900</v>
      </c>
      <c r="G160" s="155" t="n">
        <f aca="false">VLOOKUP(C160,$C$133:$J$153,8,0)</f>
        <v>1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VLOOKUP(C161,$C$133:$I$153,7,0)</f>
        <v>2804</v>
      </c>
      <c r="G161" s="155" t="n">
        <f aca="false">VLOOKUP(C161,$C$133:$J$153,8,0)</f>
        <v>1</v>
      </c>
      <c r="H161" s="160" t="n">
        <f aca="false">ROUNDUP(((F161*G161)+(F162*G162))/6400,0)</f>
        <v>1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155" t="n">
        <f aca="false">VLOOKUP(C162,$C$133:$H$153,3,0)</f>
        <v>0.235</v>
      </c>
      <c r="F162" s="263" t="n">
        <f aca="false">VLOOKUP(C162,$C$133:$I$153,7,0)</f>
        <v>2804</v>
      </c>
      <c r="G162" s="155" t="n">
        <f aca="false">VLOOKUP(C162,$C$133:$J$153,8,0)</f>
        <v>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155" t="n">
        <f aca="false">VLOOKUP(C163,$C$133:$H$153,3,0)</f>
        <v>1.106</v>
      </c>
      <c r="F163" s="267" t="n">
        <f aca="false">VLOOKUP(C163,$C$133:$I$153,7,0)</f>
        <v>701.142857142857</v>
      </c>
      <c r="G163" s="155" t="n">
        <f aca="false">VLOOKUP(C163,$C$133:$J$153,8,0)</f>
        <v>7</v>
      </c>
      <c r="H163" s="160" t="n">
        <f aca="false">ROUNDUP(((F163*G163)+(F164*G164)+(F165*G165)+(F166*G166)+(F167*G167)+(F168*G168))/6400,0)</f>
        <v>8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155" t="n">
        <f aca="false">VLOOKUP(C164,$C$133:$H$153,3,0)</f>
        <v>1.106</v>
      </c>
      <c r="F164" s="267" t="n">
        <f aca="false">VLOOKUP(C164,$C$133:$I$153,7,0)</f>
        <v>701.142857142857</v>
      </c>
      <c r="G164" s="155" t="n">
        <f aca="false">VLOOKUP(C164,$C$133:$J$153,8,0)</f>
        <v>7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155" t="n">
        <f aca="false">VLOOKUP(C165,$C$133:$H$153,3,0)</f>
        <v>1.106</v>
      </c>
      <c r="F165" s="263" t="n">
        <f aca="false">VLOOKUP(C165,$C$133:$I$153,7,0)</f>
        <v>2808</v>
      </c>
      <c r="G165" s="155" t="n">
        <f aca="false">VLOOKUP(C165,$C$133:$J$153,8,0)</f>
        <v>10</v>
      </c>
      <c r="H165" s="160"/>
      <c r="I165" s="161"/>
      <c r="J165" s="161"/>
    </row>
    <row r="166" s="96" customFormat="true" ht="13.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155" t="n">
        <f aca="false">VLOOKUP(C166,$C$133:$H$153,3,0)</f>
        <v>1.106</v>
      </c>
      <c r="F166" s="263" t="n">
        <f aca="false">VLOOKUP(C166,$C$133:$I$153,7,0)</f>
        <v>2808</v>
      </c>
      <c r="G166" s="155" t="n">
        <f aca="false">VLOOKUP(C166,$C$133:$J$153,8,0)</f>
        <v>1</v>
      </c>
      <c r="H166" s="160"/>
      <c r="I166" s="161"/>
      <c r="J166" s="161"/>
    </row>
    <row r="167" s="96" customFormat="true" ht="13.5" hidden="false" customHeight="true" outlineLevel="1" collapsed="false">
      <c r="A167" s="158" t="n">
        <f aca="false">IF(B167="","",+A166+1)</f>
        <v>13</v>
      </c>
      <c r="B167" s="153" t="str">
        <f aca="false">B145</f>
        <v>เสากุญแจ</v>
      </c>
      <c r="C167" s="153" t="str">
        <f aca="false">C145</f>
        <v>SASH (Ver) LOCK </v>
      </c>
      <c r="D167" s="159"/>
      <c r="E167" s="155" t="n">
        <f aca="false">VLOOKUP(C167,$C$133:$H$153,3,0)</f>
        <v>1.106</v>
      </c>
      <c r="F167" s="263" t="n">
        <f aca="false">VLOOKUP(C167,$C$133:$I$153,7,0)</f>
        <v>2808</v>
      </c>
      <c r="G167" s="155" t="n">
        <f aca="false">VLOOKUP(C167,$C$133:$J$153,8,0)</f>
        <v>1</v>
      </c>
      <c r="H167" s="160"/>
      <c r="I167" s="161"/>
      <c r="J167" s="161"/>
    </row>
    <row r="168" s="96" customFormat="true" ht="15" hidden="false" customHeight="true" outlineLevel="1" collapsed="false">
      <c r="A168" s="158" t="n">
        <f aca="false">IF(B168="","",+A167+1)</f>
        <v>14</v>
      </c>
      <c r="B168" s="153" t="str">
        <f aca="false">B146</f>
        <v>เสากุญแจมือจับ</v>
      </c>
      <c r="C168" s="153" t="str">
        <f aca="false">C146</f>
        <v>SASH (Ver) LOCK HANDLE</v>
      </c>
      <c r="D168" s="159"/>
      <c r="E168" s="155" t="n">
        <f aca="false">VLOOKUP(C168,$C$133:$H$153,3,0)</f>
        <v>1.106</v>
      </c>
      <c r="F168" s="263" t="n">
        <f aca="false">VLOOKUP(C168,$C$133:$I$153,7,0)</f>
        <v>2808</v>
      </c>
      <c r="G168" s="155" t="n">
        <f aca="false">VLOOKUP(C168,$C$133:$J$153,8,0)</f>
        <v>1</v>
      </c>
      <c r="H168" s="160"/>
      <c r="I168" s="265"/>
      <c r="J168" s="265"/>
    </row>
    <row r="169" s="96" customFormat="true" ht="13.5" hidden="false" customHeight="true" outlineLevel="1" collapsed="false">
      <c r="A169" s="158" t="n">
        <f aca="false">IF(B169="","",+A168+1)</f>
        <v>15</v>
      </c>
      <c r="B169" s="153" t="str">
        <f aca="false">B147</f>
        <v>8-12mm คิ้วตบกระจกแนวนอน</v>
      </c>
      <c r="C169" s="153" t="str">
        <f aca="false">C147</f>
        <v>8-12mm GLAZING BEAD HORIZONTAL</v>
      </c>
      <c r="D169" s="159" t="str">
        <f aca="false">VLOOKUP(C169,$C$133:$H$153,2,0)</f>
        <v>B24016</v>
      </c>
      <c r="E169" s="155" t="n">
        <f aca="false">VLOOKUP(C169,$C$133:$H$153,3,0)</f>
        <v>0.215</v>
      </c>
      <c r="F169" s="267" t="n">
        <f aca="false">VLOOKUP(C169,$C$133:$I$153,7,0)</f>
        <v>590.785714285714</v>
      </c>
      <c r="G169" s="155" t="n">
        <f aca="false">VLOOKUP(C169,$C$133:$J$153,8,0)</f>
        <v>14</v>
      </c>
      <c r="H169" s="160" t="n">
        <f aca="false">ROUNDUP(((F169*G169)+(F170*G170))/6400,0)</f>
        <v>8</v>
      </c>
      <c r="I169" s="196"/>
      <c r="J169" s="196"/>
    </row>
    <row r="170" s="96" customFormat="true" ht="15" hidden="false" customHeight="true" outlineLevel="1" collapsed="false">
      <c r="A170" s="158" t="n">
        <f aca="false">IF(B170="","",+A169+1)</f>
        <v>16</v>
      </c>
      <c r="B170" s="153" t="str">
        <f aca="false">B148</f>
        <v>8-12mm คิ้วตบกระจกแนวตั้ง</v>
      </c>
      <c r="C170" s="153" t="str">
        <f aca="false">C148</f>
        <v>8-12mm GLAZING BEAD VERTICAL</v>
      </c>
      <c r="D170" s="159"/>
      <c r="E170" s="155" t="n">
        <f aca="false">VLOOKUP(C170,$C$133:$H$153,3,0)</f>
        <v>0.215</v>
      </c>
      <c r="F170" s="263" t="n">
        <f aca="false">VLOOKUP(C170,$C$133:$I$153,7,0)</f>
        <v>2658</v>
      </c>
      <c r="G170" s="155" t="n">
        <f aca="false">VLOOKUP(C170,$C$133:$J$153,8,0)</f>
        <v>14</v>
      </c>
      <c r="H170" s="160"/>
      <c r="I170" s="196"/>
      <c r="J170" s="196"/>
    </row>
    <row r="171" s="96" customFormat="true" ht="13.5" hidden="false" customHeight="true" outlineLevel="1" collapsed="false">
      <c r="A171" s="158" t="n">
        <f aca="false">IF(B171="","",+A170+1)</f>
        <v>17</v>
      </c>
      <c r="B171" s="153" t="str">
        <f aca="false">B149</f>
        <v>บังใบ</v>
      </c>
      <c r="C171" s="153" t="str">
        <f aca="false">C149</f>
        <v>SASH STOP</v>
      </c>
      <c r="D171" s="163" t="str">
        <f aca="false">VLOOKUP(C171,$C$133:$H$153,2,0)</f>
        <v>B24009</v>
      </c>
      <c r="E171" s="155" t="n">
        <f aca="false">VLOOKUP(C171,$C$133:$H$153,3,0)</f>
        <v>0</v>
      </c>
      <c r="F171" s="263" t="n">
        <f aca="false">VLOOKUP(C171,$C$133:$I$153,7,0)</f>
        <v>2808</v>
      </c>
      <c r="G171" s="155" t="n">
        <f aca="false">VLOOKUP(C171,$C$133:$J$153,8,0)</f>
        <v>1</v>
      </c>
      <c r="H171" s="160" t="n">
        <f aca="false">ROUNDUP(((F171*G171)+(F172*G172))/6400,0)</f>
        <v>1</v>
      </c>
      <c r="I171" s="196"/>
      <c r="J171" s="196"/>
    </row>
    <row r="172" s="96" customFormat="true" ht="14.25" hidden="false" customHeight="false" outlineLevel="1" collapsed="false">
      <c r="A172" s="158" t="n">
        <f aca="false">IF(B172="","",+A171+1)</f>
        <v>18</v>
      </c>
      <c r="B172" s="153" t="str">
        <f aca="false">B150</f>
        <v>บังใบ</v>
      </c>
      <c r="C172" s="153" t="str">
        <f aca="false">C150</f>
        <v>SASH STOP</v>
      </c>
      <c r="D172" s="163"/>
      <c r="E172" s="155" t="n">
        <f aca="false">VLOOKUP(C172,$C$133:$H$153,3,0)</f>
        <v>0</v>
      </c>
      <c r="F172" s="263" t="n">
        <f aca="false">VLOOKUP(C172,$C$133:$I$153,7,0)</f>
        <v>2808</v>
      </c>
      <c r="G172" s="155" t="n">
        <f aca="false">VLOOKUP(C172,$C$133:$J$153,8,0)</f>
        <v>1</v>
      </c>
      <c r="H172" s="160"/>
      <c r="I172" s="196"/>
      <c r="J172" s="196"/>
    </row>
    <row r="173" s="96" customFormat="true" ht="24.75" hidden="false" customHeight="true" outlineLevel="0" collapsed="false">
      <c r="A173" s="113" t="s">
        <v>396</v>
      </c>
      <c r="B173" s="113"/>
      <c r="C173" s="113"/>
      <c r="D173" s="113"/>
      <c r="E173" s="113"/>
      <c r="F173" s="113"/>
      <c r="G173" s="113"/>
      <c r="H173" s="113"/>
      <c r="I173" s="113"/>
      <c r="J173" s="113"/>
    </row>
    <row r="174" s="96" customFormat="true" ht="34.5" hidden="false" customHeight="true" outlineLevel="0" collapsed="false">
      <c r="A174" s="114" t="s">
        <v>319</v>
      </c>
      <c r="B174" s="115" t="s">
        <v>320</v>
      </c>
      <c r="C174" s="115" t="s">
        <v>168</v>
      </c>
      <c r="D174" s="115" t="s">
        <v>397</v>
      </c>
      <c r="E174" s="115" t="s">
        <v>321</v>
      </c>
      <c r="F174" s="116" t="s">
        <v>398</v>
      </c>
      <c r="G174" s="115" t="s">
        <v>399</v>
      </c>
      <c r="H174" s="116" t="s">
        <v>400</v>
      </c>
      <c r="I174" s="116" t="s">
        <v>401</v>
      </c>
      <c r="J174" s="117" t="s">
        <v>402</v>
      </c>
      <c r="N174" s="107" t="s">
        <v>288</v>
      </c>
      <c r="O174" s="165" t="s">
        <v>320</v>
      </c>
      <c r="P174" s="165" t="s">
        <v>168</v>
      </c>
      <c r="Q174" s="165" t="s">
        <v>397</v>
      </c>
      <c r="R174" s="165" t="s">
        <v>321</v>
      </c>
      <c r="S174" s="165" t="s">
        <v>398</v>
      </c>
      <c r="T174" s="165" t="s">
        <v>399</v>
      </c>
      <c r="U174" s="165" t="s">
        <v>400</v>
      </c>
      <c r="V174" s="165" t="s">
        <v>401</v>
      </c>
      <c r="W174" s="165" t="s">
        <v>402</v>
      </c>
    </row>
    <row r="175" s="96" customFormat="true" ht="18" hidden="false" customHeight="true" outlineLevel="0" collapsed="false">
      <c r="A175" s="166" t="n">
        <f aca="false">IF(B175="","",1)</f>
        <v>1</v>
      </c>
      <c r="B175" s="131" t="s">
        <v>410</v>
      </c>
      <c r="C175" s="131" t="s">
        <v>411</v>
      </c>
      <c r="D175" s="132" t="s">
        <v>267</v>
      </c>
      <c r="E175" s="130"/>
      <c r="F175" s="130" t="s">
        <v>267</v>
      </c>
      <c r="G175" s="130" t="s">
        <v>405</v>
      </c>
      <c r="H175" s="130" t="n">
        <v>14</v>
      </c>
      <c r="I175" s="133"/>
      <c r="J175" s="134" t="n">
        <f aca="false">$J$120*H175</f>
        <v>14</v>
      </c>
      <c r="N175" s="107" t="s">
        <v>406</v>
      </c>
      <c r="O175" s="55" t="s">
        <v>407</v>
      </c>
      <c r="P175" s="62" t="s">
        <v>408</v>
      </c>
      <c r="Q175" s="55" t="s">
        <v>227</v>
      </c>
      <c r="R175" s="158"/>
      <c r="S175" s="158" t="s">
        <v>227</v>
      </c>
      <c r="T175" s="158" t="s">
        <v>409</v>
      </c>
      <c r="U175" s="168" t="n">
        <f aca="false">((($I$141*$G$141)+($I$142*$G$142)+($I$143*$G$143)+($I$144*$G$144)+($I$145*$G$145)+($I$146*$G$146))/1000)*$J$120</f>
        <v>49.128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2</v>
      </c>
      <c r="B176" s="131" t="s">
        <v>415</v>
      </c>
      <c r="C176" s="131" t="s">
        <v>416</v>
      </c>
      <c r="D176" s="132" t="s">
        <v>222</v>
      </c>
      <c r="E176" s="130"/>
      <c r="F176" s="130" t="s">
        <v>222</v>
      </c>
      <c r="G176" s="130" t="s">
        <v>405</v>
      </c>
      <c r="H176" s="130" t="n">
        <v>2</v>
      </c>
      <c r="I176" s="133"/>
      <c r="J176" s="134" t="n">
        <f aca="false">$J$120*H176</f>
        <v>2</v>
      </c>
      <c r="N176" s="107" t="s">
        <v>412</v>
      </c>
      <c r="O176" s="55" t="s">
        <v>413</v>
      </c>
      <c r="P176" s="62" t="s">
        <v>414</v>
      </c>
      <c r="Q176" s="55" t="s">
        <v>234</v>
      </c>
      <c r="R176" s="158"/>
      <c r="S176" s="158" t="s">
        <v>234</v>
      </c>
      <c r="T176" s="158" t="s">
        <v>409</v>
      </c>
      <c r="U176" s="168" t="n">
        <f aca="false">((($I$141*$G$141)+($I$142*$G$142)+($I$143*$G$143)+($I$144*$G$144)+($I$145*$G$145)+($I$146*$G$146))/1000)*$J$120</f>
        <v>49.128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3</v>
      </c>
      <c r="B177" s="131" t="s">
        <v>420</v>
      </c>
      <c r="C177" s="131" t="s">
        <v>421</v>
      </c>
      <c r="D177" s="132" t="s">
        <v>225</v>
      </c>
      <c r="E177" s="130"/>
      <c r="F177" s="130" t="s">
        <v>225</v>
      </c>
      <c r="G177" s="130" t="s">
        <v>405</v>
      </c>
      <c r="H177" s="130" t="n">
        <v>2</v>
      </c>
      <c r="I177" s="133"/>
      <c r="J177" s="134" t="n">
        <f aca="false">$J$120*H177</f>
        <v>2</v>
      </c>
      <c r="N177" s="107" t="s">
        <v>417</v>
      </c>
      <c r="O177" s="62" t="s">
        <v>418</v>
      </c>
      <c r="P177" s="62" t="s">
        <v>419</v>
      </c>
      <c r="Q177" s="55" t="s">
        <v>236</v>
      </c>
      <c r="R177" s="158"/>
      <c r="S177" s="158" t="s">
        <v>236</v>
      </c>
      <c r="T177" s="158" t="s">
        <v>409</v>
      </c>
      <c r="U177" s="168" t="n">
        <f aca="false">((($I$141*$G$141)+($I$142*$G$142)+($I$143*$G$143)+($I$144*$G$144)+($I$145*$G$145)+($I$146*$G$146))/1000)*$J$120</f>
        <v>49.128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4</v>
      </c>
      <c r="B178" s="131" t="s">
        <v>425</v>
      </c>
      <c r="C178" s="131" t="s">
        <v>426</v>
      </c>
      <c r="D178" s="132" t="n">
        <v>9</v>
      </c>
      <c r="E178" s="130"/>
      <c r="F178" s="130" t="n">
        <v>9</v>
      </c>
      <c r="G178" s="130" t="s">
        <v>405</v>
      </c>
      <c r="H178" s="130" t="n">
        <v>8</v>
      </c>
      <c r="I178" s="133"/>
      <c r="J178" s="134" t="n">
        <f aca="false">$J$120*H178</f>
        <v>8</v>
      </c>
      <c r="N178" s="107" t="s">
        <v>422</v>
      </c>
      <c r="O178" s="62" t="s">
        <v>423</v>
      </c>
      <c r="P178" s="62" t="s">
        <v>424</v>
      </c>
      <c r="Q178" s="55" t="s">
        <v>238</v>
      </c>
      <c r="R178" s="158"/>
      <c r="S178" s="158" t="s">
        <v>238</v>
      </c>
      <c r="T178" s="158" t="s">
        <v>409</v>
      </c>
      <c r="U178" s="168" t="n">
        <f aca="false">((($I$141*$G$141)+($I$142*$G$142)+($I$143*$G$143)+($I$144*$G$144)+($I$145*$G$145)+($I$146*$G$146))/1000)*$J$120</f>
        <v>49.128</v>
      </c>
      <c r="V178" s="168" t="n">
        <v>100</v>
      </c>
      <c r="W178" s="169" t="n">
        <f aca="false">ROUNDUP((U178)/100,0)</f>
        <v>1</v>
      </c>
    </row>
    <row r="179" s="96" customFormat="true" ht="18" hidden="false" customHeight="true" outlineLevel="0" collapsed="false">
      <c r="A179" s="170" t="n">
        <f aca="false">IF(B179="","",+A178+1)</f>
        <v>5</v>
      </c>
      <c r="B179" s="131" t="s">
        <v>430</v>
      </c>
      <c r="C179" s="131" t="s">
        <v>431</v>
      </c>
      <c r="D179" s="132" t="n">
        <v>9</v>
      </c>
      <c r="E179" s="130"/>
      <c r="F179" s="130" t="n">
        <v>9</v>
      </c>
      <c r="G179" s="130" t="s">
        <v>405</v>
      </c>
      <c r="H179" s="130" t="n">
        <v>110</v>
      </c>
      <c r="I179" s="133"/>
      <c r="J179" s="134" t="n">
        <f aca="false">$J$120*H179</f>
        <v>110</v>
      </c>
      <c r="N179" s="107" t="s">
        <v>427</v>
      </c>
      <c r="O179" s="62" t="s">
        <v>428</v>
      </c>
      <c r="P179" s="62" t="s">
        <v>429</v>
      </c>
      <c r="Q179" s="55" t="s">
        <v>240</v>
      </c>
      <c r="R179" s="158"/>
      <c r="S179" s="158" t="s">
        <v>240</v>
      </c>
      <c r="T179" s="158" t="s">
        <v>409</v>
      </c>
      <c r="U179" s="168" t="n">
        <f aca="false">((($I$141*$G$141)+($I$142*$G$142)+($I$143*$G$143)+($I$144*$G$144)+($I$145*$G$145)+($I$146*$G$146))/1000)*$J$120</f>
        <v>49.128</v>
      </c>
      <c r="V179" s="168" t="n">
        <v>100</v>
      </c>
      <c r="W179" s="169" t="n">
        <f aca="false">ROUNDUP((U179)/100,0)</f>
        <v>1</v>
      </c>
    </row>
    <row r="180" s="96" customFormat="true" ht="18" hidden="false" customHeight="true" outlineLevel="0" collapsed="false">
      <c r="A180" s="170" t="n">
        <f aca="false">IF(B180="","",+A179+1)</f>
        <v>6</v>
      </c>
      <c r="B180" s="131" t="s">
        <v>556</v>
      </c>
      <c r="C180" s="131" t="s">
        <v>557</v>
      </c>
      <c r="D180" s="132" t="s">
        <v>5</v>
      </c>
      <c r="E180" s="130"/>
      <c r="F180" s="130" t="s">
        <v>5</v>
      </c>
      <c r="G180" s="130" t="s">
        <v>434</v>
      </c>
      <c r="H180" s="130" t="n">
        <v>3</v>
      </c>
      <c r="I180" s="133"/>
      <c r="J180" s="134" t="n">
        <f aca="false">$J$120*H180</f>
        <v>3</v>
      </c>
    </row>
    <row r="181" s="96" customFormat="true" ht="18" hidden="false" customHeight="true" outlineLevel="0" collapsed="false">
      <c r="A181" s="170" t="n">
        <f aca="false">IF(B181="","",+A180+1)</f>
        <v>7</v>
      </c>
      <c r="B181" s="131" t="s">
        <v>432</v>
      </c>
      <c r="C181" s="131" t="s">
        <v>433</v>
      </c>
      <c r="D181" s="132" t="s">
        <v>6</v>
      </c>
      <c r="E181" s="130"/>
      <c r="F181" s="130" t="s">
        <v>6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8</v>
      </c>
      <c r="B182" s="131" t="s">
        <v>512</v>
      </c>
      <c r="C182" s="131" t="s">
        <v>513</v>
      </c>
      <c r="D182" s="132" t="s">
        <v>7</v>
      </c>
      <c r="E182" s="130"/>
      <c r="F182" s="130" t="s">
        <v>7</v>
      </c>
      <c r="G182" s="130" t="s">
        <v>434</v>
      </c>
      <c r="H182" s="130" t="n">
        <v>1</v>
      </c>
      <c r="I182" s="133"/>
      <c r="J182" s="134" t="n">
        <f aca="false">$J$120*H182</f>
        <v>1</v>
      </c>
    </row>
    <row r="183" s="96" customFormat="true" ht="18" hidden="false" customHeight="true" outlineLevel="0" collapsed="false">
      <c r="A183" s="170" t="n">
        <f aca="false">IF(B183="","",+A182+1)</f>
        <v>9</v>
      </c>
      <c r="B183" s="131" t="s">
        <v>554</v>
      </c>
      <c r="C183" s="131" t="s">
        <v>555</v>
      </c>
      <c r="D183" s="132" t="s">
        <v>11</v>
      </c>
      <c r="E183" s="130"/>
      <c r="F183" s="130" t="s">
        <v>11</v>
      </c>
      <c r="G183" s="130" t="s">
        <v>434</v>
      </c>
      <c r="H183" s="130" t="n">
        <v>2</v>
      </c>
      <c r="I183" s="133"/>
      <c r="J183" s="134" t="n">
        <f aca="false">$J$120*H183</f>
        <v>2</v>
      </c>
    </row>
    <row r="184" s="96" customFormat="true" ht="18" hidden="false" customHeight="true" outlineLevel="0" collapsed="false">
      <c r="A184" s="170" t="n">
        <f aca="false">IF(B184="","",+A183+1)</f>
        <v>10</v>
      </c>
      <c r="B184" s="131" t="s">
        <v>514</v>
      </c>
      <c r="C184" s="131" t="s">
        <v>515</v>
      </c>
      <c r="D184" s="132" t="s">
        <v>8</v>
      </c>
      <c r="E184" s="130"/>
      <c r="F184" s="130" t="s">
        <v>8</v>
      </c>
      <c r="G184" s="130" t="s">
        <v>434</v>
      </c>
      <c r="H184" s="130" t="n">
        <v>1</v>
      </c>
      <c r="I184" s="142"/>
      <c r="J184" s="134" t="n">
        <f aca="false">$J$120*H184</f>
        <v>1</v>
      </c>
      <c r="Q184" s="172"/>
      <c r="R184" s="172"/>
      <c r="S184" s="172"/>
      <c r="T184" s="97"/>
      <c r="U184" s="97"/>
      <c r="V184" s="97"/>
    </row>
    <row r="185" s="96" customFormat="true" ht="18" hidden="false" customHeight="true" outlineLevel="0" collapsed="false">
      <c r="A185" s="170" t="n">
        <f aca="false">IF(B185="","",+A184+1)</f>
        <v>11</v>
      </c>
      <c r="B185" s="131" t="s">
        <v>439</v>
      </c>
      <c r="C185" s="131" t="s">
        <v>440</v>
      </c>
      <c r="D185" s="132" t="s">
        <v>12</v>
      </c>
      <c r="E185" s="130"/>
      <c r="F185" s="130" t="s">
        <v>12</v>
      </c>
      <c r="G185" s="130" t="s">
        <v>434</v>
      </c>
      <c r="H185" s="130" t="n">
        <v>3</v>
      </c>
      <c r="I185" s="142"/>
      <c r="J185" s="134" t="n">
        <f aca="false">$J$120*H185</f>
        <v>3</v>
      </c>
      <c r="N185" s="107" t="s">
        <v>289</v>
      </c>
      <c r="O185" s="165" t="s">
        <v>320</v>
      </c>
      <c r="P185" s="165" t="s">
        <v>168</v>
      </c>
      <c r="Q185" s="165" t="s">
        <v>397</v>
      </c>
      <c r="R185" s="165" t="s">
        <v>321</v>
      </c>
      <c r="S185" s="165" t="s">
        <v>398</v>
      </c>
      <c r="T185" s="165" t="s">
        <v>399</v>
      </c>
      <c r="U185" s="165" t="s">
        <v>400</v>
      </c>
      <c r="V185" s="165" t="s">
        <v>401</v>
      </c>
      <c r="W185" s="165" t="s">
        <v>402</v>
      </c>
    </row>
    <row r="186" s="96" customFormat="true" ht="18" hidden="false" customHeight="true" outlineLevel="0" collapsed="false">
      <c r="A186" s="170" t="n">
        <f aca="false">IF(B186="","",+A185+1)</f>
        <v>12</v>
      </c>
      <c r="B186" s="131" t="s">
        <v>540</v>
      </c>
      <c r="C186" s="131" t="s">
        <v>541</v>
      </c>
      <c r="D186" s="132" t="s">
        <v>542</v>
      </c>
      <c r="E186" s="130"/>
      <c r="F186" s="130" t="s">
        <v>542</v>
      </c>
      <c r="G186" s="130" t="s">
        <v>434</v>
      </c>
      <c r="H186" s="130" t="n">
        <v>1</v>
      </c>
      <c r="I186" s="142"/>
      <c r="J186" s="134" t="n">
        <f aca="false">$J$120*H186</f>
        <v>1</v>
      </c>
      <c r="N186" s="107" t="s">
        <v>445</v>
      </c>
      <c r="O186" s="62" t="s">
        <v>446</v>
      </c>
      <c r="P186" s="62" t="s">
        <v>447</v>
      </c>
      <c r="Q186" s="55" t="s">
        <v>230</v>
      </c>
      <c r="R186" s="158"/>
      <c r="S186" s="158" t="s">
        <v>230</v>
      </c>
      <c r="T186" s="158" t="s">
        <v>409</v>
      </c>
      <c r="U186" s="168" t="n">
        <f aca="false">((($I$134*$G$134)+($I$136*$G$136)+($I$139*$G$139))/1000)*$J$120</f>
        <v>12.658</v>
      </c>
      <c r="V186" s="168" t="n">
        <v>300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13</v>
      </c>
      <c r="B187" s="131" t="s">
        <v>441</v>
      </c>
      <c r="C187" s="131" t="s">
        <v>442</v>
      </c>
      <c r="D187" s="132" t="s">
        <v>274</v>
      </c>
      <c r="E187" s="130"/>
      <c r="F187" s="130" t="s">
        <v>274</v>
      </c>
      <c r="G187" s="130" t="s">
        <v>405</v>
      </c>
      <c r="H187" s="130" t="n">
        <v>6</v>
      </c>
      <c r="I187" s="133"/>
      <c r="J187" s="134" t="n">
        <f aca="false">$J$120*H187</f>
        <v>6</v>
      </c>
      <c r="N187" s="107" t="s">
        <v>448</v>
      </c>
      <c r="O187" s="62" t="s">
        <v>449</v>
      </c>
      <c r="P187" s="62" t="s">
        <v>450</v>
      </c>
      <c r="Q187" s="55" t="s">
        <v>451</v>
      </c>
      <c r="R187" s="158"/>
      <c r="S187" s="158" t="s">
        <v>451</v>
      </c>
      <c r="T187" s="158" t="s">
        <v>409</v>
      </c>
      <c r="U187" s="168" t="n">
        <f aca="false">((($I$134*$G$134)+($I$136*$G$136)+($I$139*$G$139))/1000)*$J$120</f>
        <v>12.658</v>
      </c>
      <c r="V187" s="168" t="n">
        <v>100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14</v>
      </c>
      <c r="B188" s="131" t="s">
        <v>443</v>
      </c>
      <c r="C188" s="131" t="s">
        <v>444</v>
      </c>
      <c r="D188" s="132" t="s">
        <v>272</v>
      </c>
      <c r="E188" s="130"/>
      <c r="F188" s="130" t="s">
        <v>272</v>
      </c>
      <c r="G188" s="130" t="s">
        <v>405</v>
      </c>
      <c r="H188" s="130" t="n">
        <v>1</v>
      </c>
      <c r="I188" s="133"/>
      <c r="J188" s="134" t="n">
        <f aca="false">$J$120*H188</f>
        <v>1</v>
      </c>
      <c r="N188" s="107" t="s">
        <v>445</v>
      </c>
      <c r="O188" s="62" t="s">
        <v>452</v>
      </c>
      <c r="P188" s="62" t="s">
        <v>453</v>
      </c>
      <c r="Q188" s="55" t="s">
        <v>232</v>
      </c>
      <c r="R188" s="158"/>
      <c r="S188" s="158" t="s">
        <v>232</v>
      </c>
      <c r="T188" s="158" t="s">
        <v>409</v>
      </c>
      <c r="U188" s="168" t="n">
        <f aca="false">((($I$141*$G$141*2)+($I$143*$G$143*2)+($I$145*$G$145*2))/1000)*$J$120</f>
        <v>77.208</v>
      </c>
      <c r="V188" s="168" t="n">
        <v>350</v>
      </c>
      <c r="W188" s="169" t="n">
        <f aca="false">ROUNDUP((U188)/V188,0)</f>
        <v>1</v>
      </c>
    </row>
    <row r="189" s="96" customFormat="true" ht="18" hidden="false" customHeight="true" outlineLevel="0" collapsed="false">
      <c r="A189" s="170" t="n">
        <f aca="false">IF(B189="","",+A188+1)</f>
        <v>15</v>
      </c>
      <c r="B189" s="131" t="s">
        <v>403</v>
      </c>
      <c r="C189" s="131" t="s">
        <v>404</v>
      </c>
      <c r="D189" s="132" t="s">
        <v>276</v>
      </c>
      <c r="E189" s="130"/>
      <c r="F189" s="130" t="s">
        <v>276</v>
      </c>
      <c r="G189" s="130" t="s">
        <v>405</v>
      </c>
      <c r="H189" s="130" t="n">
        <v>2</v>
      </c>
      <c r="I189" s="133"/>
      <c r="J189" s="134" t="n">
        <f aca="false">$J$120*H189</f>
        <v>2</v>
      </c>
      <c r="N189" s="107" t="s">
        <v>448</v>
      </c>
      <c r="O189" s="62" t="s">
        <v>454</v>
      </c>
      <c r="P189" s="62" t="s">
        <v>455</v>
      </c>
      <c r="Q189" s="55" t="s">
        <v>456</v>
      </c>
      <c r="R189" s="158"/>
      <c r="S189" s="158" t="s">
        <v>456</v>
      </c>
      <c r="T189" s="158" t="s">
        <v>409</v>
      </c>
      <c r="U189" s="168" t="n">
        <f aca="false">((($I$141*$G$141*2)+($I$143*$G$143*2)+($I$145*$G$145*2))/1000)*$J$120</f>
        <v>77.208</v>
      </c>
      <c r="V189" s="168" t="n">
        <v>100</v>
      </c>
      <c r="W189" s="169" t="n">
        <f aca="false">ROUNDUP((U189)/V189,0)</f>
        <v>1</v>
      </c>
    </row>
    <row r="190" s="96" customFormat="true" ht="18" hidden="false" customHeight="true" outlineLevel="0" collapsed="false">
      <c r="A190" s="170" t="n">
        <f aca="false">IF(B190="","",+A189+1)</f>
        <v>16</v>
      </c>
      <c r="B190" s="131" t="s">
        <v>580</v>
      </c>
      <c r="C190" s="131" t="s">
        <v>581</v>
      </c>
      <c r="D190" s="132" t="s">
        <v>582</v>
      </c>
      <c r="E190" s="130"/>
      <c r="F190" s="130" t="s">
        <v>582</v>
      </c>
      <c r="G190" s="130" t="s">
        <v>409</v>
      </c>
      <c r="H190" s="173" t="n">
        <f aca="false">((($I$149*$G$149)+($I$150*$G$150))/1000)*$J$120</f>
        <v>5.616</v>
      </c>
      <c r="I190" s="174" t="n">
        <v>100</v>
      </c>
      <c r="J190" s="175" t="n">
        <f aca="false">ROUNDUP((H190)/100,0)</f>
        <v>1</v>
      </c>
    </row>
    <row r="191" s="96" customFormat="true" ht="18" hidden="false" customHeight="true" outlineLevel="0" collapsed="false">
      <c r="A191" s="170" t="n">
        <f aca="false">IF(B191="","",+A190+1)</f>
        <v>17</v>
      </c>
      <c r="B191" s="131" t="s">
        <v>583</v>
      </c>
      <c r="C191" s="131" t="s">
        <v>584</v>
      </c>
      <c r="D191" s="132" t="s">
        <v>585</v>
      </c>
      <c r="E191" s="130"/>
      <c r="F191" s="130" t="s">
        <v>585</v>
      </c>
      <c r="G191" s="130" t="s">
        <v>409</v>
      </c>
      <c r="H191" s="173" t="n">
        <f aca="false">((($I$144*$G$144)+(I146*G146))/1000)*$J$120</f>
        <v>5.616</v>
      </c>
      <c r="I191" s="174" t="n">
        <v>100</v>
      </c>
      <c r="J191" s="175" t="n">
        <f aca="false">ROUNDUP((H191)/100,0)</f>
        <v>1</v>
      </c>
    </row>
    <row r="192" s="96" customFormat="true" ht="18" hidden="false" customHeight="true" outlineLevel="0" collapsed="false">
      <c r="A192" s="170" t="n">
        <f aca="false">IF(B192="","",+A191+1)</f>
        <v>18</v>
      </c>
      <c r="B192" s="132" t="str">
        <f aca="false">IF($D$129="Standard",$O$186,IF($D$129="Soumdproof",$O$187,))</f>
        <v>ยางเฟรมกันน้ำ (ธรรมดา)</v>
      </c>
      <c r="C192" s="132" t="str">
        <f aca="false">IF($D$129="Standard",$P$186,IF($D$129="Soumdproof",$P$187,))</f>
        <v>FRAME SEAL (Standard)</v>
      </c>
      <c r="D192" s="132" t="str">
        <f aca="false">IF($D$129="Standard",$Q$186,IF($D$129="Soumdproof",$Q$187,))</f>
        <v>02-026</v>
      </c>
      <c r="E192" s="130" t="n">
        <f aca="false">IF($D$129="Standard",R190,IF($D$129="Soumdproof",R191,))</f>
        <v>0</v>
      </c>
      <c r="F192" s="130" t="str">
        <f aca="false">IF($D$129="Standard",$S$186,IF($D$129="Soumdproof",$S$187,))</f>
        <v>02-026</v>
      </c>
      <c r="G192" s="130" t="str">
        <f aca="false">IF($D$129="Standard",$T$186,IF($D$129="Soumdproof",$T$187,))</f>
        <v>M</v>
      </c>
      <c r="H192" s="173" t="n">
        <f aca="false">IF($D$129="Standard",$U$186,IF($D$129="Soumdproof",$U$187,))</f>
        <v>12.658</v>
      </c>
      <c r="I192" s="174" t="n">
        <f aca="false">IF($D$129="Standard",$V$186,IF($D$129="Soumdproof",$V$187,))</f>
        <v>300</v>
      </c>
      <c r="J192" s="175" t="n">
        <f aca="false">ROUNDUP((H192)/100,0)</f>
        <v>1</v>
      </c>
    </row>
    <row r="193" s="96" customFormat="true" ht="18" hidden="false" customHeight="true" outlineLevel="0" collapsed="false">
      <c r="A193" s="170" t="n">
        <f aca="false">IF(B193="","",+A192+1)</f>
        <v>19</v>
      </c>
      <c r="B193" s="132" t="str">
        <f aca="false">IF($D$129="Standard",$O$188,IF($D$129="Soumdproof",$O$189,))</f>
        <v>ยางแซชกันน้ำ (ธรรมดา)</v>
      </c>
      <c r="C193" s="132" t="str">
        <f aca="false">IF($D$129="Standard",$P$188,IF($D$129="Soumdproof",$P$189,))</f>
        <v>SASH SEAL FOAM (Standard)</v>
      </c>
      <c r="D193" s="132" t="str">
        <f aca="false">IF($D$129="Standard",$Q$188,IF($D$129="Soumdproof",$Q$189,))</f>
        <v>02-031</v>
      </c>
      <c r="E193" s="130" t="n">
        <f aca="false">IF($D$129="Standard",R192,IF($D$129="Soumdproof",R193,))</f>
        <v>0</v>
      </c>
      <c r="F193" s="130" t="str">
        <f aca="false">IF($D$129="Standard",$S$188,IF($D$129="Soumdproof",$S$189,))</f>
        <v>02-031</v>
      </c>
      <c r="G193" s="130" t="str">
        <f aca="false">IF($D$129="Standard",$T$188,IF($D$129="Soumdproof",$T$189,))</f>
        <v>M</v>
      </c>
      <c r="H193" s="173" t="n">
        <f aca="false">IF($D$129="Standard",$U$188,IF($D$129="Soumdproof",$U$189,))</f>
        <v>77.208</v>
      </c>
      <c r="I193" s="174" t="n">
        <f aca="false">IF($D$129="Standard",$V$188,IF($D$129="Soumdproof",$V$189,))</f>
        <v>350</v>
      </c>
      <c r="J193" s="175" t="n">
        <f aca="false">ROUNDUP((H193)/100,0)</f>
        <v>1</v>
      </c>
    </row>
    <row r="194" s="96" customFormat="true" ht="18" hidden="false" customHeight="true" outlineLevel="0" collapsed="false">
      <c r="A194" s="170" t="n">
        <f aca="false">IF(B194="","",+A193+1)</f>
        <v>20</v>
      </c>
      <c r="B194" s="176" t="str">
        <f aca="false">IF($D$127=5,$O$177,IF($D$127=6,$O$178,IF($D$127=8,$O$179,IF($D$127=10,$O$177,IF($D$127=12,$O$177,IF($D$127=14,$O$179,IF($D$127=18,$O$177,IF($D$127=20,$O$178,IF($D$127=22,"")))))))))</f>
        <v>8,14 mm ยางอัดกระจก</v>
      </c>
      <c r="C194" s="176" t="str">
        <f aca="false">IF($D$127=5,$P$177,IF($D$127=6,$P$178,IF($D$127=8,$P$179,IF($D$127=10,$P$177,IF($D$127=12,$P$177,IF($D$127=14,$P$179,IF($D$127=18,$P$177,IF($D$127=20,$P$178,IF($D$127=22,"")))))))))</f>
        <v>8,14 mm ROLL IN WEDGE</v>
      </c>
      <c r="D194" s="176" t="str">
        <f aca="false">IF($D$127=5,$Q$177,IF($D$127=6,$Q$178,IF($D$127=8,$Q$179,IF($D$127=10,$Q$177,IF($D$127=12,$Q$177,IF($D$127=14,$Q$179,IF($D$127=18,$Q$177,IF($D$127=20,$Q$178,IF($D$127=22,"")))))))))</f>
        <v>02-045</v>
      </c>
      <c r="E194" s="176" t="n">
        <f aca="false">IF($D$127=5,R181,IF($D$127=6,R182,IF($D$127=8,R183,IF($D$127=10,R181,IF($D$127=12,R181,IF($D$127=14,R183,IF($D$127=18,R181,IF($D$127=20,R182,IF($D$127=22,"",)))))))))</f>
        <v>0</v>
      </c>
      <c r="F194" s="167" t="str">
        <f aca="false">IF($D$127=5,$S$177,IF($D$127=6,$S$178,IF($D$127=8,$S$179,IF($D$127=10,$S$177,IF($D$127=12,$S$177,IF($D$127=14,$S$179,IF($D$127=18,$S$177,IF($D$127=20,$S$178,IF($D$127=22,"")))))))))</f>
        <v>02-045</v>
      </c>
      <c r="G194" s="167" t="str">
        <f aca="false">IF($D$127=5,$T$177,IF($D$127=6,$T$178,IF($D$127=8,$T$179,IF($D$127=10,$T$177,IF($D$127=12,$T$177,IF($D$127=14,$T$179,IF($D$127=18,$T$177,IF($D$127=20,$T$178,IF($D$127=22,"")))))))))</f>
        <v>M</v>
      </c>
      <c r="H194" s="173" t="n">
        <f aca="false">IF($D$127=5,$U$177,IF($D$127=6,$U$178,IF($D$127=8,$U$179,IF($D$127=10,$U$177*2,IF($D$127=12,$U$177,IF($D$127=14,$U$179*2,IF($D$127=18,$U$177,IF($D$127=20,$U$178,IF($D$127=22,"")))))))))</f>
        <v>49.128</v>
      </c>
      <c r="I194" s="174" t="n">
        <f aca="false">IF($D$127=5,$V$177,IF($D$127=6,$V$178,IF($D$127=8,$V$179,IF($D$127=10,$V$177,IF($D$127=12,$V$177,IF($D$127=14,$V$179,IF($D$127=18,$V$177,IF($D$127=20,$V$178,IF($D$127=22,"")))))))))</f>
        <v>100</v>
      </c>
      <c r="J194" s="175" t="n">
        <f aca="false">ROUNDUP((H194)/100,0)</f>
        <v>1</v>
      </c>
    </row>
    <row r="195" customFormat="false" ht="18" hidden="false" customHeight="true" outlineLevel="0" collapsed="false">
      <c r="A195" s="170" t="n">
        <f aca="false">IF(B195="","",+A194+1)</f>
        <v>21</v>
      </c>
      <c r="B195" s="176" t="str">
        <f aca="false">IF($D$127=5,$O$175,IF($D$127=6,$O$175,IF($D$127=8,$O$177,IF($D$127=10,"",IF($D$127=12,$O$176,IF($D$127=14,"",IF($D$127=18,$O$175,IF($D$127=20,$O$176,IF($D$127=22,"",)))))))))</f>
        <v>5,8,10,12,18 mmยางอัดกระจก</v>
      </c>
      <c r="C195" s="176" t="str">
        <f aca="false">IF($D$127=5,$P$175,IF($D$127=6,$P$175,IF($D$127=8,$P$177,IF($D$127=10,"",IF($D$127=12,$P$176,IF($D$127=14,"",IF($D$127=18,$P$175,IF($D$127=20,$P$176,IF($D$127=22,"",)))))))))</f>
        <v>5,8,10,12,18 mm ROLL IN WEDGE</v>
      </c>
      <c r="D195" s="176" t="str">
        <f aca="false">IF($D$127=5,$Q$175,IF($D$127=6,$Q$175,IF($D$127=8,$Q$177,IF($D$127=10,"",IF($D$127=12,$Q$176,IF($D$127=14,"",IF($D$127=18,$Q$175,IF($D$127=20,$Q$176,IF($D$127=22,"",)))))))))</f>
        <v>02-033</v>
      </c>
      <c r="E195" s="176" t="n">
        <f aca="false">IF($D$127=5,R179,IF($D$127=6,R179,IF($D$127=8,R181,IF($D$127=10,"",IF($D$127=12,R180,IF($D$127=14,"",IF($D$127=18,R179,IF($D$127=20,R180,IF($D$127=22,"",)))))))))</f>
        <v>0</v>
      </c>
      <c r="F195" s="167" t="str">
        <f aca="false">IF($D$127=5,$S$175,IF($D$127=6,$S$175,IF($D$127=8,$S$177,IF($D$127=10,"",IF($D$127=12,$S$176,IF($D$127=14,"",IF($D$127=18,$S$175,IF($D$127=20,$S$176,IF($D$127=22,"",)))))))))</f>
        <v>02-033</v>
      </c>
      <c r="G195" s="167" t="str">
        <f aca="false">IF($D$127=5,$T$175,IF($D$127=6,$T$175,IF($D$127=8,$T$177,IF($D$127=10,"",IF($D$127=12,$T$176,IF($D$127=14,"",IF($D$127=18,$T$175,IF($D$127=20,$T$176,IF($D$127=22,"",)))))))))</f>
        <v>M</v>
      </c>
      <c r="H195" s="173" t="n">
        <f aca="false">IF($D$127=5,$U$175,IF($D$127=6,$U$175,IF($D$127=8,$U$177,IF($D$127=10,"",IF($D$127=12,$U$176,IF($D$127=14,"",IF($D$127=18,$U$175,IF($D$127=20,$U$176,IF($D$127=22,"")))))))))</f>
        <v>49.128</v>
      </c>
      <c r="I195" s="174" t="n">
        <f aca="false">IF($D$127=5,$V$175,IF($D$127=6,$V$175,IF($D$127=8,$V$177,IF($D$127=10,"",IF($D$127=12,$V$176,IF($D$127=14,"",IF($D$127=18,$V$175,IF($D$127=20,$V$176,IF($D$127=22,"",)))))))))</f>
        <v>100</v>
      </c>
      <c r="J195" s="175" t="n">
        <f aca="false">ROUNDUP((H195)/100,0)</f>
        <v>1</v>
      </c>
      <c r="N195" s="96"/>
      <c r="O195" s="96"/>
      <c r="P195" s="96"/>
      <c r="Q195" s="96"/>
      <c r="R195" s="96"/>
      <c r="S195" s="96"/>
      <c r="T195" s="96"/>
      <c r="U195" s="96"/>
      <c r="V195" s="96"/>
      <c r="W195" s="96"/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30"/>
      <c r="I196" s="133"/>
      <c r="J196" s="134"/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$J$120*H197</f>
        <v>0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$J$120*H198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$J$120*H204</f>
        <v>0</v>
      </c>
    </row>
    <row r="205" s="96" customFormat="true" ht="18" hidden="false" customHeight="true" outlineLevel="0" collapsed="false">
      <c r="A205" s="179" t="str">
        <f aca="false">IF(B205="","",+""+1)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$J$120*H205</f>
        <v>0</v>
      </c>
    </row>
    <row r="206" s="96" customFormat="true" ht="18" hidden="false" customHeight="true" outlineLevel="0" collapsed="false">
      <c r="A206" s="200"/>
      <c r="B206" s="98"/>
      <c r="D206" s="98"/>
      <c r="E206" s="97"/>
      <c r="F206" s="98"/>
      <c r="G206" s="98"/>
      <c r="H206" s="98"/>
      <c r="I206" s="196"/>
      <c r="J206" s="196"/>
    </row>
    <row r="207" customFormat="false" ht="18" hidden="false" customHeight="true" outlineLevel="0" collapsed="false">
      <c r="A207" s="97"/>
      <c r="J207" s="92" t="str">
        <f aca="false">LEFT($J$111,13)&amp;"-02"</f>
        <v>FG-240-7P3L4R-02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565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4940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566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4914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641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4940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97"/>
      <c r="H252" s="97"/>
      <c r="I252" s="196"/>
      <c r="J252" s="196"/>
    </row>
    <row r="253" s="96" customFormat="true" ht="15.75" hidden="false" customHeight="true" outlineLevel="0" collapsed="false">
      <c r="A253" s="191"/>
      <c r="B253" s="191"/>
      <c r="D253" s="192"/>
      <c r="E253" s="191"/>
      <c r="F253" s="191"/>
      <c r="G253" s="97"/>
      <c r="H253" s="97"/>
      <c r="I253" s="196"/>
      <c r="J253" s="196"/>
    </row>
    <row r="254" s="96" customFormat="true" ht="15.75" hidden="false" customHeight="true" outlineLevel="0" collapsed="false">
      <c r="A254" s="190"/>
      <c r="B254" s="190"/>
      <c r="C254" s="184" t="s">
        <v>567</v>
      </c>
      <c r="D254" s="194"/>
      <c r="E254" s="190"/>
      <c r="F254" s="189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459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460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5" t="n">
        <f aca="false">$I$136</f>
        <v>4940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7" t="n">
        <f aca="false">$J$136</f>
        <v>1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C262" s="98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184" t="s">
        <v>521</v>
      </c>
      <c r="D264" s="98"/>
      <c r="E264" s="97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522</v>
      </c>
      <c r="D265" s="181"/>
      <c r="E265" s="181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468</v>
      </c>
      <c r="D266" s="181"/>
      <c r="E266" s="181"/>
      <c r="F266" s="97"/>
      <c r="G266" s="97"/>
      <c r="H266" s="97"/>
      <c r="J266" s="97"/>
    </row>
    <row r="267" s="96" customFormat="true" ht="15.75" hidden="false" customHeight="true" outlineLevel="0" collapsed="false">
      <c r="A267" s="200"/>
      <c r="C267" s="185" t="n">
        <f aca="false">$I$137</f>
        <v>2900</v>
      </c>
      <c r="D267" s="98"/>
      <c r="E267" s="97"/>
      <c r="F267" s="97"/>
      <c r="J267" s="97"/>
    </row>
    <row r="268" s="96" customFormat="true" ht="15.75" hidden="false" customHeight="true" outlineLevel="0" collapsed="false">
      <c r="A268" s="200"/>
      <c r="C268" s="187" t="n">
        <f aca="false">$J$137+$J$138</f>
        <v>2</v>
      </c>
      <c r="D268" s="98"/>
      <c r="E268" s="97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4"/>
      <c r="E271" s="184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H272" s="97"/>
      <c r="J272" s="97"/>
    </row>
    <row r="273" s="96" customFormat="true" ht="15.75" hidden="false" customHeight="true" outlineLevel="0" collapsed="false">
      <c r="A273" s="200"/>
      <c r="D273" s="181"/>
      <c r="E273" s="181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D274" s="98"/>
      <c r="E274" s="97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4" t="s">
        <v>588</v>
      </c>
      <c r="D275" s="201"/>
      <c r="E275" s="196"/>
      <c r="F275" s="97"/>
      <c r="G275" s="97"/>
      <c r="I275" s="196"/>
      <c r="J275" s="196"/>
    </row>
    <row r="276" s="96" customFormat="true" ht="15.75" hidden="false" customHeight="true" outlineLevel="0" collapsed="false">
      <c r="A276" s="200"/>
      <c r="C276" s="181" t="s">
        <v>470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1" t="s">
        <v>471</v>
      </c>
      <c r="D277" s="181"/>
      <c r="E277" s="181"/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5" t="n">
        <f aca="false">$I$139</f>
        <v>2804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C279" s="187" t="n">
        <f aca="false">$J$139+$J$140</f>
        <v>2</v>
      </c>
      <c r="F279" s="97"/>
      <c r="G279" s="97"/>
      <c r="I279" s="97"/>
      <c r="J279" s="196"/>
    </row>
    <row r="280" s="96" customFormat="true" ht="15.75" hidden="false" customHeight="true" outlineLevel="0" collapsed="false">
      <c r="A280" s="200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D281" s="98"/>
      <c r="E281" s="97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J282" s="97"/>
    </row>
    <row r="283" s="96" customFormat="true" ht="15.75" hidden="false" customHeight="true" outlineLevel="0" collapsed="false">
      <c r="A283" s="200"/>
      <c r="F283" s="97"/>
      <c r="G283" s="97"/>
      <c r="H283" s="97"/>
      <c r="I283" s="201"/>
      <c r="J283" s="196"/>
    </row>
    <row r="284" s="96" customFormat="true" ht="15.75" hidden="false" customHeight="true" outlineLevel="0" collapsed="false">
      <c r="A284" s="200"/>
      <c r="C284" s="184" t="s">
        <v>676</v>
      </c>
      <c r="F284" s="97"/>
      <c r="G284" s="97"/>
      <c r="H284" s="97"/>
      <c r="I284" s="97"/>
      <c r="J284" s="196"/>
    </row>
    <row r="285" s="96" customFormat="true" ht="15.75" hidden="false" customHeight="true" outlineLevel="0" collapsed="false">
      <c r="A285" s="200"/>
      <c r="C285" s="83" t="s">
        <v>711</v>
      </c>
      <c r="D285" s="98"/>
      <c r="E285" s="97"/>
      <c r="F285" s="97"/>
      <c r="G285" s="97"/>
      <c r="H285" s="97"/>
      <c r="I285" s="196"/>
      <c r="J285" s="196"/>
    </row>
    <row r="286" s="96" customFormat="true" ht="15.75" hidden="false" customHeight="true" outlineLevel="0" collapsed="false">
      <c r="A286" s="200"/>
      <c r="C286" s="181" t="s">
        <v>712</v>
      </c>
      <c r="D286" s="98"/>
      <c r="E286" s="97"/>
      <c r="F286" s="97"/>
      <c r="G286" s="97"/>
      <c r="H286" s="97"/>
      <c r="I286" s="196"/>
      <c r="J286" s="196"/>
    </row>
    <row r="287" s="96" customFormat="true" ht="15.75" hidden="false" customHeight="true" outlineLevel="0" collapsed="false">
      <c r="A287" s="200"/>
      <c r="C287" s="181" t="s">
        <v>475</v>
      </c>
      <c r="D287" s="181"/>
      <c r="E287" s="181"/>
      <c r="F287" s="97"/>
      <c r="G287" s="97"/>
      <c r="I287" s="196"/>
      <c r="J287" s="196"/>
    </row>
    <row r="288" s="202" customFormat="true" ht="15.75" hidden="false" customHeight="true" outlineLevel="0" collapsed="false">
      <c r="A288" s="200"/>
      <c r="B288" s="96"/>
      <c r="C288" s="181" t="s">
        <v>476</v>
      </c>
      <c r="D288" s="181"/>
      <c r="E288" s="181"/>
      <c r="F288" s="97"/>
      <c r="G288" s="97"/>
      <c r="H288" s="96"/>
      <c r="I288" s="97"/>
      <c r="J288" s="97"/>
    </row>
    <row r="289" s="96" customFormat="true" ht="15.75" hidden="false" customHeight="true" outlineLevel="0" collapsed="false">
      <c r="A289" s="200"/>
      <c r="C289" s="185" t="n">
        <f aca="false">$I$141</f>
        <v>701.142857142857</v>
      </c>
      <c r="F289" s="97"/>
      <c r="G289" s="97"/>
      <c r="I289" s="191"/>
      <c r="J289" s="199"/>
    </row>
    <row r="290" s="96" customFormat="true" ht="15.75" hidden="false" customHeight="true" outlineLevel="0" collapsed="false">
      <c r="A290" s="200"/>
      <c r="C290" s="187" t="n">
        <f aca="false">$J$141+$J$142</f>
        <v>14</v>
      </c>
      <c r="D290" s="98"/>
      <c r="E290" s="97"/>
      <c r="F290" s="97"/>
      <c r="G290" s="97"/>
      <c r="H290" s="98"/>
      <c r="I290" s="189"/>
      <c r="J290" s="190"/>
    </row>
    <row r="291" s="96" customFormat="true" ht="15.75" hidden="false" customHeight="true" outlineLevel="0" collapsed="false">
      <c r="A291" s="200"/>
      <c r="C291" s="185" t="n">
        <f aca="false">$I$143</f>
        <v>2808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C292" s="187" t="n">
        <f aca="false">$J$143+$J$144+$J$145+$J$146</f>
        <v>14</v>
      </c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D293" s="98"/>
      <c r="E293" s="97"/>
      <c r="F293" s="97"/>
      <c r="G293" s="97"/>
      <c r="H293" s="97"/>
      <c r="I293" s="196"/>
      <c r="J293" s="196"/>
    </row>
    <row r="294" s="96" customFormat="true" ht="15.75" hidden="false" customHeight="true" outlineLevel="0" collapsed="false">
      <c r="A294" s="200"/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202"/>
      <c r="D295" s="98"/>
      <c r="E295" s="97"/>
      <c r="F295" s="97"/>
      <c r="G295" s="97"/>
      <c r="H295" s="97"/>
      <c r="I295" s="97"/>
      <c r="J295" s="196"/>
    </row>
    <row r="296" s="96" customFormat="true" ht="15.75" hidden="false" customHeight="true" outlineLevel="0" collapsed="false">
      <c r="A296" s="200"/>
      <c r="C296" s="184" t="s">
        <v>630</v>
      </c>
      <c r="D296" s="98"/>
      <c r="E296" s="97"/>
      <c r="F296" s="97"/>
      <c r="G296" s="97"/>
      <c r="H296" s="97"/>
      <c r="I296" s="97"/>
      <c r="J296" s="196"/>
    </row>
    <row r="297" s="96" customFormat="true" ht="15.75" hidden="false" customHeight="true" outlineLevel="0" collapsed="false">
      <c r="A297" s="200"/>
      <c r="C297" s="83" t="s">
        <v>711</v>
      </c>
      <c r="D297" s="98"/>
      <c r="E297" s="97"/>
      <c r="F297" s="97"/>
      <c r="G297" s="191"/>
      <c r="H297" s="191"/>
      <c r="I297" s="97"/>
      <c r="J297" s="196"/>
    </row>
    <row r="298" s="96" customFormat="true" ht="15.75" hidden="false" customHeight="true" outlineLevel="0" collapsed="false">
      <c r="A298" s="200"/>
      <c r="C298" s="181" t="s">
        <v>712</v>
      </c>
      <c r="D298" s="181"/>
      <c r="E298" s="181"/>
      <c r="F298" s="97"/>
      <c r="G298" s="190"/>
      <c r="H298" s="189"/>
      <c r="I298" s="97"/>
      <c r="J298" s="196"/>
    </row>
    <row r="299" s="96" customFormat="true" ht="15.75" hidden="false" customHeight="true" outlineLevel="0" collapsed="false">
      <c r="A299" s="107"/>
      <c r="C299" s="181" t="s">
        <v>478</v>
      </c>
      <c r="D299" s="181"/>
      <c r="E299" s="181"/>
      <c r="F299" s="97"/>
      <c r="G299" s="97"/>
      <c r="H299" s="97"/>
      <c r="I299" s="97"/>
      <c r="J299" s="196"/>
    </row>
    <row r="300" s="96" customFormat="true" ht="15.75" hidden="false" customHeight="true" outlineLevel="0" collapsed="false">
      <c r="A300" s="191"/>
      <c r="B300" s="191"/>
      <c r="C300" s="181" t="s">
        <v>479</v>
      </c>
      <c r="D300" s="203"/>
      <c r="E300" s="204"/>
      <c r="F300" s="191"/>
      <c r="G300" s="97"/>
      <c r="H300" s="97"/>
      <c r="I300" s="97"/>
      <c r="J300" s="196"/>
    </row>
    <row r="301" s="96" customFormat="true" ht="15.75" hidden="false" customHeight="true" outlineLevel="0" collapsed="false">
      <c r="A301" s="190"/>
      <c r="B301" s="190"/>
      <c r="C301" s="185" t="n">
        <f aca="false">$I$147</f>
        <v>590.785714285714</v>
      </c>
      <c r="D301" s="205"/>
      <c r="E301" s="206"/>
      <c r="F301" s="189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7" t="n">
        <f aca="false">$J$147</f>
        <v>14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5" t="n">
        <f aca="false">$I$148</f>
        <v>2658</v>
      </c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C304" s="187" t="n">
        <f aca="false">$J$148</f>
        <v>14</v>
      </c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C306" s="184" t="s">
        <v>679</v>
      </c>
      <c r="D306" s="98"/>
      <c r="E306" s="97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1" t="s">
        <v>475</v>
      </c>
      <c r="D307" s="181"/>
      <c r="E307" s="181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249" t="s">
        <v>476</v>
      </c>
      <c r="D308" s="249"/>
      <c r="E308" s="249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5" t="n">
        <f aca="false">$I$149</f>
        <v>2808</v>
      </c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7" t="n">
        <f aca="false">$J$149+$J$150</f>
        <v>2</v>
      </c>
      <c r="D310" s="181"/>
      <c r="E310" s="181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LEFT($J$111,13)&amp;"-03"</f>
        <v>FG-240-7P3L4R-03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A316" s="97"/>
      <c r="B316" s="49"/>
      <c r="C316" s="49"/>
      <c r="D316" s="207"/>
      <c r="E316" s="200"/>
      <c r="F316" s="200"/>
      <c r="G316" s="200"/>
      <c r="H316" s="200"/>
      <c r="I316" s="208"/>
      <c r="J316" s="77" t="str">
        <f aca="false">$J$2</f>
        <v>HOMELIFE</v>
      </c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240-7 Panel (3L4R)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195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91"/>
      <c r="D405" s="98"/>
      <c r="E405" s="97"/>
      <c r="F405" s="97"/>
      <c r="G405" s="97"/>
      <c r="H405" s="97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LEFT($J$111,13)&amp;"-04"</f>
        <v>FG-240-7P3L4R-04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77" t="str">
        <f aca="false">$J$2</f>
        <v>HOMELIFE</v>
      </c>
      <c r="K423" s="78"/>
      <c r="L423" s="78"/>
      <c r="M423" s="79"/>
      <c r="N423" s="79"/>
    </row>
    <row r="424" customFormat="false" ht="24.75" hidden="false" customHeight="true" outlineLevel="0" collapsed="false">
      <c r="A424" s="97"/>
      <c r="B424" s="96"/>
      <c r="C424" s="96"/>
      <c r="D424" s="98"/>
      <c r="E424" s="97"/>
      <c r="F424" s="97"/>
      <c r="G424" s="97"/>
      <c r="H424" s="97"/>
      <c r="I424" s="97"/>
      <c r="J424" s="80" t="str">
        <f aca="false">$J$3</f>
        <v>Fabricators Guide</v>
      </c>
      <c r="K424" s="78"/>
      <c r="L424" s="78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$J$4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240-7 Panel (3L4R)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191"/>
      <c r="C442" s="212"/>
      <c r="D442" s="98"/>
      <c r="E442" s="97"/>
      <c r="F442" s="97"/>
      <c r="H442" s="191"/>
      <c r="I442" s="191"/>
      <c r="J442" s="199"/>
    </row>
    <row r="443" s="96" customFormat="true" ht="15.75" hidden="false" customHeight="true" outlineLevel="0" collapsed="false">
      <c r="A443" s="190"/>
      <c r="C443" s="191"/>
      <c r="D443" s="192"/>
      <c r="E443" s="191"/>
      <c r="F443" s="191"/>
      <c r="H443" s="191"/>
      <c r="I443" s="191"/>
      <c r="J443" s="199"/>
    </row>
    <row r="444" s="96" customFormat="true" ht="34.5" hidden="false" customHeight="true" outlineLevel="0" collapsed="false">
      <c r="A444" s="97"/>
      <c r="C444" s="98"/>
      <c r="D444" s="194"/>
      <c r="E444" s="190"/>
      <c r="F444" s="189"/>
      <c r="H444" s="191"/>
      <c r="I444" s="196"/>
      <c r="J444" s="196"/>
    </row>
    <row r="445" customFormat="false" ht="15" hidden="false" customHeight="true" outlineLevel="0" collapsed="false">
      <c r="B445" s="211"/>
      <c r="C445" s="98"/>
      <c r="D445" s="98"/>
      <c r="E445" s="97"/>
      <c r="F445" s="98"/>
      <c r="G445" s="97"/>
      <c r="H445" s="97"/>
    </row>
    <row r="450" s="96" customFormat="true" ht="15.75" hidden="false" customHeight="true" outlineLevel="0" collapsed="false">
      <c r="A450" s="97"/>
      <c r="D450" s="73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191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97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196"/>
      <c r="J457" s="196"/>
    </row>
    <row r="458" s="96" customFormat="true" ht="15.7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195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202" customFormat="true" ht="15.75" hidden="false" customHeight="true" outlineLevel="0" collapsed="false">
      <c r="A477" s="97"/>
      <c r="B477" s="96"/>
      <c r="C477" s="96"/>
      <c r="D477" s="98"/>
      <c r="E477" s="97"/>
      <c r="F477" s="97"/>
      <c r="G477" s="97"/>
      <c r="H477" s="97"/>
      <c r="I477" s="97"/>
      <c r="J477" s="97"/>
    </row>
    <row r="478" s="96" customFormat="true" ht="15.75" hidden="false" customHeight="true" outlineLevel="0" collapsed="false">
      <c r="A478" s="191"/>
      <c r="D478" s="98"/>
      <c r="E478" s="97"/>
      <c r="F478" s="97"/>
      <c r="G478" s="97"/>
      <c r="H478" s="97"/>
      <c r="I478" s="191"/>
      <c r="J478" s="199"/>
    </row>
    <row r="479" s="96" customFormat="true" ht="15.75" hidden="false" customHeight="true" outlineLevel="0" collapsed="false">
      <c r="A479" s="190"/>
      <c r="B479" s="191"/>
      <c r="C479" s="191"/>
      <c r="D479" s="192"/>
      <c r="E479" s="191"/>
      <c r="F479" s="191"/>
      <c r="G479" s="191"/>
      <c r="H479" s="191"/>
      <c r="I479" s="189"/>
      <c r="J479" s="190"/>
    </row>
    <row r="480" s="96" customFormat="true" ht="15.75" hidden="false" customHeight="true" outlineLevel="0" collapsed="false">
      <c r="A480" s="200"/>
      <c r="B480" s="190"/>
      <c r="C480" s="191"/>
      <c r="D480" s="194"/>
      <c r="E480" s="190"/>
      <c r="F480" s="189"/>
      <c r="G480" s="190"/>
      <c r="H480" s="189"/>
      <c r="I480" s="196"/>
      <c r="J480" s="196"/>
    </row>
    <row r="481" s="96" customFormat="true" ht="15.75" hidden="false" customHeight="true" outlineLevel="0" collapsed="false">
      <c r="A481" s="200"/>
      <c r="C481" s="182"/>
      <c r="D481" s="98"/>
      <c r="E481" s="97"/>
      <c r="F481" s="97"/>
      <c r="G481" s="97"/>
      <c r="H481" s="182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C487" s="98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182"/>
      <c r="J499" s="97"/>
    </row>
    <row r="500" s="96" customFormat="true" ht="15.75" hidden="false" customHeight="true" outlineLevel="0" collapsed="false">
      <c r="A500" s="200"/>
      <c r="C500" s="188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I501" s="196"/>
      <c r="J501" s="196"/>
    </row>
    <row r="502" s="96" customFormat="true" ht="15.75" hidden="false" customHeight="true" outlineLevel="0" collapsed="false">
      <c r="A502" s="200"/>
      <c r="C502" s="98"/>
      <c r="D502" s="98"/>
      <c r="E502" s="97"/>
      <c r="F502" s="97"/>
      <c r="G502" s="97"/>
      <c r="H502" s="182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238"/>
      <c r="J511" s="97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238"/>
      <c r="J512" s="97"/>
    </row>
    <row r="513" s="96" customFormat="true" ht="15.75" hidden="false" customHeight="true" outlineLevel="0" collapsed="false">
      <c r="A513" s="191"/>
      <c r="D513" s="98"/>
      <c r="E513" s="97"/>
      <c r="F513" s="97"/>
      <c r="G513" s="97"/>
      <c r="I513" s="191"/>
      <c r="J513" s="199"/>
    </row>
    <row r="514" s="96" customFormat="true" ht="15.75" hidden="false" customHeight="true" outlineLevel="0" collapsed="false">
      <c r="A514" s="191"/>
      <c r="B514" s="191"/>
      <c r="C514" s="191"/>
      <c r="D514" s="192"/>
      <c r="E514" s="191"/>
      <c r="F514" s="191"/>
      <c r="G514" s="191"/>
      <c r="H514" s="191"/>
      <c r="I514" s="191"/>
      <c r="J514" s="199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B516" s="191"/>
      <c r="C516" s="191"/>
      <c r="D516" s="192"/>
      <c r="E516" s="191"/>
      <c r="F516" s="191"/>
      <c r="G516" s="191"/>
      <c r="H516" s="191"/>
    </row>
    <row r="517" s="96" customFormat="true" ht="15.75" hidden="false" customHeight="true" outlineLevel="0" collapsed="false"/>
    <row r="518" s="96" customFormat="true" ht="24.75" hidden="false" customHeight="true" outlineLevel="0" collapsed="false">
      <c r="A518" s="88" t="s">
        <v>482</v>
      </c>
      <c r="B518" s="88"/>
      <c r="C518" s="88"/>
      <c r="D518" s="88"/>
      <c r="E518" s="88"/>
      <c r="F518" s="88"/>
      <c r="G518" s="88"/>
      <c r="H518" s="88"/>
      <c r="I518" s="88"/>
      <c r="J518" s="88"/>
    </row>
    <row r="519" s="96" customFormat="true" ht="34.5" hidden="false" customHeight="true" outlineLevel="0" collapsed="false">
      <c r="A519" s="114" t="s">
        <v>319</v>
      </c>
      <c r="B519" s="115" t="s">
        <v>168</v>
      </c>
      <c r="C519" s="115" t="s">
        <v>168</v>
      </c>
      <c r="D519" s="116" t="s">
        <v>483</v>
      </c>
      <c r="E519" s="115" t="s">
        <v>321</v>
      </c>
      <c r="F519" s="239" t="s">
        <v>484</v>
      </c>
      <c r="G519" s="240"/>
      <c r="H519" s="116" t="s">
        <v>484</v>
      </c>
      <c r="I519" s="116" t="s">
        <v>485</v>
      </c>
      <c r="J519" s="117" t="s">
        <v>323</v>
      </c>
      <c r="N519" s="118" t="s">
        <v>168</v>
      </c>
      <c r="O519" s="118" t="s">
        <v>168</v>
      </c>
    </row>
    <row r="520" s="96" customFormat="true" ht="15.75" hidden="false" customHeight="true" outlineLevel="0" collapsed="false">
      <c r="A520" s="120" t="n">
        <f aca="false">IF(C520="","",1)</f>
        <v>1</v>
      </c>
      <c r="B520" s="121" t="str">
        <f aca="false">IF($D$127=5,N520,IF($D$127=6,N521,IF($D$127=8,N522,IF($D$127=10,N523,IF($D$127=12,N524,IF($D$127=14,N525,IF($D$127=18,N526,IF($D$127=20,N527,IF($D$127=22,N528,)))))))))</f>
        <v>กระจก 8 mm (สูง) (กว้าง)</v>
      </c>
      <c r="C520" s="121" t="str">
        <f aca="false">IF($D$127=5,O520,IF($D$127=6,O521,IF($D$127=8,O522,IF($D$127=10,O523,IF($D$127=12,O524,IF($D$127=14,O525,IF($D$127=18,O526,IF($D$127=20,O527,IF($D$127=22,O528,)))))))))</f>
        <v>GLASS thk.8 mm (H) (W)</v>
      </c>
      <c r="D520" s="123" t="n">
        <f aca="false">$J$123-215</f>
        <v>2685</v>
      </c>
      <c r="E520" s="120" t="s">
        <v>486</v>
      </c>
      <c r="F520" s="224" t="s">
        <v>487</v>
      </c>
      <c r="G520" s="224"/>
      <c r="H520" s="120" t="s">
        <v>713</v>
      </c>
      <c r="I520" s="225" t="n">
        <f aca="false">(($J$126-185-(113.25*6))/7)-13</f>
        <v>577.785714285714</v>
      </c>
      <c r="J520" s="226" t="n">
        <f aca="false">$J$120*7</f>
        <v>7</v>
      </c>
      <c r="M520" s="96" t="n">
        <f aca="false">ROW()</f>
        <v>520</v>
      </c>
      <c r="N520" s="62" t="s">
        <v>489</v>
      </c>
      <c r="O520" s="62" t="s">
        <v>490</v>
      </c>
    </row>
    <row r="521" s="96" customFormat="true" ht="15.75" hidden="false" customHeight="true" outlineLevel="0" collapsed="false">
      <c r="A521" s="269"/>
      <c r="B521" s="228"/>
      <c r="C521" s="228"/>
      <c r="D521" s="176"/>
      <c r="E521" s="167"/>
      <c r="F521" s="229"/>
      <c r="G521" s="230"/>
      <c r="H521" s="167"/>
      <c r="I521" s="231"/>
      <c r="J521" s="232"/>
      <c r="M521" s="96" t="n">
        <f aca="false">ROW()</f>
        <v>521</v>
      </c>
      <c r="N521" s="62" t="s">
        <v>491</v>
      </c>
      <c r="O521" s="62" t="s">
        <v>492</v>
      </c>
    </row>
    <row r="522" s="96" customFormat="true" ht="15.75" hidden="false" customHeight="true" outlineLevel="0" collapsed="false">
      <c r="A522" s="269"/>
      <c r="B522" s="228"/>
      <c r="C522" s="228"/>
      <c r="D522" s="176"/>
      <c r="E522" s="167"/>
      <c r="F522" s="229"/>
      <c r="G522" s="230"/>
      <c r="H522" s="167"/>
      <c r="I522" s="231"/>
      <c r="J522" s="232"/>
      <c r="M522" s="96" t="n">
        <f aca="false">ROW()</f>
        <v>522</v>
      </c>
      <c r="N522" s="62" t="s">
        <v>493</v>
      </c>
      <c r="O522" s="62" t="s">
        <v>494</v>
      </c>
    </row>
    <row r="523" s="96" customFormat="true" ht="15.75" hidden="false" customHeight="true" outlineLevel="0" collapsed="false">
      <c r="A523" s="130" t="str">
        <f aca="false">IF(B523="","",+""+1)</f>
        <v/>
      </c>
      <c r="B523" s="131"/>
      <c r="C523" s="131"/>
      <c r="D523" s="132"/>
      <c r="E523" s="130"/>
      <c r="F523" s="233"/>
      <c r="G523" s="270"/>
      <c r="H523" s="130"/>
      <c r="I523" s="142"/>
      <c r="J523" s="133"/>
      <c r="M523" s="96" t="n">
        <f aca="false">ROW()</f>
        <v>523</v>
      </c>
      <c r="N523" s="62" t="s">
        <v>495</v>
      </c>
      <c r="O523" s="62" t="s">
        <v>496</v>
      </c>
    </row>
    <row r="524" s="96" customFormat="true" ht="15.75" hidden="false" customHeight="true" outlineLevel="0" collapsed="false">
      <c r="A524" s="136" t="str">
        <f aca="false">IF(B524="","",+A523+1)</f>
        <v/>
      </c>
      <c r="B524" s="135"/>
      <c r="C524" s="135"/>
      <c r="D524" s="139"/>
      <c r="E524" s="136"/>
      <c r="F524" s="236"/>
      <c r="G524" s="237"/>
      <c r="H524" s="136"/>
      <c r="I524" s="180"/>
      <c r="J524" s="140"/>
      <c r="M524" s="96" t="n">
        <f aca="false">ROW()</f>
        <v>524</v>
      </c>
      <c r="N524" s="62" t="s">
        <v>497</v>
      </c>
      <c r="O524" s="62" t="s">
        <v>498</v>
      </c>
    </row>
    <row r="525" s="96" customFormat="true" ht="15.75" hidden="false" customHeight="true" outlineLevel="0" collapsed="false">
      <c r="A525" s="97"/>
      <c r="D525" s="98"/>
      <c r="E525" s="97"/>
      <c r="F525" s="97"/>
      <c r="G525" s="97"/>
      <c r="H525" s="97"/>
      <c r="I525" s="97"/>
      <c r="J525" s="196"/>
      <c r="M525" s="96" t="n">
        <f aca="false">ROW()</f>
        <v>525</v>
      </c>
      <c r="N525" s="62" t="s">
        <v>499</v>
      </c>
      <c r="O525" s="62" t="s">
        <v>500</v>
      </c>
    </row>
    <row r="526" customFormat="false" ht="14.25" hidden="false" customHeight="false" outlineLevel="0" collapsed="false">
      <c r="J526" s="92" t="str">
        <f aca="false">LEFT($J$111,13)&amp;"-05"</f>
        <v>FG-240-7P3L4R-05</v>
      </c>
      <c r="M526" s="96" t="n">
        <f aca="false">ROW()</f>
        <v>526</v>
      </c>
      <c r="N526" s="62" t="s">
        <v>501</v>
      </c>
      <c r="O526" s="62" t="s">
        <v>502</v>
      </c>
      <c r="P526" s="96"/>
      <c r="Q526" s="96"/>
      <c r="R526" s="96"/>
      <c r="S526" s="96"/>
      <c r="T526" s="96"/>
      <c r="U526" s="96"/>
      <c r="V526" s="96"/>
    </row>
    <row r="527" customFormat="false" ht="14.25" hidden="false" customHeight="false" outlineLevel="0" collapsed="false">
      <c r="M527" s="96" t="n">
        <f aca="false">ROW()</f>
        <v>527</v>
      </c>
      <c r="N527" s="62" t="s">
        <v>503</v>
      </c>
      <c r="O527" s="62" t="s">
        <v>504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505</v>
      </c>
      <c r="O528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8"/>
    <mergeCell ref="H163:H168"/>
    <mergeCell ref="I166:J167"/>
    <mergeCell ref="I168:J168"/>
    <mergeCell ref="D169:D170"/>
    <mergeCell ref="H169:H170"/>
    <mergeCell ref="D171:D172"/>
    <mergeCell ref="H171:H172"/>
    <mergeCell ref="A173:J173"/>
    <mergeCell ref="A213:J213"/>
    <mergeCell ref="C308:E308"/>
    <mergeCell ref="A320:J320"/>
    <mergeCell ref="F330:G330"/>
    <mergeCell ref="F331:G331"/>
    <mergeCell ref="F334:G334"/>
    <mergeCell ref="A427:J427"/>
    <mergeCell ref="A518:J518"/>
    <mergeCell ref="F520:G520"/>
  </mergeCells>
  <dataValidations count="4">
    <dataValidation allowBlank="true" errorStyle="stop" operator="between" showDropDown="false" showErrorMessage="true" showInputMessage="true" sqref="C206" type="list">
      <formula1>$O$175:$O$193</formula1>
      <formula2>0</formula2>
    </dataValidation>
    <dataValidation allowBlank="true" errorStyle="stop" operator="between" showDropDown="false" showErrorMessage="true" showInputMessage="true" sqref="D123:G123" type="list">
      <formula1>$P$118:$P$127</formula1>
      <formula2>0</formula2>
    </dataValidation>
    <dataValidation allowBlank="true" errorStyle="stop" operator="between" showDropDown="false" showErrorMessage="true" showInputMessage="true" sqref="D127:G127" type="list">
      <formula1>$N$119:$N$127</formula1>
      <formula2>0</formula2>
    </dataValidation>
    <dataValidation allowBlank="true" errorStyle="stop" operator="between" showDropDown="false" showErrorMessage="true" showInputMessage="true" sqref="D129:G129" type="list">
      <formula1>$O$119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528"/>
  <sheetViews>
    <sheetView showFormulas="false" showGridLines="false" showRowColHeaders="true" showZeros="true" rightToLeft="false" tabSelected="false" showOutlineSymbols="true" defaultGridColor="true" view="pageBreakPreview" topLeftCell="A100" colorId="64" zoomScale="75" zoomScaleNormal="75" zoomScalePageLayoutView="75" workbookViewId="0">
      <selection pane="topLeft" activeCell="D127" activeCellId="0" sqref="D127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11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6.67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0.44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719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>
      <c r="G55" s="91"/>
    </row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720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8" hidden="false" customHeight="true" outlineLevel="0" collapsed="false">
      <c r="A118" s="97"/>
      <c r="C118" s="81"/>
      <c r="D118" s="98"/>
      <c r="E118" s="83"/>
      <c r="J118" s="99"/>
      <c r="K118" s="83"/>
      <c r="N118" s="258" t="s">
        <v>288</v>
      </c>
      <c r="O118" s="97" t="s">
        <v>289</v>
      </c>
      <c r="P118" s="102" t="s">
        <v>290</v>
      </c>
    </row>
    <row r="119" s="96" customFormat="true" ht="15" hidden="false" customHeight="true" outlineLevel="0" collapsed="false">
      <c r="A119" s="97"/>
      <c r="C119" s="100" t="s">
        <v>286</v>
      </c>
      <c r="D119" s="101" t="s">
        <v>721</v>
      </c>
      <c r="E119" s="101"/>
      <c r="F119" s="101"/>
      <c r="G119" s="101"/>
      <c r="I119" s="83"/>
      <c r="J119" s="97"/>
      <c r="N119" s="259" t="n">
        <v>5</v>
      </c>
      <c r="O119" s="97" t="s">
        <v>509</v>
      </c>
      <c r="P119" s="106" t="s">
        <v>294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6</v>
      </c>
      <c r="O120" s="97" t="s">
        <v>296</v>
      </c>
      <c r="P120" s="106" t="s">
        <v>297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8</v>
      </c>
      <c r="P121" s="106" t="s">
        <v>299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10</v>
      </c>
      <c r="P122" s="106" t="s">
        <v>303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3335</v>
      </c>
      <c r="N123" s="259" t="n">
        <v>12</v>
      </c>
      <c r="P123" s="106" t="s">
        <v>305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14</v>
      </c>
      <c r="P124" s="106" t="s">
        <v>308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18</v>
      </c>
      <c r="P125" s="106" t="s">
        <v>311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4722</v>
      </c>
      <c r="K126" s="110"/>
      <c r="L126" s="110"/>
      <c r="N126" s="259" t="n">
        <v>20</v>
      </c>
      <c r="P126" s="106" t="s">
        <v>313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259" t="n">
        <v>22</v>
      </c>
      <c r="P127" s="106" t="s">
        <v>315</v>
      </c>
    </row>
    <row r="128" s="96" customFormat="true" ht="18.75" hidden="false" customHeight="true" outlineLevel="0" collapsed="false">
      <c r="C128" s="108" t="s">
        <v>314</v>
      </c>
      <c r="I128" s="97"/>
      <c r="J128" s="97"/>
    </row>
    <row r="129" s="96" customFormat="true" ht="15" hidden="false" customHeight="true" outlineLevel="0" collapsed="false">
      <c r="A129" s="89" t="str">
        <f aca="false">A18</f>
        <v>240-7 Panel (4L3R)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4662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14</v>
      </c>
      <c r="U133" s="127" t="s">
        <v>709</v>
      </c>
      <c r="V133" s="128" t="n">
        <f aca="false">($J$126-185-(113.25*6))/7</f>
        <v>551.071428571429</v>
      </c>
      <c r="W133" s="129" t="n">
        <f aca="false">$J$120*T133</f>
        <v>14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4636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14</v>
      </c>
      <c r="U134" s="130" t="s">
        <v>709</v>
      </c>
      <c r="V134" s="142" t="n">
        <f aca="false">($J$126-185-(113.25*6))/7</f>
        <v>551.071428571429</v>
      </c>
      <c r="W134" s="134" t="n">
        <f aca="false">$J$120*T134</f>
        <v>14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4662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14</v>
      </c>
      <c r="U135" s="136" t="s">
        <v>709</v>
      </c>
      <c r="V135" s="180" t="n">
        <f aca="false">($J$126-185-(113.25*6))/7</f>
        <v>551.071428571429</v>
      </c>
      <c r="W135" s="137" t="n">
        <f aca="false">$J$120*T135</f>
        <v>14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4662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14</v>
      </c>
      <c r="U136" s="127" t="s">
        <v>360</v>
      </c>
      <c r="V136" s="138" t="n">
        <f aca="false">$J$123-242</f>
        <v>3093</v>
      </c>
      <c r="W136" s="129" t="n">
        <f aca="false">$J$120*T136</f>
        <v>14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3335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14</v>
      </c>
      <c r="U137" s="130" t="s">
        <v>360</v>
      </c>
      <c r="V137" s="133" t="n">
        <f aca="false">$J$123-242</f>
        <v>3093</v>
      </c>
      <c r="W137" s="134" t="n">
        <f aca="false">$J$120*T137</f>
        <v>14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3335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14</v>
      </c>
      <c r="U138" s="136" t="s">
        <v>360</v>
      </c>
      <c r="V138" s="140" t="n">
        <f aca="false">$J$123-242</f>
        <v>3093</v>
      </c>
      <c r="W138" s="137" t="n">
        <f aca="false">$J$120*T138</f>
        <v>14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3239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3239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7</v>
      </c>
      <c r="H141" s="130" t="s">
        <v>710</v>
      </c>
      <c r="I141" s="141" t="n">
        <f aca="false">($J$126-60-(7+1)*4)/7</f>
        <v>661.428571428571</v>
      </c>
      <c r="J141" s="134" t="n">
        <f aca="false">$J$120*G141</f>
        <v>7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7</v>
      </c>
      <c r="H142" s="130" t="s">
        <v>710</v>
      </c>
      <c r="I142" s="141" t="n">
        <f aca="false">($J$126-60-(7+1)*4)/7</f>
        <v>661.428571428571</v>
      </c>
      <c r="J142" s="134" t="n">
        <f aca="false">$J$120*G142</f>
        <v>7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10</v>
      </c>
      <c r="H143" s="130" t="s">
        <v>389</v>
      </c>
      <c r="I143" s="133" t="n">
        <f aca="false">$J$123-92</f>
        <v>3243</v>
      </c>
      <c r="J143" s="134" t="n">
        <f aca="false">$J$120*G143</f>
        <v>10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2</v>
      </c>
      <c r="H144" s="130" t="s">
        <v>389</v>
      </c>
      <c r="I144" s="133" t="n">
        <f aca="false">$J$123-92</f>
        <v>3243</v>
      </c>
      <c r="J144" s="134" t="n">
        <f aca="false">$J$120*G144</f>
        <v>2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390</v>
      </c>
      <c r="C145" s="131" t="s">
        <v>391</v>
      </c>
      <c r="D145" s="132" t="s">
        <v>74</v>
      </c>
      <c r="E145" s="130" t="n">
        <v>1.106</v>
      </c>
      <c r="F145" s="132" t="s">
        <v>563</v>
      </c>
      <c r="G145" s="130" t="n">
        <v>1</v>
      </c>
      <c r="H145" s="130" t="s">
        <v>389</v>
      </c>
      <c r="I145" s="133" t="n">
        <f aca="false">$J$123-92</f>
        <v>3243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">
        <v>531</v>
      </c>
      <c r="C146" s="131" t="s">
        <v>532</v>
      </c>
      <c r="D146" s="132" t="s">
        <v>74</v>
      </c>
      <c r="E146" s="130" t="n">
        <v>1.106</v>
      </c>
      <c r="F146" s="132" t="s">
        <v>564</v>
      </c>
      <c r="G146" s="130" t="n">
        <v>1</v>
      </c>
      <c r="H146" s="130" t="s">
        <v>389</v>
      </c>
      <c r="I146" s="133" t="n">
        <f aca="false">$J$123-92</f>
        <v>3243</v>
      </c>
      <c r="J146" s="134" t="n">
        <f aca="false">$J$120*G146</f>
        <v>1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7" s="131" t="str">
        <f aca="false">IF($D$127=5,Q133,IF($D$127=6,Q133,IF($D$127=8,Q134,IF($D$127=10,Q134,IF($D$127=12,Q134,IF($D$127=14,Q135,IF($D$127=18,Q135,IF($D$127=20,Q135,IF($D$127=22,Q135,)))))))))</f>
        <v>B24008</v>
      </c>
      <c r="E147" s="131" t="n">
        <f aca="false">IF($D$127=5,R133,IF($D$127=6,R133,IF($D$127=8,R134,IF($D$127=10,R134,IF($D$127=12,R134,IF($D$127=14,R135,IF($D$127=18,R135,IF($D$127=20,R135,IF($D$127=22,R135,)))))))))</f>
        <v>0.231</v>
      </c>
      <c r="F147" s="131" t="str">
        <f aca="false">IF($D$127=5,S133,IF($D$127=6,S133,IF($D$127=8,S134,IF($D$127=10,S134,IF($D$127=12,S134,IF($D$127=14,S135,IF($D$127=18,S135,IF($D$127=20,S135,IF($D$127=22,S135,)))))))))</f>
        <v>B24008-001</v>
      </c>
      <c r="G147" s="130" t="n">
        <f aca="false">IF($D$127=5,T133,IF($D$127=6,T133,IF($D$127=8,T134,IF($D$127=10,T134,IF($D$127=12,T134,IF($D$127=14,T135,IF($D$127=18,T135,IF($D$127=20,T135,IF($D$127=22,T135,)))))))))</f>
        <v>14</v>
      </c>
      <c r="H147" s="130" t="str">
        <f aca="false">IF($D$127=5,U133,IF($D$127=6,U133,IF($D$127=8,U134,IF($D$127=10,U134,IF($D$127=12,U134,IF($D$127=14,U135,IF($D$127=18,U135,IF($D$127=20,U135,IF($D$127=22,U135,)))))))))</f>
        <v>(W-185-(113.25 × 6))/7</v>
      </c>
      <c r="I147" s="141" t="n">
        <f aca="false">IF($D$127=5,V133,IF($D$127=6,V133,IF($D$127=8,V134,IF($D$127=10,V134,IF($D$127=12,V134,IF($D$127=14,V135,IF($D$127=18,V135,IF($D$127=20,V135,IF($D$127=22,V135,)))))))))</f>
        <v>551.071428571429</v>
      </c>
      <c r="J147" s="134" t="n">
        <f aca="false">$J$120*G147</f>
        <v>14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8" s="131" t="str">
        <f aca="false">IF($D$127=5,Q136,IF($D$127=6,Q136,IF($D$127=8,Q137,IF($D$127=10,Q137,IF($D$127=12,Q137,IF($D$127=14,Q138,IF($D$127=18,Q138,IF($D$127=20,Q138,IF($D$127=22,Q138,)))))))))</f>
        <v>B24008</v>
      </c>
      <c r="E148" s="131" t="n">
        <f aca="false">IF($D$127=5,R136,IF($D$127=6,R136,IF($D$127=8,R137,IF($D$127=10,R137,IF($D$127=12,R137,IF($D$127=14,R138,IF($D$127=18,R138,IF($D$127=20,R138,IF($D$127=22,R138,)))))))))</f>
        <v>0.231</v>
      </c>
      <c r="F148" s="131" t="str">
        <f aca="false">IF($D$127=5,S136,IF($D$127=6,S136,IF($D$127=8,S137,IF($D$127=10,S137,IF($D$127=12,S137,IF($D$127=14,S138,IF($D$127=18,S138,IF($D$127=20,S138,IF($D$127=22,S138,)))))))))</f>
        <v>B24008-002</v>
      </c>
      <c r="G148" s="130" t="n">
        <f aca="false">IF($D$127=5,T136,IF($D$127=6,T136,IF($D$127=8,T137,IF($D$127=10,T137,IF($D$127=12,T137,IF($D$127=14,T138,IF($D$127=18,T138,IF($D$127=20,T138,IF($D$127=22,T138,)))))))))</f>
        <v>14</v>
      </c>
      <c r="H148" s="130" t="str">
        <f aca="false">IF($D$127=5,U136,IF($D$127=6,U136,IF($D$127=8,U137,IF($D$127=10,U137,IF($D$127=12,U137,IF($D$127=14,U138,IF($D$127=18,U138,IF($D$127=20,U138,IF($D$127=22,U138,)))))))))</f>
        <v>H-242</v>
      </c>
      <c r="I148" s="133" t="n">
        <f aca="false">IF($D$127=5,V136,IF($D$127=6,V136,IF($D$127=8,V137,IF($D$127=10,V137,IF($D$127=12,V137,IF($D$127=14,V138,IF($D$127=18,V138,IF($D$127=20,V138,IF($D$127=22,V138,)))))))))</f>
        <v>3093</v>
      </c>
      <c r="J148" s="134" t="n">
        <f aca="false">$J$120*G148</f>
        <v>14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535</v>
      </c>
      <c r="D149" s="132" t="s">
        <v>536</v>
      </c>
      <c r="E149" s="130"/>
      <c r="F149" s="132" t="s">
        <v>537</v>
      </c>
      <c r="G149" s="130" t="n">
        <v>1</v>
      </c>
      <c r="H149" s="130" t="s">
        <v>389</v>
      </c>
      <c r="I149" s="133" t="n">
        <f aca="false">$J$123-92</f>
        <v>3243</v>
      </c>
      <c r="J149" s="134" t="n">
        <f aca="false">$J$120*G149</f>
        <v>1</v>
      </c>
    </row>
    <row r="150" s="96" customFormat="true" ht="18" hidden="false" customHeight="true" outlineLevel="0" collapsed="false">
      <c r="A150" s="130" t="n">
        <f aca="false">IF(B150="","",+A149+1)</f>
        <v>18</v>
      </c>
      <c r="B150" s="131" t="s">
        <v>534</v>
      </c>
      <c r="C150" s="131" t="s">
        <v>535</v>
      </c>
      <c r="D150" s="132" t="s">
        <v>536</v>
      </c>
      <c r="E150" s="130"/>
      <c r="F150" s="132" t="s">
        <v>539</v>
      </c>
      <c r="G150" s="130" t="n">
        <v>1</v>
      </c>
      <c r="H150" s="130" t="s">
        <v>389</v>
      </c>
      <c r="I150" s="133" t="n">
        <f aca="false">$J$123-92</f>
        <v>3243</v>
      </c>
      <c r="J150" s="134" t="n">
        <f aca="false">$J$120*G150</f>
        <v>1</v>
      </c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42"/>
      <c r="J151" s="134"/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IF(B153="","",+A140+1)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4662</v>
      </c>
      <c r="G155" s="155" t="n">
        <f aca="false">VLOOKUP(C155,$C$133:$J$153,8,0)</f>
        <v>1</v>
      </c>
      <c r="H155" s="264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VLOOKUP(C156,$C$133:$I$153,7,0)</f>
        <v>4636</v>
      </c>
      <c r="G156" s="155" t="n">
        <f aca="false">VLOOKUP(C156,$C$133:$J$153,8,0)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VLOOKUP(C157,$C$133:$I$153,7,0)</f>
        <v>4662</v>
      </c>
      <c r="G157" s="155" t="n">
        <f aca="false">VLOOKUP(C157,$C$133:$J$153,8,0)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VLOOKUP(C158,$C$133:$I$153,7,0)</f>
        <v>4662</v>
      </c>
      <c r="G158" s="155" t="n">
        <f aca="false">VLOOKUP(C158,$C$133:$J$153,8,0)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VLOOKUP(C159,$C$133:$I$153,7,0)</f>
        <v>3335</v>
      </c>
      <c r="G159" s="155" t="n">
        <f aca="false">VLOOKUP(C159,$C$133:$J$153,8,0)</f>
        <v>1</v>
      </c>
      <c r="H159" s="160" t="n">
        <f aca="false">ROUNDUP(((F159*G159)+(F160*G160))/6400,0)</f>
        <v>2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VLOOKUP(C160,$C$133:$I$153,7,0)</f>
        <v>3335</v>
      </c>
      <c r="G160" s="155" t="n">
        <f aca="false">VLOOKUP(C160,$C$133:$J$153,8,0)</f>
        <v>1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VLOOKUP(C161,$C$133:$I$153,7,0)</f>
        <v>3239</v>
      </c>
      <c r="G161" s="155" t="n">
        <f aca="false">VLOOKUP(C161,$C$133:$J$153,8,0)</f>
        <v>1</v>
      </c>
      <c r="H161" s="160" t="n">
        <f aca="false">ROUNDUP(((F161*G161)+(F162*G162))/6400,0)</f>
        <v>2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155" t="n">
        <f aca="false">VLOOKUP(C162,$C$133:$H$153,3,0)</f>
        <v>0.235</v>
      </c>
      <c r="F162" s="263" t="n">
        <f aca="false">VLOOKUP(C162,$C$133:$I$153,7,0)</f>
        <v>3239</v>
      </c>
      <c r="G162" s="155" t="n">
        <f aca="false">VLOOKUP(C162,$C$133:$J$153,8,0)</f>
        <v>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155" t="n">
        <f aca="false">VLOOKUP(C163,$C$133:$H$153,3,0)</f>
        <v>1.106</v>
      </c>
      <c r="F163" s="267" t="n">
        <f aca="false">VLOOKUP(C163,$C$133:$I$153,7,0)</f>
        <v>661.428571428571</v>
      </c>
      <c r="G163" s="155" t="n">
        <f aca="false">VLOOKUP(C163,$C$133:$J$153,8,0)</f>
        <v>7</v>
      </c>
      <c r="H163" s="160" t="n">
        <f aca="false">ROUNDUP(((F163*G163)+(F164*G164)+(F165*G165)+(F166*G166)+(F167*G167)+(F168*G168))/6400,0)</f>
        <v>10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155" t="n">
        <f aca="false">VLOOKUP(C164,$C$133:$H$153,3,0)</f>
        <v>1.106</v>
      </c>
      <c r="F164" s="267" t="n">
        <f aca="false">VLOOKUP(C164,$C$133:$I$153,7,0)</f>
        <v>661.428571428571</v>
      </c>
      <c r="G164" s="155" t="n">
        <f aca="false">VLOOKUP(C164,$C$133:$J$153,8,0)</f>
        <v>7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155" t="n">
        <f aca="false">VLOOKUP(C165,$C$133:$H$153,3,0)</f>
        <v>1.106</v>
      </c>
      <c r="F165" s="263" t="n">
        <f aca="false">VLOOKUP(C165,$C$133:$I$153,7,0)</f>
        <v>3243</v>
      </c>
      <c r="G165" s="155" t="n">
        <f aca="false">VLOOKUP(C165,$C$133:$J$153,8,0)</f>
        <v>10</v>
      </c>
      <c r="H165" s="160"/>
      <c r="I165" s="161"/>
      <c r="J165" s="161"/>
    </row>
    <row r="166" s="96" customFormat="true" ht="13.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155" t="n">
        <f aca="false">VLOOKUP(C166,$C$133:$H$153,3,0)</f>
        <v>1.106</v>
      </c>
      <c r="F166" s="263" t="n">
        <f aca="false">VLOOKUP(C166,$C$133:$I$153,7,0)</f>
        <v>3243</v>
      </c>
      <c r="G166" s="155" t="n">
        <f aca="false">VLOOKUP(C166,$C$133:$J$153,8,0)</f>
        <v>2</v>
      </c>
      <c r="H166" s="160"/>
      <c r="I166" s="161"/>
      <c r="J166" s="161"/>
    </row>
    <row r="167" s="96" customFormat="true" ht="13.5" hidden="false" customHeight="true" outlineLevel="1" collapsed="false">
      <c r="A167" s="158" t="n">
        <f aca="false">IF(B167="","",+A166+1)</f>
        <v>13</v>
      </c>
      <c r="B167" s="153" t="str">
        <f aca="false">B145</f>
        <v>เสากุญแจ</v>
      </c>
      <c r="C167" s="153" t="str">
        <f aca="false">C145</f>
        <v>SASH (Ver) LOCK </v>
      </c>
      <c r="D167" s="159"/>
      <c r="E167" s="155" t="n">
        <f aca="false">VLOOKUP(C167,$C$133:$H$153,3,0)</f>
        <v>1.106</v>
      </c>
      <c r="F167" s="263" t="n">
        <f aca="false">VLOOKUP(C167,$C$133:$I$153,7,0)</f>
        <v>3243</v>
      </c>
      <c r="G167" s="155" t="n">
        <f aca="false">VLOOKUP(C167,$C$133:$J$153,8,0)</f>
        <v>2</v>
      </c>
      <c r="H167" s="160"/>
      <c r="I167" s="161"/>
      <c r="J167" s="161"/>
    </row>
    <row r="168" s="96" customFormat="true" ht="15" hidden="false" customHeight="true" outlineLevel="1" collapsed="false">
      <c r="A168" s="158" t="n">
        <f aca="false">IF(B168="","",+A167+1)</f>
        <v>14</v>
      </c>
      <c r="B168" s="153" t="str">
        <f aca="false">B146</f>
        <v>เสากุญแจมือจับ</v>
      </c>
      <c r="C168" s="153" t="str">
        <f aca="false">C146</f>
        <v>SASH (Ver) LOCK HANDLE</v>
      </c>
      <c r="D168" s="159"/>
      <c r="E168" s="155" t="n">
        <f aca="false">VLOOKUP(C168,$C$133:$H$153,3,0)</f>
        <v>1.106</v>
      </c>
      <c r="F168" s="263" t="n">
        <f aca="false">VLOOKUP(C168,$C$133:$I$153,7,0)</f>
        <v>3243</v>
      </c>
      <c r="G168" s="155" t="n">
        <f aca="false">VLOOKUP(C168,$C$133:$J$153,8,0)</f>
        <v>1</v>
      </c>
      <c r="H168" s="160"/>
      <c r="I168" s="265"/>
      <c r="J168" s="265"/>
    </row>
    <row r="169" s="96" customFormat="true" ht="13.5" hidden="false" customHeight="true" outlineLevel="1" collapsed="false">
      <c r="A169" s="158" t="n">
        <f aca="false">IF(B169="","",+A168+1)</f>
        <v>15</v>
      </c>
      <c r="B169" s="153" t="str">
        <f aca="false">B147</f>
        <v>5-6mm คิ้วตบกระจกแนวนอน</v>
      </c>
      <c r="C169" s="153" t="str">
        <f aca="false">C147</f>
        <v>5-6mm GLAZING BEAD HORIZONTAL</v>
      </c>
      <c r="D169" s="159" t="str">
        <f aca="false">VLOOKUP(C169,$C$133:$H$153,2,0)</f>
        <v>B24008</v>
      </c>
      <c r="E169" s="155" t="n">
        <f aca="false">VLOOKUP(C169,$C$133:$H$153,3,0)</f>
        <v>0.231</v>
      </c>
      <c r="F169" s="267" t="n">
        <f aca="false">VLOOKUP(C169,$C$133:$I$153,7,0)</f>
        <v>551.071428571429</v>
      </c>
      <c r="G169" s="155" t="n">
        <f aca="false">VLOOKUP(C169,$C$133:$J$153,8,0)</f>
        <v>14</v>
      </c>
      <c r="H169" s="160" t="n">
        <f aca="false">ROUNDUP(((F169*G169)+(F170*G170))/6400,0)</f>
        <v>8</v>
      </c>
      <c r="I169" s="196"/>
      <c r="J169" s="196"/>
    </row>
    <row r="170" s="96" customFormat="true" ht="15" hidden="false" customHeight="true" outlineLevel="1" collapsed="false">
      <c r="A170" s="158" t="n">
        <f aca="false">IF(B170="","",+A169+1)</f>
        <v>16</v>
      </c>
      <c r="B170" s="153" t="str">
        <f aca="false">B148</f>
        <v>5-6mm คิ้วตบกระจกแนวตั้ง</v>
      </c>
      <c r="C170" s="153" t="str">
        <f aca="false">C148</f>
        <v>5-6mm GLAZING BEAD VERTICAL</v>
      </c>
      <c r="D170" s="159"/>
      <c r="E170" s="155" t="n">
        <f aca="false">VLOOKUP(C170,$C$133:$H$153,3,0)</f>
        <v>0.231</v>
      </c>
      <c r="F170" s="263" t="n">
        <f aca="false">VLOOKUP(C170,$C$133:$I$153,7,0)</f>
        <v>3093</v>
      </c>
      <c r="G170" s="155" t="n">
        <f aca="false">VLOOKUP(C170,$C$133:$J$153,8,0)</f>
        <v>14</v>
      </c>
      <c r="H170" s="160"/>
      <c r="I170" s="196"/>
      <c r="J170" s="196"/>
    </row>
    <row r="171" s="96" customFormat="true" ht="13.5" hidden="false" customHeight="true" outlineLevel="1" collapsed="false">
      <c r="A171" s="158" t="n">
        <f aca="false">IF(B171="","",+A170+1)</f>
        <v>17</v>
      </c>
      <c r="B171" s="153" t="str">
        <f aca="false">B149</f>
        <v>บังใบ</v>
      </c>
      <c r="C171" s="153" t="str">
        <f aca="false">C149</f>
        <v>SASH STOP</v>
      </c>
      <c r="D171" s="163" t="str">
        <f aca="false">VLOOKUP(C171,$C$133:$H$153,2,0)</f>
        <v>B24009</v>
      </c>
      <c r="E171" s="155" t="n">
        <f aca="false">VLOOKUP(C171,$C$133:$H$153,3,0)</f>
        <v>0</v>
      </c>
      <c r="F171" s="263" t="n">
        <f aca="false">VLOOKUP(C171,$C$133:$I$153,7,0)</f>
        <v>3243</v>
      </c>
      <c r="G171" s="155" t="n">
        <f aca="false">VLOOKUP(C171,$C$133:$J$153,8,0)</f>
        <v>1</v>
      </c>
      <c r="H171" s="160" t="n">
        <f aca="false">ROUNDUP(((F171*G171)+(F172*G172))/6400,0)</f>
        <v>2</v>
      </c>
      <c r="I171" s="196"/>
      <c r="J171" s="196"/>
    </row>
    <row r="172" s="96" customFormat="true" ht="14.25" hidden="false" customHeight="false" outlineLevel="1" collapsed="false">
      <c r="A172" s="158" t="n">
        <f aca="false">IF(B172="","",+A171+1)</f>
        <v>18</v>
      </c>
      <c r="B172" s="153" t="str">
        <f aca="false">B150</f>
        <v>บังใบ</v>
      </c>
      <c r="C172" s="153" t="str">
        <f aca="false">C150</f>
        <v>SASH STOP</v>
      </c>
      <c r="D172" s="163"/>
      <c r="E172" s="155" t="n">
        <f aca="false">VLOOKUP(C172,$C$133:$H$153,3,0)</f>
        <v>0</v>
      </c>
      <c r="F172" s="263" t="n">
        <f aca="false">VLOOKUP(C172,$C$133:$I$153,7,0)</f>
        <v>3243</v>
      </c>
      <c r="G172" s="155" t="n">
        <f aca="false">VLOOKUP(C172,$C$133:$J$153,8,0)</f>
        <v>1</v>
      </c>
      <c r="H172" s="160"/>
      <c r="I172" s="196"/>
      <c r="J172" s="196"/>
    </row>
    <row r="173" s="96" customFormat="true" ht="24.75" hidden="false" customHeight="true" outlineLevel="0" collapsed="false">
      <c r="A173" s="113" t="s">
        <v>396</v>
      </c>
      <c r="B173" s="113"/>
      <c r="C173" s="113"/>
      <c r="D173" s="113"/>
      <c r="E173" s="113"/>
      <c r="F173" s="113"/>
      <c r="G173" s="113"/>
      <c r="H173" s="113"/>
      <c r="I173" s="113"/>
      <c r="J173" s="113"/>
    </row>
    <row r="174" s="96" customFormat="true" ht="34.5" hidden="false" customHeight="true" outlineLevel="0" collapsed="false">
      <c r="A174" s="114" t="s">
        <v>319</v>
      </c>
      <c r="B174" s="115" t="s">
        <v>320</v>
      </c>
      <c r="C174" s="115" t="s">
        <v>168</v>
      </c>
      <c r="D174" s="115" t="s">
        <v>397</v>
      </c>
      <c r="E174" s="115" t="s">
        <v>321</v>
      </c>
      <c r="F174" s="116" t="s">
        <v>398</v>
      </c>
      <c r="G174" s="115" t="s">
        <v>399</v>
      </c>
      <c r="H174" s="116" t="s">
        <v>400</v>
      </c>
      <c r="I174" s="116" t="s">
        <v>401</v>
      </c>
      <c r="J174" s="117" t="s">
        <v>402</v>
      </c>
      <c r="N174" s="107" t="s">
        <v>288</v>
      </c>
      <c r="O174" s="165" t="s">
        <v>320</v>
      </c>
      <c r="P174" s="165" t="s">
        <v>168</v>
      </c>
      <c r="Q174" s="165" t="s">
        <v>397</v>
      </c>
      <c r="R174" s="165" t="s">
        <v>321</v>
      </c>
      <c r="S174" s="165" t="s">
        <v>398</v>
      </c>
      <c r="T174" s="165" t="s">
        <v>399</v>
      </c>
      <c r="U174" s="165" t="s">
        <v>400</v>
      </c>
      <c r="V174" s="165" t="s">
        <v>401</v>
      </c>
      <c r="W174" s="165" t="s">
        <v>402</v>
      </c>
    </row>
    <row r="175" s="96" customFormat="true" ht="18" hidden="false" customHeight="true" outlineLevel="0" collapsed="false">
      <c r="A175" s="166" t="n">
        <f aca="false">IF(B175="","",1)</f>
        <v>1</v>
      </c>
      <c r="B175" s="131" t="s">
        <v>410</v>
      </c>
      <c r="C175" s="131" t="s">
        <v>411</v>
      </c>
      <c r="D175" s="132" t="s">
        <v>267</v>
      </c>
      <c r="E175" s="130"/>
      <c r="F175" s="130" t="s">
        <v>267</v>
      </c>
      <c r="G175" s="130" t="s">
        <v>405</v>
      </c>
      <c r="H175" s="130" t="n">
        <v>14</v>
      </c>
      <c r="I175" s="133"/>
      <c r="J175" s="134" t="n">
        <f aca="false">$J$120*H175</f>
        <v>14</v>
      </c>
      <c r="N175" s="107" t="s">
        <v>406</v>
      </c>
      <c r="O175" s="55" t="s">
        <v>407</v>
      </c>
      <c r="P175" s="62" t="s">
        <v>408</v>
      </c>
      <c r="Q175" s="55" t="s">
        <v>227</v>
      </c>
      <c r="R175" s="158"/>
      <c r="S175" s="158" t="s">
        <v>227</v>
      </c>
      <c r="T175" s="158" t="s">
        <v>409</v>
      </c>
      <c r="U175" s="168" t="n">
        <f aca="false">((($I$141*$G$141)+($I$142*$G$142)+($I$143*$G$143)+($I$144*$G$144)+($I$145*$G$145)+($I$146*$G$146))/1000)*$J$120</f>
        <v>54.662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2</v>
      </c>
      <c r="B176" s="131" t="s">
        <v>415</v>
      </c>
      <c r="C176" s="131" t="s">
        <v>416</v>
      </c>
      <c r="D176" s="132" t="s">
        <v>222</v>
      </c>
      <c r="E176" s="130"/>
      <c r="F176" s="130" t="s">
        <v>222</v>
      </c>
      <c r="G176" s="130" t="s">
        <v>405</v>
      </c>
      <c r="H176" s="130" t="n">
        <v>2</v>
      </c>
      <c r="I176" s="133"/>
      <c r="J176" s="134" t="n">
        <f aca="false">$J$120*H176</f>
        <v>2</v>
      </c>
      <c r="N176" s="107" t="s">
        <v>412</v>
      </c>
      <c r="O176" s="55" t="s">
        <v>413</v>
      </c>
      <c r="P176" s="62" t="s">
        <v>414</v>
      </c>
      <c r="Q176" s="55" t="s">
        <v>234</v>
      </c>
      <c r="R176" s="158"/>
      <c r="S176" s="158" t="s">
        <v>234</v>
      </c>
      <c r="T176" s="158" t="s">
        <v>409</v>
      </c>
      <c r="U176" s="168" t="n">
        <f aca="false">((($I$141*$G$141)+($I$142*$G$142)+($I$143*$G$143)+($I$144*$G$144)+($I$145*$G$145)+($I$146*$G$146))/1000)*$J$120</f>
        <v>54.662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3</v>
      </c>
      <c r="B177" s="131" t="s">
        <v>420</v>
      </c>
      <c r="C177" s="131" t="s">
        <v>421</v>
      </c>
      <c r="D177" s="132" t="s">
        <v>225</v>
      </c>
      <c r="E177" s="130"/>
      <c r="F177" s="130" t="s">
        <v>225</v>
      </c>
      <c r="G177" s="130" t="s">
        <v>405</v>
      </c>
      <c r="H177" s="130" t="n">
        <v>2</v>
      </c>
      <c r="I177" s="133"/>
      <c r="J177" s="134" t="n">
        <f aca="false">$J$120*H177</f>
        <v>2</v>
      </c>
      <c r="N177" s="107" t="s">
        <v>417</v>
      </c>
      <c r="O177" s="62" t="s">
        <v>418</v>
      </c>
      <c r="P177" s="62" t="s">
        <v>419</v>
      </c>
      <c r="Q177" s="55" t="s">
        <v>236</v>
      </c>
      <c r="R177" s="158"/>
      <c r="S177" s="158" t="s">
        <v>236</v>
      </c>
      <c r="T177" s="158" t="s">
        <v>409</v>
      </c>
      <c r="U177" s="168" t="n">
        <f aca="false">((($I$141*$G$141)+($I$142*$G$142)+($I$143*$G$143)+($I$144*$G$144)+($I$145*$G$145)+($I$146*$G$146))/1000)*$J$120</f>
        <v>54.662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4</v>
      </c>
      <c r="B178" s="131" t="s">
        <v>425</v>
      </c>
      <c r="C178" s="131" t="s">
        <v>426</v>
      </c>
      <c r="D178" s="132" t="n">
        <v>9</v>
      </c>
      <c r="E178" s="130"/>
      <c r="F178" s="130" t="n">
        <v>9</v>
      </c>
      <c r="G178" s="130" t="s">
        <v>405</v>
      </c>
      <c r="H178" s="130" t="n">
        <v>8</v>
      </c>
      <c r="I178" s="133"/>
      <c r="J178" s="134" t="n">
        <f aca="false">$J$120*H178</f>
        <v>8</v>
      </c>
      <c r="N178" s="107" t="s">
        <v>422</v>
      </c>
      <c r="O178" s="62" t="s">
        <v>423</v>
      </c>
      <c r="P178" s="62" t="s">
        <v>424</v>
      </c>
      <c r="Q178" s="55" t="s">
        <v>238</v>
      </c>
      <c r="R178" s="158"/>
      <c r="S178" s="158" t="s">
        <v>238</v>
      </c>
      <c r="T178" s="158" t="s">
        <v>409</v>
      </c>
      <c r="U178" s="168" t="n">
        <f aca="false">((($I$141*$G$141)+($I$142*$G$142)+($I$143*$G$143)+($I$144*$G$144)+($I$145*$G$145)+($I$146*$G$146))/1000)*$J$120</f>
        <v>54.662</v>
      </c>
      <c r="V178" s="168" t="n">
        <v>100</v>
      </c>
      <c r="W178" s="169" t="n">
        <f aca="false">ROUNDUP((U178)/100,0)</f>
        <v>1</v>
      </c>
    </row>
    <row r="179" s="96" customFormat="true" ht="18" hidden="false" customHeight="true" outlineLevel="0" collapsed="false">
      <c r="A179" s="170" t="n">
        <f aca="false">IF(B179="","",+A178+1)</f>
        <v>5</v>
      </c>
      <c r="B179" s="131" t="s">
        <v>430</v>
      </c>
      <c r="C179" s="131" t="s">
        <v>431</v>
      </c>
      <c r="D179" s="132" t="n">
        <v>9</v>
      </c>
      <c r="E179" s="130"/>
      <c r="F179" s="130" t="n">
        <v>9</v>
      </c>
      <c r="G179" s="130" t="s">
        <v>405</v>
      </c>
      <c r="H179" s="130" t="n">
        <v>110</v>
      </c>
      <c r="I179" s="133"/>
      <c r="J179" s="134" t="n">
        <f aca="false">$J$120*H179</f>
        <v>110</v>
      </c>
      <c r="N179" s="107" t="s">
        <v>427</v>
      </c>
      <c r="O179" s="62" t="s">
        <v>428</v>
      </c>
      <c r="P179" s="62" t="s">
        <v>429</v>
      </c>
      <c r="Q179" s="55" t="s">
        <v>240</v>
      </c>
      <c r="R179" s="158"/>
      <c r="S179" s="158" t="s">
        <v>240</v>
      </c>
      <c r="T179" s="158" t="s">
        <v>409</v>
      </c>
      <c r="U179" s="168" t="n">
        <f aca="false">((($I$141*$G$141)+($I$142*$G$142)+($I$143*$G$143)+($I$144*$G$144)+($I$145*$G$145)+($I$146*$G$146))/1000)*$J$120</f>
        <v>54.662</v>
      </c>
      <c r="V179" s="168" t="n">
        <v>100</v>
      </c>
      <c r="W179" s="169" t="n">
        <f aca="false">ROUNDUP((U179)/100,0)</f>
        <v>1</v>
      </c>
    </row>
    <row r="180" s="96" customFormat="true" ht="18" hidden="false" customHeight="true" outlineLevel="0" collapsed="false">
      <c r="A180" s="170" t="n">
        <f aca="false">IF(B180="","",+A179+1)</f>
        <v>6</v>
      </c>
      <c r="B180" s="131" t="s">
        <v>556</v>
      </c>
      <c r="C180" s="131" t="s">
        <v>557</v>
      </c>
      <c r="D180" s="132" t="s">
        <v>5</v>
      </c>
      <c r="E180" s="130"/>
      <c r="F180" s="130" t="s">
        <v>5</v>
      </c>
      <c r="G180" s="130" t="s">
        <v>434</v>
      </c>
      <c r="H180" s="130" t="n">
        <v>3</v>
      </c>
      <c r="I180" s="133"/>
      <c r="J180" s="134" t="n">
        <f aca="false">$J$120*H180</f>
        <v>3</v>
      </c>
    </row>
    <row r="181" s="96" customFormat="true" ht="18" hidden="false" customHeight="true" outlineLevel="0" collapsed="false">
      <c r="A181" s="170" t="n">
        <f aca="false">IF(B181="","",+A180+1)</f>
        <v>7</v>
      </c>
      <c r="B181" s="131" t="s">
        <v>432</v>
      </c>
      <c r="C181" s="131" t="s">
        <v>433</v>
      </c>
      <c r="D181" s="132" t="s">
        <v>6</v>
      </c>
      <c r="E181" s="130"/>
      <c r="F181" s="130" t="s">
        <v>6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8</v>
      </c>
      <c r="B182" s="131" t="s">
        <v>512</v>
      </c>
      <c r="C182" s="131" t="s">
        <v>513</v>
      </c>
      <c r="D182" s="132" t="s">
        <v>7</v>
      </c>
      <c r="E182" s="130"/>
      <c r="F182" s="130" t="s">
        <v>7</v>
      </c>
      <c r="G182" s="130" t="s">
        <v>434</v>
      </c>
      <c r="H182" s="130" t="n">
        <v>1</v>
      </c>
      <c r="I182" s="133"/>
      <c r="J182" s="134" t="n">
        <f aca="false">$J$120*H182</f>
        <v>1</v>
      </c>
    </row>
    <row r="183" s="96" customFormat="true" ht="18" hidden="false" customHeight="true" outlineLevel="0" collapsed="false">
      <c r="A183" s="170" t="n">
        <f aca="false">IF(B183="","",+A182+1)</f>
        <v>9</v>
      </c>
      <c r="B183" s="131" t="s">
        <v>554</v>
      </c>
      <c r="C183" s="131" t="s">
        <v>555</v>
      </c>
      <c r="D183" s="132" t="s">
        <v>11</v>
      </c>
      <c r="E183" s="130"/>
      <c r="F183" s="130" t="s">
        <v>11</v>
      </c>
      <c r="G183" s="130" t="s">
        <v>434</v>
      </c>
      <c r="H183" s="130" t="n">
        <v>2</v>
      </c>
      <c r="I183" s="133"/>
      <c r="J183" s="134" t="n">
        <f aca="false">$J$120*H183</f>
        <v>2</v>
      </c>
    </row>
    <row r="184" s="96" customFormat="true" ht="18" hidden="false" customHeight="true" outlineLevel="0" collapsed="false">
      <c r="A184" s="170" t="n">
        <f aca="false">IF(B184="","",+A183+1)</f>
        <v>10</v>
      </c>
      <c r="B184" s="131" t="s">
        <v>435</v>
      </c>
      <c r="C184" s="131" t="s">
        <v>436</v>
      </c>
      <c r="D184" s="132" t="s">
        <v>9</v>
      </c>
      <c r="E184" s="130"/>
      <c r="F184" s="130" t="s">
        <v>9</v>
      </c>
      <c r="G184" s="130" t="s">
        <v>434</v>
      </c>
      <c r="H184" s="130" t="n">
        <v>1</v>
      </c>
      <c r="I184" s="142"/>
      <c r="J184" s="134" t="n">
        <f aca="false">$J$120*H184</f>
        <v>1</v>
      </c>
      <c r="Q184" s="172"/>
      <c r="R184" s="172"/>
      <c r="S184" s="172"/>
      <c r="T184" s="97"/>
      <c r="U184" s="97"/>
      <c r="V184" s="97"/>
    </row>
    <row r="185" s="96" customFormat="true" ht="18" hidden="false" customHeight="true" outlineLevel="0" collapsed="false">
      <c r="A185" s="170" t="n">
        <f aca="false">IF(B185="","",+A184+1)</f>
        <v>11</v>
      </c>
      <c r="B185" s="131" t="s">
        <v>439</v>
      </c>
      <c r="C185" s="131" t="s">
        <v>440</v>
      </c>
      <c r="D185" s="132" t="s">
        <v>12</v>
      </c>
      <c r="E185" s="130"/>
      <c r="F185" s="130" t="s">
        <v>12</v>
      </c>
      <c r="G185" s="130" t="s">
        <v>434</v>
      </c>
      <c r="H185" s="130" t="n">
        <v>3</v>
      </c>
      <c r="I185" s="142"/>
      <c r="J185" s="134" t="n">
        <f aca="false">$J$120*H185</f>
        <v>3</v>
      </c>
      <c r="N185" s="107" t="s">
        <v>289</v>
      </c>
      <c r="O185" s="165" t="s">
        <v>320</v>
      </c>
      <c r="P185" s="165" t="s">
        <v>168</v>
      </c>
      <c r="Q185" s="165" t="s">
        <v>397</v>
      </c>
      <c r="R185" s="165" t="s">
        <v>321</v>
      </c>
      <c r="S185" s="165" t="s">
        <v>398</v>
      </c>
      <c r="T185" s="165" t="s">
        <v>399</v>
      </c>
      <c r="U185" s="165" t="s">
        <v>400</v>
      </c>
      <c r="V185" s="165" t="s">
        <v>401</v>
      </c>
      <c r="W185" s="165" t="s">
        <v>402</v>
      </c>
    </row>
    <row r="186" s="96" customFormat="true" ht="18" hidden="false" customHeight="true" outlineLevel="0" collapsed="false">
      <c r="A186" s="170" t="n">
        <f aca="false">IF(B186="","",+A185+1)</f>
        <v>12</v>
      </c>
      <c r="B186" s="131" t="s">
        <v>540</v>
      </c>
      <c r="C186" s="131" t="s">
        <v>541</v>
      </c>
      <c r="D186" s="132" t="s">
        <v>542</v>
      </c>
      <c r="E186" s="130"/>
      <c r="F186" s="130" t="s">
        <v>542</v>
      </c>
      <c r="G186" s="130" t="s">
        <v>434</v>
      </c>
      <c r="H186" s="130" t="n">
        <v>1</v>
      </c>
      <c r="I186" s="142"/>
      <c r="J186" s="134" t="n">
        <f aca="false">$J$120*H186</f>
        <v>1</v>
      </c>
      <c r="N186" s="107" t="s">
        <v>445</v>
      </c>
      <c r="O186" s="62" t="s">
        <v>446</v>
      </c>
      <c r="P186" s="62" t="s">
        <v>447</v>
      </c>
      <c r="Q186" s="55" t="s">
        <v>230</v>
      </c>
      <c r="R186" s="158"/>
      <c r="S186" s="158" t="s">
        <v>230</v>
      </c>
      <c r="T186" s="158" t="s">
        <v>409</v>
      </c>
      <c r="U186" s="168" t="n">
        <f aca="false">((($I$134*$G$134)+($I$136*$G$136)+($I$139*$G$139))/1000)*$J$120</f>
        <v>12.537</v>
      </c>
      <c r="V186" s="168" t="n">
        <v>300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13</v>
      </c>
      <c r="B187" s="131" t="s">
        <v>441</v>
      </c>
      <c r="C187" s="131" t="s">
        <v>442</v>
      </c>
      <c r="D187" s="132" t="s">
        <v>274</v>
      </c>
      <c r="E187" s="130"/>
      <c r="F187" s="130" t="s">
        <v>274</v>
      </c>
      <c r="G187" s="130" t="s">
        <v>405</v>
      </c>
      <c r="H187" s="130" t="n">
        <v>6</v>
      </c>
      <c r="I187" s="133"/>
      <c r="J187" s="134" t="n">
        <f aca="false">$J$120*H187</f>
        <v>6</v>
      </c>
      <c r="N187" s="107" t="s">
        <v>448</v>
      </c>
      <c r="O187" s="62" t="s">
        <v>449</v>
      </c>
      <c r="P187" s="62" t="s">
        <v>450</v>
      </c>
      <c r="Q187" s="55" t="s">
        <v>451</v>
      </c>
      <c r="R187" s="158"/>
      <c r="S187" s="158" t="s">
        <v>451</v>
      </c>
      <c r="T187" s="158" t="s">
        <v>409</v>
      </c>
      <c r="U187" s="168" t="n">
        <f aca="false">((($I$134*$G$134)+($I$136*$G$136)+($I$139*$G$139))/1000)*$J$120</f>
        <v>12.537</v>
      </c>
      <c r="V187" s="168" t="n">
        <v>100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14</v>
      </c>
      <c r="B188" s="131" t="s">
        <v>443</v>
      </c>
      <c r="C188" s="131" t="s">
        <v>444</v>
      </c>
      <c r="D188" s="132" t="s">
        <v>272</v>
      </c>
      <c r="E188" s="130"/>
      <c r="F188" s="130" t="s">
        <v>272</v>
      </c>
      <c r="G188" s="130" t="s">
        <v>405</v>
      </c>
      <c r="H188" s="130" t="n">
        <v>1</v>
      </c>
      <c r="I188" s="133"/>
      <c r="J188" s="134" t="n">
        <f aca="false">$J$120*H188</f>
        <v>1</v>
      </c>
      <c r="N188" s="107" t="s">
        <v>445</v>
      </c>
      <c r="O188" s="62" t="s">
        <v>452</v>
      </c>
      <c r="P188" s="62" t="s">
        <v>453</v>
      </c>
      <c r="Q188" s="55" t="s">
        <v>232</v>
      </c>
      <c r="R188" s="158"/>
      <c r="S188" s="158" t="s">
        <v>232</v>
      </c>
      <c r="T188" s="158" t="s">
        <v>409</v>
      </c>
      <c r="U188" s="168" t="n">
        <f aca="false">((($I$141*$G$141*2)+($I$143*$G$143*2)+($I$144*$G$144*2))/1000)*$J$120</f>
        <v>87.092</v>
      </c>
      <c r="V188" s="168" t="n">
        <v>350</v>
      </c>
      <c r="W188" s="169" t="n">
        <f aca="false">ROUNDUP((U188)/V188,0)</f>
        <v>1</v>
      </c>
    </row>
    <row r="189" s="96" customFormat="true" ht="18" hidden="false" customHeight="true" outlineLevel="0" collapsed="false">
      <c r="A189" s="170" t="n">
        <f aca="false">IF(B189="","",+A188+1)</f>
        <v>15</v>
      </c>
      <c r="B189" s="131" t="s">
        <v>403</v>
      </c>
      <c r="C189" s="131" t="s">
        <v>404</v>
      </c>
      <c r="D189" s="132" t="s">
        <v>276</v>
      </c>
      <c r="E189" s="130"/>
      <c r="F189" s="130" t="s">
        <v>276</v>
      </c>
      <c r="G189" s="130" t="s">
        <v>405</v>
      </c>
      <c r="H189" s="130" t="n">
        <v>3</v>
      </c>
      <c r="I189" s="133"/>
      <c r="J189" s="134" t="n">
        <f aca="false">$J$120*H189</f>
        <v>3</v>
      </c>
      <c r="N189" s="107" t="s">
        <v>448</v>
      </c>
      <c r="O189" s="62" t="s">
        <v>454</v>
      </c>
      <c r="P189" s="62" t="s">
        <v>455</v>
      </c>
      <c r="Q189" s="55" t="s">
        <v>456</v>
      </c>
      <c r="R189" s="158"/>
      <c r="S189" s="158" t="s">
        <v>456</v>
      </c>
      <c r="T189" s="158" t="s">
        <v>409</v>
      </c>
      <c r="U189" s="168" t="n">
        <f aca="false">((($I$141*$G$141*2)+($I$143*$G$143*2)+($I$144*$G$144*2))/1000)*$J$120</f>
        <v>87.092</v>
      </c>
      <c r="V189" s="168" t="n">
        <v>100</v>
      </c>
      <c r="W189" s="169" t="n">
        <f aca="false">ROUNDUP((U189)/V189,0)</f>
        <v>1</v>
      </c>
    </row>
    <row r="190" s="96" customFormat="true" ht="18" hidden="false" customHeight="true" outlineLevel="0" collapsed="false">
      <c r="A190" s="170" t="n">
        <f aca="false">IF(B190="","",+A189+1)</f>
        <v>16</v>
      </c>
      <c r="B190" s="131" t="s">
        <v>580</v>
      </c>
      <c r="C190" s="131" t="s">
        <v>581</v>
      </c>
      <c r="D190" s="132" t="s">
        <v>582</v>
      </c>
      <c r="E190" s="130"/>
      <c r="F190" s="130" t="s">
        <v>582</v>
      </c>
      <c r="G190" s="130" t="s">
        <v>409</v>
      </c>
      <c r="H190" s="312" t="n">
        <f aca="false">((($I$149*$G$149)+($I$150*$G$150))/1000)*$J$120</f>
        <v>6.486</v>
      </c>
      <c r="I190" s="313" t="n">
        <v>100</v>
      </c>
      <c r="J190" s="175" t="n">
        <f aca="false">ROUNDUP((H190)/100,0)</f>
        <v>1</v>
      </c>
    </row>
    <row r="191" s="96" customFormat="true" ht="18" hidden="false" customHeight="true" outlineLevel="0" collapsed="false">
      <c r="A191" s="170" t="n">
        <f aca="false">IF(B191="","",+A190+1)</f>
        <v>17</v>
      </c>
      <c r="B191" s="131" t="s">
        <v>583</v>
      </c>
      <c r="C191" s="131" t="s">
        <v>584</v>
      </c>
      <c r="D191" s="132" t="s">
        <v>585</v>
      </c>
      <c r="E191" s="130"/>
      <c r="F191" s="130" t="s">
        <v>585</v>
      </c>
      <c r="G191" s="130" t="s">
        <v>409</v>
      </c>
      <c r="H191" s="312" t="n">
        <f aca="false">(((I145*G145)+($I$146*$G$146))/1000)*$J$120</f>
        <v>6.486</v>
      </c>
      <c r="I191" s="313" t="n">
        <v>100</v>
      </c>
      <c r="J191" s="175" t="n">
        <f aca="false">ROUNDUP((H191)/100,0)</f>
        <v>1</v>
      </c>
    </row>
    <row r="192" s="96" customFormat="true" ht="18" hidden="false" customHeight="true" outlineLevel="0" collapsed="false">
      <c r="A192" s="170" t="n">
        <f aca="false">IF(B192="","",+A191+1)</f>
        <v>18</v>
      </c>
      <c r="B192" s="132" t="str">
        <f aca="false">IF($D$129="Standard",$O$186,IF($D$129="Soumdproof",$O$187,))</f>
        <v>ยางเฟรมกันน้ำ (ธรรมดา)</v>
      </c>
      <c r="C192" s="132" t="str">
        <f aca="false">IF($D$129="Standard",$P$186,IF($D$129="Soumdproof",$P$187,))</f>
        <v>FRAME SEAL (Standard)</v>
      </c>
      <c r="D192" s="132" t="str">
        <f aca="false">IF($D$129="Standard",$Q$186,IF($D$129="Soumdproof",$Q$187,))</f>
        <v>02-026</v>
      </c>
      <c r="E192" s="130" t="n">
        <f aca="false">IF($D$129="Standard",R190,IF($D$129="Soumdproof",R191,))</f>
        <v>0</v>
      </c>
      <c r="F192" s="130" t="str">
        <f aca="false">IF($D$129="Standard",$S$186,IF($D$129="Soumdproof",$S$187,))</f>
        <v>02-026</v>
      </c>
      <c r="G192" s="130" t="str">
        <f aca="false">IF($D$129="Standard",$T$186,IF($D$129="Soumdproof",$T$187,))</f>
        <v>M</v>
      </c>
      <c r="H192" s="173" t="n">
        <f aca="false">IF($D$129="Standard",$U$186,IF($D$129="Soumdproof",$U$187,))</f>
        <v>12.537</v>
      </c>
      <c r="I192" s="174" t="n">
        <f aca="false">IF($D$129="Standard",$V$186,IF($D$129="Soumdproof",$V$187,))</f>
        <v>300</v>
      </c>
      <c r="J192" s="175" t="n">
        <f aca="false">ROUNDUP((H192)/100,0)</f>
        <v>1</v>
      </c>
    </row>
    <row r="193" s="96" customFormat="true" ht="18" hidden="false" customHeight="true" outlineLevel="0" collapsed="false">
      <c r="A193" s="170" t="n">
        <f aca="false">IF(B193="","",+A192+1)</f>
        <v>19</v>
      </c>
      <c r="B193" s="132" t="str">
        <f aca="false">IF($D$129="Standard",$O$188,IF($D$129="Soumdproof",$O$189,))</f>
        <v>ยางแซชกันน้ำ (ธรรมดา)</v>
      </c>
      <c r="C193" s="132" t="str">
        <f aca="false">IF($D$129="Standard",$P$188,IF($D$129="Soumdproof",$P$189,))</f>
        <v>SASH SEAL FOAM (Standard)</v>
      </c>
      <c r="D193" s="132" t="str">
        <f aca="false">IF($D$129="Standard",$Q$188,IF($D$129="Soumdproof",$Q$189,))</f>
        <v>02-031</v>
      </c>
      <c r="E193" s="130" t="n">
        <f aca="false">IF($D$129="Standard",R192,IF($D$129="Soumdproof",R193,))</f>
        <v>0</v>
      </c>
      <c r="F193" s="130" t="str">
        <f aca="false">IF($D$129="Standard",$S$188,IF($D$129="Soumdproof",$S$189,))</f>
        <v>02-031</v>
      </c>
      <c r="G193" s="130" t="str">
        <f aca="false">IF($D$129="Standard",$T$188,IF($D$129="Soumdproof",$T$189,))</f>
        <v>M</v>
      </c>
      <c r="H193" s="173" t="n">
        <f aca="false">IF($D$129="Standard",$U$188,IF($D$129="Soumdproof",$U$189,))</f>
        <v>87.092</v>
      </c>
      <c r="I193" s="174" t="n">
        <f aca="false">IF($D$129="Standard",$V$188,IF($D$129="Soumdproof",$V$189,))</f>
        <v>350</v>
      </c>
      <c r="J193" s="175" t="n">
        <f aca="false">ROUNDUP((H193)/100,0)</f>
        <v>1</v>
      </c>
    </row>
    <row r="194" s="96" customFormat="true" ht="18" hidden="false" customHeight="true" outlineLevel="0" collapsed="false">
      <c r="A194" s="170" t="n">
        <f aca="false">IF(B194="","",+A193+1)</f>
        <v>20</v>
      </c>
      <c r="B194" s="176" t="str">
        <f aca="false">IF($D$127=5,$O$177,IF($D$127=6,$O$178,IF($D$127=8,$O$179,IF($D$127=10,$O$177,IF($D$127=12,$O$177,IF($D$127=14,$O$179,IF($D$127=18,$O$177,IF($D$127=20,$O$178,IF($D$127=22,"")))))))))</f>
        <v>6,20 mm ยางอัดกระจก</v>
      </c>
      <c r="C194" s="176" t="str">
        <f aca="false">IF($D$127=5,$P$177,IF($D$127=6,$P$178,IF($D$127=8,$P$179,IF($D$127=10,$P$177,IF($D$127=12,$P$177,IF($D$127=14,$P$179,IF($D$127=18,$P$177,IF($D$127=20,$P$178,IF($D$127=22,"")))))))))</f>
        <v>6,20 mm ROLL IN WEDGE</v>
      </c>
      <c r="D194" s="176" t="str">
        <f aca="false">IF($D$127=5,$Q$177,IF($D$127=6,$Q$178,IF($D$127=8,$Q$179,IF($D$127=10,$Q$177,IF($D$127=12,$Q$177,IF($D$127=14,$Q$179,IF($D$127=18,$Q$177,IF($D$127=20,$Q$178,IF($D$127=22,"")))))))))</f>
        <v>02-034</v>
      </c>
      <c r="E194" s="176" t="n">
        <f aca="false">IF($D$127=5,R181,IF($D$127=6,R182,IF($D$127=8,R183,IF($D$127=10,R181,IF($D$127=12,R181,IF($D$127=14,R183,IF($D$127=18,R181,IF($D$127=20,R182,IF($D$127=22,"",)))))))))</f>
        <v>0</v>
      </c>
      <c r="F194" s="167" t="str">
        <f aca="false">IF($D$127=5,$S$177,IF($D$127=6,$S$178,IF($D$127=8,$S$179,IF($D$127=10,$S$177,IF($D$127=12,$S$177,IF($D$127=14,$S$179,IF($D$127=18,$S$177,IF($D$127=20,$S$178,IF($D$127=22,"")))))))))</f>
        <v>02-034</v>
      </c>
      <c r="G194" s="167" t="str">
        <f aca="false">IF($D$127=5,$T$177,IF($D$127=6,$T$178,IF($D$127=8,$T$179,IF($D$127=10,$T$177,IF($D$127=12,$T$177,IF($D$127=14,$T$179,IF($D$127=18,$T$177,IF($D$127=20,$T$178,IF($D$127=22,"")))))))))</f>
        <v>M</v>
      </c>
      <c r="H194" s="173" t="n">
        <f aca="false">IF($D$127=5,$U$177,IF($D$127=6,$U$178,IF($D$127=8,$U$179,IF($D$127=10,$U$177*2,IF($D$127=12,$U$177,IF($D$127=14,$U$179*2,IF($D$127=18,$U$177,IF($D$127=20,$U$178,IF($D$127=22,"")))))))))</f>
        <v>54.662</v>
      </c>
      <c r="I194" s="174" t="n">
        <f aca="false">IF($D$127=5,$V$177,IF($D$127=6,$V$178,IF($D$127=8,$V$179,IF($D$127=10,$V$177,IF($D$127=12,$V$177,IF($D$127=14,$V$179,IF($D$127=18,$V$177,IF($D$127=20,$V$178,IF($D$127=22,"")))))))))</f>
        <v>100</v>
      </c>
      <c r="J194" s="175" t="n">
        <f aca="false">ROUNDUP((H194)/100,0)</f>
        <v>1</v>
      </c>
    </row>
    <row r="195" customFormat="false" ht="18" hidden="false" customHeight="true" outlineLevel="0" collapsed="false">
      <c r="A195" s="170" t="n">
        <f aca="false">IF(B195="","",+A194+1)</f>
        <v>21</v>
      </c>
      <c r="B195" s="176" t="str">
        <f aca="false">IF($D$127=5,$O$175,IF($D$127=6,$O$175,IF($D$127=8,$O$177,IF($D$127=10,"",IF($D$127=12,$O$176,IF($D$127=14,"",IF($D$127=18,$O$175,IF($D$127=20,$O$176,IF($D$127=22,"",)))))))))</f>
        <v>5,6,18 mm ยางรองกระจก</v>
      </c>
      <c r="C195" s="176" t="str">
        <f aca="false">IF($D$127=5,$P$175,IF($D$127=6,$P$175,IF($D$127=8,$P$177,IF($D$127=10,"",IF($D$127=12,$P$176,IF($D$127=14,"",IF($D$127=18,$P$175,IF($D$127=20,$P$176,IF($D$127=22,"",)))))))))</f>
        <v>5,6,18 mm CAPTIVE WEDGE</v>
      </c>
      <c r="D195" s="176" t="str">
        <f aca="false">IF($D$127=5,$Q$175,IF($D$127=6,$Q$175,IF($D$127=8,$Q$177,IF($D$127=10,"",IF($D$127=12,$Q$176,IF($D$127=14,"",IF($D$127=18,$Q$175,IF($D$127=20,$Q$176,IF($D$127=22,"",)))))))))</f>
        <v>02-022</v>
      </c>
      <c r="E195" s="176" t="n">
        <f aca="false">IF($D$127=5,R179,IF($D$127=6,R179,IF($D$127=8,R181,IF($D$127=10,"",IF($D$127=12,R180,IF($D$127=14,"",IF($D$127=18,R179,IF($D$127=20,R180,IF($D$127=22,"",)))))))))</f>
        <v>0</v>
      </c>
      <c r="F195" s="167" t="str">
        <f aca="false">IF($D$127=5,$S$175,IF($D$127=6,$S$175,IF($D$127=8,$S$177,IF($D$127=10,"",IF($D$127=12,$S$176,IF($D$127=14,"",IF($D$127=18,$S$175,IF($D$127=20,$S$176,IF($D$127=22,"",)))))))))</f>
        <v>02-022</v>
      </c>
      <c r="G195" s="167" t="str">
        <f aca="false">IF($D$127=5,$T$175,IF($D$127=6,$T$175,IF($D$127=8,$T$177,IF($D$127=10,"",IF($D$127=12,$T$176,IF($D$127=14,"",IF($D$127=18,$T$175,IF($D$127=20,$T$176,IF($D$127=22,"",)))))))))</f>
        <v>M</v>
      </c>
      <c r="H195" s="173" t="n">
        <f aca="false">IF($D$127=5,$U$175,IF($D$127=6,$U$175,IF($D$127=8,$U$177,IF($D$127=10,"",IF($D$127=12,$U$176,IF($D$127=14,"",IF($D$127=18,$U$175,IF($D$127=20,$U$176,IF($D$127=22,"")))))))))</f>
        <v>54.662</v>
      </c>
      <c r="I195" s="174" t="n">
        <f aca="false">IF($D$127=5,$V$175,IF($D$127=6,$V$175,IF($D$127=8,$V$177,IF($D$127=10,"",IF($D$127=12,$V$176,IF($D$127=14,"",IF($D$127=18,$V$175,IF($D$127=20,$V$176,IF($D$127=22,"",)))))))))</f>
        <v>100</v>
      </c>
      <c r="J195" s="175" t="n">
        <f aca="false">ROUNDUP((H195)/100,0)</f>
        <v>1</v>
      </c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30"/>
      <c r="I196" s="133"/>
      <c r="J196" s="134"/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$J$120*H197</f>
        <v>0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$J$120*H198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$J$120*H204</f>
        <v>0</v>
      </c>
    </row>
    <row r="205" s="96" customFormat="true" ht="18" hidden="false" customHeight="true" outlineLevel="0" collapsed="false">
      <c r="A205" s="179" t="str">
        <f aca="false">IF(B205="","",+A204+1)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$J$120*H205</f>
        <v>0</v>
      </c>
    </row>
    <row r="206" s="96" customFormat="true" ht="18" hidden="false" customHeight="true" outlineLevel="0" collapsed="false">
      <c r="A206" s="200"/>
      <c r="B206" s="98"/>
      <c r="D206" s="98"/>
      <c r="E206" s="97"/>
      <c r="F206" s="98"/>
      <c r="G206" s="98"/>
      <c r="H206" s="98"/>
      <c r="I206" s="196"/>
      <c r="J206" s="196"/>
    </row>
    <row r="207" customFormat="false" ht="18" hidden="false" customHeight="true" outlineLevel="0" collapsed="false">
      <c r="A207" s="97"/>
      <c r="J207" s="92" t="str">
        <f aca="false">LEFT($J$111,13)&amp;"-02"</f>
        <v>FG-240-7P4L3R-02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565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4662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566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4636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519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4662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97"/>
      <c r="H252" s="97"/>
      <c r="I252" s="196"/>
      <c r="J252" s="196"/>
    </row>
    <row r="253" s="96" customFormat="true" ht="15.75" hidden="false" customHeight="true" outlineLevel="0" collapsed="false">
      <c r="A253" s="191"/>
      <c r="B253" s="191"/>
      <c r="D253" s="192"/>
      <c r="E253" s="191"/>
      <c r="F253" s="191"/>
      <c r="G253" s="97"/>
      <c r="H253" s="97"/>
      <c r="I253" s="196"/>
      <c r="J253" s="196"/>
    </row>
    <row r="254" s="96" customFormat="true" ht="15.75" hidden="false" customHeight="true" outlineLevel="0" collapsed="false">
      <c r="A254" s="190"/>
      <c r="B254" s="190"/>
      <c r="C254" s="184" t="s">
        <v>520</v>
      </c>
      <c r="D254" s="194"/>
      <c r="E254" s="190"/>
      <c r="F254" s="189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459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460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5" t="n">
        <f aca="false">$I$136</f>
        <v>4662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7" t="n">
        <f aca="false">$J$136</f>
        <v>1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C262" s="98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184" t="s">
        <v>586</v>
      </c>
      <c r="D264" s="98"/>
      <c r="E264" s="97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522</v>
      </c>
      <c r="D265" s="181"/>
      <c r="E265" s="181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468</v>
      </c>
      <c r="D266" s="181"/>
      <c r="E266" s="181"/>
      <c r="F266" s="97"/>
      <c r="G266" s="97"/>
      <c r="H266" s="97"/>
      <c r="J266" s="97"/>
    </row>
    <row r="267" s="96" customFormat="true" ht="15.75" hidden="false" customHeight="true" outlineLevel="0" collapsed="false">
      <c r="A267" s="200"/>
      <c r="C267" s="185" t="n">
        <f aca="false">$I$137</f>
        <v>3335</v>
      </c>
      <c r="D267" s="98"/>
      <c r="E267" s="97"/>
      <c r="F267" s="97"/>
      <c r="J267" s="97"/>
    </row>
    <row r="268" s="96" customFormat="true" ht="15.75" hidden="false" customHeight="true" outlineLevel="0" collapsed="false">
      <c r="A268" s="200"/>
      <c r="C268" s="187" t="n">
        <f aca="false">$J$137+$J$138</f>
        <v>2</v>
      </c>
      <c r="D268" s="98"/>
      <c r="E268" s="97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4"/>
      <c r="E271" s="184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H272" s="97"/>
      <c r="J272" s="97"/>
    </row>
    <row r="273" s="96" customFormat="true" ht="15.75" hidden="false" customHeight="true" outlineLevel="0" collapsed="false">
      <c r="A273" s="200"/>
      <c r="D273" s="181"/>
      <c r="E273" s="181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D274" s="98"/>
      <c r="E274" s="97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4" t="s">
        <v>523</v>
      </c>
      <c r="D275" s="201"/>
      <c r="E275" s="196"/>
      <c r="F275" s="97"/>
      <c r="G275" s="97"/>
      <c r="I275" s="196"/>
      <c r="J275" s="196"/>
    </row>
    <row r="276" s="96" customFormat="true" ht="15.75" hidden="false" customHeight="true" outlineLevel="0" collapsed="false">
      <c r="A276" s="200"/>
      <c r="C276" s="181" t="s">
        <v>470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1" t="s">
        <v>471</v>
      </c>
      <c r="D277" s="181"/>
      <c r="E277" s="181"/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5" t="n">
        <f aca="false">$I$139</f>
        <v>3239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C279" s="187" t="n">
        <f aca="false">$J$139+$J$140</f>
        <v>2</v>
      </c>
      <c r="F279" s="97"/>
      <c r="G279" s="97"/>
      <c r="I279" s="97"/>
      <c r="J279" s="196"/>
    </row>
    <row r="280" s="96" customFormat="true" ht="15.75" hidden="false" customHeight="true" outlineLevel="0" collapsed="false">
      <c r="A280" s="200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D282" s="98"/>
      <c r="E282" s="97"/>
      <c r="F282" s="97"/>
      <c r="G282" s="97"/>
      <c r="H282" s="97"/>
      <c r="J282" s="97"/>
    </row>
    <row r="283" s="96" customFormat="true" ht="15.75" hidden="false" customHeight="true" outlineLevel="0" collapsed="false">
      <c r="A283" s="200"/>
      <c r="F283" s="97"/>
      <c r="G283" s="97"/>
      <c r="H283" s="97"/>
      <c r="J283" s="97"/>
    </row>
    <row r="284" s="96" customFormat="true" ht="15.75" hidden="false" customHeight="true" outlineLevel="0" collapsed="false">
      <c r="A284" s="200"/>
      <c r="F284" s="97"/>
      <c r="G284" s="97"/>
      <c r="H284" s="97"/>
      <c r="I284" s="201"/>
      <c r="J284" s="196"/>
    </row>
    <row r="285" s="96" customFormat="true" ht="15.75" hidden="false" customHeight="true" outlineLevel="0" collapsed="false">
      <c r="A285" s="200"/>
      <c r="C285" s="184" t="s">
        <v>676</v>
      </c>
      <c r="F285" s="97"/>
      <c r="G285" s="97"/>
      <c r="H285" s="97"/>
      <c r="I285" s="97"/>
      <c r="J285" s="196"/>
    </row>
    <row r="286" s="96" customFormat="true" ht="15.75" hidden="false" customHeight="true" outlineLevel="0" collapsed="false">
      <c r="A286" s="200"/>
      <c r="C286" s="83" t="s">
        <v>711</v>
      </c>
      <c r="D286" s="98"/>
      <c r="E286" s="97"/>
      <c r="F286" s="97"/>
      <c r="G286" s="97"/>
      <c r="H286" s="97"/>
      <c r="I286" s="196"/>
      <c r="J286" s="196"/>
    </row>
    <row r="287" s="96" customFormat="true" ht="15.75" hidden="false" customHeight="true" outlineLevel="0" collapsed="false">
      <c r="A287" s="200"/>
      <c r="C287" s="181" t="s">
        <v>712</v>
      </c>
      <c r="D287" s="98"/>
      <c r="E287" s="97"/>
      <c r="F287" s="97"/>
      <c r="G287" s="97"/>
      <c r="H287" s="97"/>
      <c r="I287" s="196"/>
      <c r="J287" s="196"/>
    </row>
    <row r="288" s="96" customFormat="true" ht="15.75" hidden="false" customHeight="true" outlineLevel="0" collapsed="false">
      <c r="A288" s="200"/>
      <c r="C288" s="181" t="s">
        <v>475</v>
      </c>
      <c r="D288" s="181"/>
      <c r="E288" s="181"/>
      <c r="F288" s="97"/>
      <c r="G288" s="97"/>
      <c r="I288" s="196"/>
      <c r="J288" s="196"/>
    </row>
    <row r="289" s="202" customFormat="true" ht="15.75" hidden="false" customHeight="true" outlineLevel="0" collapsed="false">
      <c r="A289" s="200"/>
      <c r="B289" s="96"/>
      <c r="C289" s="181" t="s">
        <v>476</v>
      </c>
      <c r="D289" s="181"/>
      <c r="E289" s="181"/>
      <c r="F289" s="97"/>
      <c r="G289" s="97"/>
      <c r="H289" s="96"/>
      <c r="I289" s="97"/>
      <c r="J289" s="97"/>
    </row>
    <row r="290" s="96" customFormat="true" ht="15.75" hidden="false" customHeight="true" outlineLevel="0" collapsed="false">
      <c r="A290" s="200"/>
      <c r="C290" s="185" t="n">
        <f aca="false">$I$141</f>
        <v>661.428571428571</v>
      </c>
      <c r="F290" s="97"/>
      <c r="G290" s="97"/>
      <c r="I290" s="191"/>
      <c r="J290" s="199"/>
    </row>
    <row r="291" s="96" customFormat="true" ht="15.75" hidden="false" customHeight="true" outlineLevel="0" collapsed="false">
      <c r="A291" s="200"/>
      <c r="C291" s="187" t="n">
        <f aca="false">$J$141+$J$142</f>
        <v>14</v>
      </c>
      <c r="D291" s="98"/>
      <c r="E291" s="97"/>
      <c r="F291" s="97"/>
      <c r="G291" s="97"/>
      <c r="H291" s="98"/>
      <c r="I291" s="189"/>
      <c r="J291" s="190"/>
    </row>
    <row r="292" s="96" customFormat="true" ht="15.75" hidden="false" customHeight="true" outlineLevel="0" collapsed="false">
      <c r="A292" s="200"/>
      <c r="C292" s="185" t="n">
        <f aca="false">$I$143</f>
        <v>3243</v>
      </c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C293" s="187" t="n">
        <f aca="false">$J$143+$J$144+$J$145+$J$146</f>
        <v>14</v>
      </c>
      <c r="D293" s="98"/>
      <c r="E293" s="97"/>
      <c r="F293" s="97"/>
      <c r="G293" s="97"/>
      <c r="H293" s="97"/>
      <c r="I293" s="196"/>
      <c r="J293" s="196"/>
    </row>
    <row r="294" s="96" customFormat="true" ht="15.75" hidden="false" customHeight="true" outlineLevel="0" collapsed="false">
      <c r="A294" s="200"/>
      <c r="D294" s="98"/>
      <c r="E294" s="97"/>
      <c r="F294" s="97"/>
      <c r="G294" s="97"/>
      <c r="H294" s="97"/>
      <c r="I294" s="196"/>
      <c r="J294" s="196"/>
    </row>
    <row r="295" s="96" customFormat="true" ht="15.75" hidden="false" customHeight="true" outlineLevel="0" collapsed="false">
      <c r="A295" s="200"/>
      <c r="D295" s="98"/>
      <c r="E295" s="97"/>
      <c r="F295" s="97"/>
      <c r="G295" s="97"/>
      <c r="H295" s="97"/>
      <c r="I295" s="97"/>
      <c r="J295" s="196"/>
    </row>
    <row r="296" s="96" customFormat="true" ht="15.75" hidden="false" customHeight="true" outlineLevel="0" collapsed="false">
      <c r="A296" s="200"/>
      <c r="C296" s="202"/>
      <c r="D296" s="98"/>
      <c r="E296" s="97"/>
      <c r="F296" s="97"/>
      <c r="G296" s="97"/>
      <c r="H296" s="97"/>
      <c r="I296" s="97"/>
      <c r="J296" s="196"/>
    </row>
    <row r="297" s="96" customFormat="true" ht="15.75" hidden="false" customHeight="true" outlineLevel="0" collapsed="false">
      <c r="A297" s="200"/>
      <c r="C297" s="184" t="s">
        <v>525</v>
      </c>
      <c r="D297" s="98"/>
      <c r="E297" s="97"/>
      <c r="F297" s="97"/>
      <c r="G297" s="97"/>
      <c r="H297" s="97"/>
      <c r="I297" s="97"/>
      <c r="J297" s="196"/>
    </row>
    <row r="298" s="96" customFormat="true" ht="15.75" hidden="false" customHeight="true" outlineLevel="0" collapsed="false">
      <c r="A298" s="200"/>
      <c r="C298" s="83" t="s">
        <v>722</v>
      </c>
      <c r="D298" s="98"/>
      <c r="E298" s="97"/>
      <c r="F298" s="97"/>
      <c r="G298" s="191"/>
      <c r="H298" s="191"/>
      <c r="I298" s="97"/>
      <c r="J298" s="196"/>
    </row>
    <row r="299" s="96" customFormat="true" ht="15.75" hidden="false" customHeight="true" outlineLevel="0" collapsed="false">
      <c r="A299" s="200"/>
      <c r="C299" s="181" t="s">
        <v>712</v>
      </c>
      <c r="D299" s="181"/>
      <c r="E299" s="181"/>
      <c r="F299" s="97"/>
      <c r="G299" s="190"/>
      <c r="H299" s="189"/>
      <c r="I299" s="97"/>
      <c r="J299" s="196"/>
    </row>
    <row r="300" s="96" customFormat="true" ht="15.75" hidden="false" customHeight="true" outlineLevel="0" collapsed="false">
      <c r="A300" s="107"/>
      <c r="C300" s="181" t="s">
        <v>478</v>
      </c>
      <c r="D300" s="181"/>
      <c r="E300" s="181"/>
      <c r="F300" s="97"/>
      <c r="G300" s="97"/>
      <c r="H300" s="97"/>
      <c r="I300" s="97"/>
      <c r="J300" s="196"/>
    </row>
    <row r="301" s="96" customFormat="true" ht="15.75" hidden="false" customHeight="true" outlineLevel="0" collapsed="false">
      <c r="A301" s="191"/>
      <c r="B301" s="191"/>
      <c r="C301" s="181" t="s">
        <v>479</v>
      </c>
      <c r="D301" s="203"/>
      <c r="E301" s="204"/>
      <c r="F301" s="191"/>
      <c r="G301" s="97"/>
      <c r="H301" s="97"/>
      <c r="I301" s="97"/>
      <c r="J301" s="196"/>
    </row>
    <row r="302" s="96" customFormat="true" ht="15.75" hidden="false" customHeight="true" outlineLevel="0" collapsed="false">
      <c r="A302" s="190"/>
      <c r="B302" s="190"/>
      <c r="C302" s="185" t="n">
        <f aca="false">$I$147</f>
        <v>551.071428571429</v>
      </c>
      <c r="D302" s="205"/>
      <c r="E302" s="206"/>
      <c r="F302" s="189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7" t="n">
        <f aca="false">$J$147</f>
        <v>14</v>
      </c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C304" s="185" t="n">
        <f aca="false">$I$148</f>
        <v>3093</v>
      </c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C305" s="187" t="n">
        <f aca="false">$J$148</f>
        <v>14</v>
      </c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D306" s="98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D307" s="98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184" t="s">
        <v>679</v>
      </c>
      <c r="D308" s="98"/>
      <c r="E308" s="97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1" t="s">
        <v>475</v>
      </c>
      <c r="D309" s="181"/>
      <c r="E309" s="181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249" t="s">
        <v>476</v>
      </c>
      <c r="D310" s="249"/>
      <c r="E310" s="249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C311" s="185" t="n">
        <f aca="false">$I$149</f>
        <v>3243</v>
      </c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C312" s="187" t="n">
        <f aca="false">$J$149+$J$150</f>
        <v>2</v>
      </c>
      <c r="D312" s="181"/>
      <c r="E312" s="181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LEFT($J$111,13)&amp;"-03"</f>
        <v>FG-240-7P4L3R-03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A316" s="97"/>
      <c r="B316" s="49"/>
      <c r="C316" s="49"/>
      <c r="D316" s="207"/>
      <c r="E316" s="200"/>
      <c r="F316" s="200"/>
      <c r="G316" s="200"/>
      <c r="H316" s="200"/>
      <c r="I316" s="208"/>
      <c r="J316" s="77" t="str">
        <f aca="false">$J$2</f>
        <v>HOMELIFE</v>
      </c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240-7 Panel (4L3R)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195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91"/>
      <c r="D405" s="98"/>
      <c r="E405" s="97"/>
      <c r="F405" s="97"/>
      <c r="G405" s="97"/>
      <c r="H405" s="97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191"/>
      <c r="B419" s="191"/>
      <c r="C419" s="191"/>
      <c r="D419" s="192"/>
      <c r="E419" s="191"/>
      <c r="F419" s="191"/>
      <c r="G419" s="191"/>
      <c r="H419" s="191"/>
      <c r="I419" s="191"/>
      <c r="J419" s="199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LEFT($J$111,13)&amp;"-04"</f>
        <v>FG-240-7P4L3R-04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77" t="str">
        <f aca="false">$J$2</f>
        <v>HOMELIFE</v>
      </c>
      <c r="K423" s="78"/>
      <c r="L423" s="78"/>
      <c r="M423" s="79"/>
      <c r="N423" s="79"/>
    </row>
    <row r="424" customFormat="false" ht="24.75" hidden="false" customHeight="true" outlineLevel="0" collapsed="false">
      <c r="A424" s="97"/>
      <c r="B424" s="96"/>
      <c r="C424" s="96"/>
      <c r="D424" s="98"/>
      <c r="E424" s="97"/>
      <c r="F424" s="97"/>
      <c r="G424" s="97"/>
      <c r="H424" s="97"/>
      <c r="I424" s="97"/>
      <c r="J424" s="80" t="str">
        <f aca="false">$J$3</f>
        <v>Fabricators Guide</v>
      </c>
      <c r="K424" s="78"/>
      <c r="L424" s="78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$J$4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240-7 Panel (4L3R)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191"/>
      <c r="C442" s="212"/>
      <c r="D442" s="98"/>
      <c r="E442" s="97"/>
      <c r="F442" s="97"/>
      <c r="H442" s="191"/>
      <c r="I442" s="191"/>
      <c r="J442" s="199"/>
    </row>
    <row r="443" s="96" customFormat="true" ht="15.75" hidden="false" customHeight="true" outlineLevel="0" collapsed="false">
      <c r="A443" s="190"/>
      <c r="C443" s="191"/>
      <c r="D443" s="192"/>
      <c r="E443" s="191"/>
      <c r="F443" s="191"/>
      <c r="H443" s="191"/>
      <c r="I443" s="191"/>
      <c r="J443" s="199"/>
    </row>
    <row r="444" s="96" customFormat="true" ht="34.5" hidden="false" customHeight="true" outlineLevel="0" collapsed="false">
      <c r="A444" s="97"/>
      <c r="C444" s="98"/>
      <c r="D444" s="194"/>
      <c r="E444" s="190"/>
      <c r="F444" s="189"/>
      <c r="H444" s="191"/>
      <c r="I444" s="196"/>
      <c r="J444" s="196"/>
    </row>
    <row r="445" customFormat="false" ht="15" hidden="false" customHeight="true" outlineLevel="0" collapsed="false">
      <c r="B445" s="211"/>
      <c r="C445" s="98"/>
      <c r="D445" s="98"/>
      <c r="E445" s="97"/>
      <c r="F445" s="98"/>
      <c r="G445" s="97"/>
      <c r="H445" s="97"/>
    </row>
    <row r="450" s="96" customFormat="true" ht="15.75" hidden="false" customHeight="true" outlineLevel="0" collapsed="false">
      <c r="A450" s="97"/>
      <c r="D450" s="73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191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97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196"/>
      <c r="J457" s="196"/>
    </row>
    <row r="458" s="96" customFormat="true" ht="15.7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195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202" customFormat="true" ht="15.75" hidden="false" customHeight="true" outlineLevel="0" collapsed="false">
      <c r="A477" s="97"/>
      <c r="B477" s="96"/>
      <c r="C477" s="96"/>
      <c r="D477" s="98"/>
      <c r="E477" s="97"/>
      <c r="F477" s="97"/>
      <c r="G477" s="97"/>
      <c r="H477" s="97"/>
      <c r="I477" s="97"/>
      <c r="J477" s="97"/>
    </row>
    <row r="478" s="96" customFormat="true" ht="15.75" hidden="false" customHeight="true" outlineLevel="0" collapsed="false">
      <c r="A478" s="191"/>
      <c r="D478" s="98"/>
      <c r="E478" s="97"/>
      <c r="F478" s="97"/>
      <c r="G478" s="97"/>
      <c r="H478" s="97"/>
      <c r="I478" s="191"/>
      <c r="J478" s="199"/>
    </row>
    <row r="479" s="96" customFormat="true" ht="15.75" hidden="false" customHeight="true" outlineLevel="0" collapsed="false">
      <c r="A479" s="190"/>
      <c r="B479" s="191"/>
      <c r="C479" s="191"/>
      <c r="D479" s="192"/>
      <c r="E479" s="191"/>
      <c r="F479" s="191"/>
      <c r="G479" s="191"/>
      <c r="H479" s="191"/>
      <c r="I479" s="189"/>
      <c r="J479" s="190"/>
    </row>
    <row r="480" s="96" customFormat="true" ht="15.75" hidden="false" customHeight="true" outlineLevel="0" collapsed="false">
      <c r="A480" s="200"/>
      <c r="B480" s="190"/>
      <c r="C480" s="191"/>
      <c r="D480" s="194"/>
      <c r="E480" s="190"/>
      <c r="F480" s="189"/>
      <c r="G480" s="190"/>
      <c r="H480" s="189"/>
      <c r="I480" s="196"/>
      <c r="J480" s="196"/>
    </row>
    <row r="481" s="96" customFormat="true" ht="15.75" hidden="false" customHeight="true" outlineLevel="0" collapsed="false">
      <c r="A481" s="200"/>
      <c r="C481" s="182"/>
      <c r="D481" s="98"/>
      <c r="E481" s="97"/>
      <c r="F481" s="97"/>
      <c r="G481" s="97"/>
      <c r="H481" s="182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C487" s="98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182"/>
      <c r="J499" s="97"/>
    </row>
    <row r="500" s="96" customFormat="true" ht="15.75" hidden="false" customHeight="true" outlineLevel="0" collapsed="false">
      <c r="A500" s="200"/>
      <c r="C500" s="188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I501" s="196"/>
      <c r="J501" s="196"/>
    </row>
    <row r="502" s="96" customFormat="true" ht="15.75" hidden="false" customHeight="true" outlineLevel="0" collapsed="false">
      <c r="A502" s="200"/>
      <c r="C502" s="98"/>
      <c r="D502" s="98"/>
      <c r="E502" s="97"/>
      <c r="F502" s="97"/>
      <c r="G502" s="97"/>
      <c r="H502" s="182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97"/>
      <c r="J513" s="196"/>
    </row>
    <row r="514" s="96" customFormat="true" ht="15.75" hidden="false" customHeight="true" outlineLevel="0" collapsed="false">
      <c r="A514" s="191"/>
      <c r="D514" s="98"/>
      <c r="E514" s="97"/>
      <c r="F514" s="97"/>
      <c r="G514" s="97"/>
      <c r="I514" s="191"/>
      <c r="J514" s="199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B516" s="191"/>
      <c r="C516" s="191"/>
      <c r="D516" s="192"/>
      <c r="E516" s="191"/>
      <c r="F516" s="191"/>
      <c r="G516" s="191"/>
      <c r="H516" s="191"/>
    </row>
    <row r="517" s="96" customFormat="true" ht="15.75" hidden="false" customHeight="true" outlineLevel="0" collapsed="false"/>
    <row r="518" s="96" customFormat="true" ht="24.75" hidden="false" customHeight="true" outlineLevel="0" collapsed="false">
      <c r="A518" s="88" t="s">
        <v>482</v>
      </c>
      <c r="B518" s="88"/>
      <c r="C518" s="88"/>
      <c r="D518" s="88"/>
      <c r="E518" s="88"/>
      <c r="F518" s="88"/>
      <c r="G518" s="88"/>
      <c r="H518" s="88"/>
      <c r="I518" s="88"/>
      <c r="J518" s="88"/>
    </row>
    <row r="519" s="96" customFormat="true" ht="34.5" hidden="false" customHeight="true" outlineLevel="0" collapsed="false">
      <c r="A519" s="114" t="s">
        <v>319</v>
      </c>
      <c r="B519" s="115" t="s">
        <v>168</v>
      </c>
      <c r="C519" s="115" t="s">
        <v>168</v>
      </c>
      <c r="D519" s="116" t="s">
        <v>483</v>
      </c>
      <c r="E519" s="115" t="s">
        <v>321</v>
      </c>
      <c r="F519" s="239" t="s">
        <v>484</v>
      </c>
      <c r="G519" s="240"/>
      <c r="H519" s="116" t="s">
        <v>484</v>
      </c>
      <c r="I519" s="116" t="s">
        <v>485</v>
      </c>
      <c r="J519" s="117" t="s">
        <v>323</v>
      </c>
      <c r="N519" s="118" t="s">
        <v>168</v>
      </c>
      <c r="O519" s="118" t="s">
        <v>168</v>
      </c>
    </row>
    <row r="520" s="96" customFormat="true" ht="15.75" hidden="false" customHeight="true" outlineLevel="0" collapsed="false">
      <c r="A520" s="120" t="n">
        <f aca="false">IF(C520="","",1)</f>
        <v>1</v>
      </c>
      <c r="B520" s="121" t="str">
        <f aca="false"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 aca="false">IF($D$127=5,O520,IF($D$127=6,O521,IF($D$127=8,O522,IF($D$127=10,O523,IF($D$127=12,O524,IF($D$127=14,O525,IF($D$127=18,O526,IF($D$127=20,O527,IF($D$127=22,O528,)))))))))</f>
        <v>GLASS thk.6 mm (H) (W)</v>
      </c>
      <c r="D520" s="123" t="n">
        <f aca="false">$J$123-215</f>
        <v>3120</v>
      </c>
      <c r="E520" s="120" t="s">
        <v>486</v>
      </c>
      <c r="F520" s="224" t="s">
        <v>487</v>
      </c>
      <c r="G520" s="224"/>
      <c r="H520" s="120" t="s">
        <v>713</v>
      </c>
      <c r="I520" s="225" t="n">
        <f aca="false">(($J$126-185-(113.25*6))/7)-13</f>
        <v>538.071428571429</v>
      </c>
      <c r="J520" s="226" t="n">
        <f aca="false">$J$120*7</f>
        <v>7</v>
      </c>
      <c r="M520" s="96" t="n">
        <f aca="false">ROW()</f>
        <v>520</v>
      </c>
      <c r="N520" s="62" t="s">
        <v>489</v>
      </c>
      <c r="O520" s="62" t="s">
        <v>490</v>
      </c>
    </row>
    <row r="521" s="96" customFormat="true" ht="15.75" hidden="false" customHeight="true" outlineLevel="0" collapsed="false">
      <c r="A521" s="269"/>
      <c r="B521" s="228"/>
      <c r="C521" s="228"/>
      <c r="D521" s="176"/>
      <c r="E521" s="167"/>
      <c r="F521" s="229"/>
      <c r="G521" s="230"/>
      <c r="H521" s="167"/>
      <c r="I521" s="231"/>
      <c r="J521" s="232"/>
      <c r="M521" s="96" t="n">
        <f aca="false">ROW()</f>
        <v>521</v>
      </c>
      <c r="N521" s="62" t="s">
        <v>491</v>
      </c>
      <c r="O521" s="62" t="s">
        <v>492</v>
      </c>
    </row>
    <row r="522" s="96" customFormat="true" ht="15.75" hidden="false" customHeight="true" outlineLevel="0" collapsed="false">
      <c r="A522" s="269"/>
      <c r="B522" s="228"/>
      <c r="C522" s="228"/>
      <c r="D522" s="176"/>
      <c r="E522" s="167"/>
      <c r="F522" s="229"/>
      <c r="G522" s="230"/>
      <c r="H522" s="167"/>
      <c r="I522" s="231"/>
      <c r="J522" s="232"/>
      <c r="M522" s="96" t="n">
        <f aca="false">ROW()</f>
        <v>522</v>
      </c>
      <c r="N522" s="62" t="s">
        <v>493</v>
      </c>
      <c r="O522" s="62" t="s">
        <v>494</v>
      </c>
    </row>
    <row r="523" s="96" customFormat="true" ht="15.75" hidden="false" customHeight="true" outlineLevel="0" collapsed="false">
      <c r="A523" s="130" t="str">
        <f aca="false">IF(B523="","",+""+1)</f>
        <v/>
      </c>
      <c r="B523" s="131"/>
      <c r="C523" s="131"/>
      <c r="D523" s="132"/>
      <c r="E523" s="130"/>
      <c r="F523" s="233"/>
      <c r="G523" s="270"/>
      <c r="H523" s="130"/>
      <c r="I523" s="142"/>
      <c r="J523" s="133"/>
      <c r="M523" s="96" t="n">
        <f aca="false">ROW()</f>
        <v>523</v>
      </c>
      <c r="N523" s="62" t="s">
        <v>495</v>
      </c>
      <c r="O523" s="62" t="s">
        <v>496</v>
      </c>
    </row>
    <row r="524" s="96" customFormat="true" ht="15.75" hidden="false" customHeight="true" outlineLevel="0" collapsed="false">
      <c r="A524" s="136" t="str">
        <f aca="false">IF(B524="","",+A523+1)</f>
        <v/>
      </c>
      <c r="B524" s="135"/>
      <c r="C524" s="135"/>
      <c r="D524" s="139"/>
      <c r="E524" s="136"/>
      <c r="F524" s="236"/>
      <c r="G524" s="237"/>
      <c r="H524" s="136"/>
      <c r="I524" s="180"/>
      <c r="J524" s="140"/>
      <c r="M524" s="96" t="n">
        <f aca="false">ROW()</f>
        <v>524</v>
      </c>
      <c r="N524" s="62" t="s">
        <v>497</v>
      </c>
      <c r="O524" s="62" t="s">
        <v>498</v>
      </c>
    </row>
    <row r="525" s="96" customFormat="true" ht="15.75" hidden="false" customHeight="true" outlineLevel="0" collapsed="false">
      <c r="A525" s="97"/>
      <c r="D525" s="98"/>
      <c r="E525" s="97"/>
      <c r="F525" s="97"/>
      <c r="G525" s="97"/>
      <c r="H525" s="97"/>
      <c r="I525" s="97"/>
      <c r="J525" s="196"/>
      <c r="M525" s="96" t="n">
        <f aca="false">ROW()</f>
        <v>525</v>
      </c>
      <c r="N525" s="62" t="s">
        <v>499</v>
      </c>
      <c r="O525" s="62" t="s">
        <v>500</v>
      </c>
    </row>
    <row r="526" customFormat="false" ht="14.25" hidden="false" customHeight="false" outlineLevel="0" collapsed="false">
      <c r="J526" s="92" t="str">
        <f aca="false">LEFT($J$111,13)&amp;"-05"</f>
        <v>FG-240-7P4L3R-05</v>
      </c>
      <c r="M526" s="96" t="n">
        <f aca="false">ROW()</f>
        <v>526</v>
      </c>
      <c r="N526" s="62" t="s">
        <v>501</v>
      </c>
      <c r="O526" s="62" t="s">
        <v>502</v>
      </c>
    </row>
    <row r="527" customFormat="false" ht="14.25" hidden="false" customHeight="false" outlineLevel="0" collapsed="false">
      <c r="M527" s="96" t="n">
        <f aca="false">ROW()</f>
        <v>527</v>
      </c>
      <c r="N527" s="62" t="s">
        <v>503</v>
      </c>
      <c r="O527" s="62" t="s">
        <v>504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505</v>
      </c>
      <c r="O528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8"/>
    <mergeCell ref="H163:H168"/>
    <mergeCell ref="I166:J167"/>
    <mergeCell ref="I168:J168"/>
    <mergeCell ref="D169:D170"/>
    <mergeCell ref="H169:H170"/>
    <mergeCell ref="D171:D172"/>
    <mergeCell ref="H171:H172"/>
    <mergeCell ref="A173:J173"/>
    <mergeCell ref="A213:J213"/>
    <mergeCell ref="C310:E310"/>
    <mergeCell ref="A320:J320"/>
    <mergeCell ref="F330:G330"/>
    <mergeCell ref="F331:G331"/>
    <mergeCell ref="F334:G334"/>
    <mergeCell ref="A427:J427"/>
    <mergeCell ref="A518:J518"/>
    <mergeCell ref="F520:G520"/>
  </mergeCells>
  <dataValidations count="4">
    <dataValidation allowBlank="true" errorStyle="stop" operator="between" showDropDown="false" showErrorMessage="true" showInputMessage="true" sqref="C206" type="list">
      <formula1>$O$175:$O$193</formula1>
      <formula2>0</formula2>
    </dataValidation>
    <dataValidation allowBlank="true" errorStyle="stop" operator="between" showDropDown="false" showErrorMessage="true" showInputMessage="true" sqref="D123:G123" type="list">
      <formula1>$P$118:$P$127</formula1>
      <formula2>0</formula2>
    </dataValidation>
    <dataValidation allowBlank="true" errorStyle="stop" operator="between" showDropDown="false" showErrorMessage="true" showInputMessage="true" sqref="D127:G127" type="list">
      <formula1>$N$119:$N$127</formula1>
      <formula2>0</formula2>
    </dataValidation>
    <dataValidation allowBlank="true" errorStyle="stop" operator="between" showDropDown="false" showErrorMessage="true" showInputMessage="true" sqref="D129:G129" type="list">
      <formula1>$O$119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Y529"/>
  <sheetViews>
    <sheetView showFormulas="false" showGridLines="false" showRowColHeaders="true" showZeros="true" rightToLeft="false" tabSelected="false" showOutlineSymbols="true" defaultGridColor="true" view="pageBreakPreview" topLeftCell="A127" colorId="64" zoomScale="75" zoomScaleNormal="75" zoomScalePageLayoutView="75" workbookViewId="0">
      <selection pane="topLeft" activeCell="I135" activeCellId="0" sqref="I135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11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6.67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0.44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723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>
      <c r="G55" s="91"/>
    </row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724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8" hidden="false" customHeight="true" outlineLevel="0" collapsed="false">
      <c r="A118" s="97"/>
      <c r="C118" s="81"/>
      <c r="D118" s="98"/>
      <c r="E118" s="83"/>
      <c r="J118" s="99"/>
      <c r="K118" s="83"/>
      <c r="N118" s="258" t="s">
        <v>288</v>
      </c>
      <c r="O118" s="97" t="s">
        <v>289</v>
      </c>
      <c r="P118" s="102" t="s">
        <v>290</v>
      </c>
    </row>
    <row r="119" s="96" customFormat="true" ht="15" hidden="false" customHeight="true" outlineLevel="0" collapsed="false">
      <c r="A119" s="97"/>
      <c r="C119" s="100" t="s">
        <v>286</v>
      </c>
      <c r="D119" s="101"/>
      <c r="E119" s="101"/>
      <c r="F119" s="101"/>
      <c r="G119" s="101"/>
      <c r="I119" s="83"/>
      <c r="J119" s="97"/>
      <c r="N119" s="259" t="n">
        <v>5</v>
      </c>
      <c r="O119" s="97" t="s">
        <v>509</v>
      </c>
      <c r="P119" s="106" t="s">
        <v>294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6</v>
      </c>
      <c r="O120" s="97" t="s">
        <v>296</v>
      </c>
      <c r="P120" s="106" t="s">
        <v>297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8</v>
      </c>
      <c r="P121" s="106" t="s">
        <v>299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10</v>
      </c>
      <c r="P122" s="106" t="s">
        <v>303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509</v>
      </c>
      <c r="E123" s="101"/>
      <c r="F123" s="101"/>
      <c r="G123" s="101"/>
      <c r="H123" s="104" t="s">
        <v>302</v>
      </c>
      <c r="I123" s="104"/>
      <c r="J123" s="105" t="n">
        <v>2500</v>
      </c>
      <c r="N123" s="259" t="n">
        <v>12</v>
      </c>
      <c r="P123" s="106" t="s">
        <v>305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14</v>
      </c>
      <c r="P124" s="106" t="s">
        <v>308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18</v>
      </c>
      <c r="P125" s="106" t="s">
        <v>311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4450</v>
      </c>
      <c r="K126" s="110"/>
      <c r="L126" s="110"/>
      <c r="N126" s="259" t="n">
        <v>20</v>
      </c>
      <c r="P126" s="106" t="s">
        <v>313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5</v>
      </c>
      <c r="E127" s="111"/>
      <c r="F127" s="111"/>
      <c r="G127" s="111"/>
      <c r="H127" s="104"/>
      <c r="I127" s="104"/>
      <c r="J127" s="105"/>
      <c r="N127" s="259" t="n">
        <v>22</v>
      </c>
      <c r="P127" s="106" t="s">
        <v>315</v>
      </c>
    </row>
    <row r="128" s="96" customFormat="true" ht="18.75" hidden="false" customHeight="true" outlineLevel="0" collapsed="false">
      <c r="C128" s="108" t="s">
        <v>314</v>
      </c>
      <c r="I128" s="97"/>
      <c r="J128" s="97"/>
    </row>
    <row r="129" s="96" customFormat="true" ht="15" hidden="false" customHeight="true" outlineLevel="0" collapsed="false">
      <c r="A129" s="89" t="str">
        <f aca="false">A18</f>
        <v>240-7 Panel (5L2R)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4390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14</v>
      </c>
      <c r="U133" s="127" t="s">
        <v>709</v>
      </c>
      <c r="V133" s="128" t="n">
        <f aca="false">($J$126-185-(113.25*6))/7</f>
        <v>512.214285714286</v>
      </c>
      <c r="W133" s="129" t="n">
        <f aca="false">$J$120*T133</f>
        <v>14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4364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14</v>
      </c>
      <c r="U134" s="130" t="s">
        <v>709</v>
      </c>
      <c r="V134" s="142" t="n">
        <f aca="false">($J$126-185-(113.25*6))/7</f>
        <v>512.214285714286</v>
      </c>
      <c r="W134" s="134" t="n">
        <f aca="false">$J$120*T134</f>
        <v>14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4390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14</v>
      </c>
      <c r="U135" s="136" t="s">
        <v>709</v>
      </c>
      <c r="V135" s="180" t="n">
        <f aca="false">($J$126-185-(113.25*6))/7</f>
        <v>512.214285714286</v>
      </c>
      <c r="W135" s="137" t="n">
        <f aca="false">$J$120*T135</f>
        <v>14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4390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14</v>
      </c>
      <c r="U136" s="127" t="s">
        <v>360</v>
      </c>
      <c r="V136" s="138" t="n">
        <f aca="false">$J$123-242</f>
        <v>2258</v>
      </c>
      <c r="W136" s="129" t="n">
        <f aca="false">$J$120*T136</f>
        <v>14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2500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14</v>
      </c>
      <c r="U137" s="130" t="s">
        <v>360</v>
      </c>
      <c r="V137" s="133" t="n">
        <f aca="false">$J$123-242</f>
        <v>2258</v>
      </c>
      <c r="W137" s="134" t="n">
        <f aca="false">$J$120*T137</f>
        <v>14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2500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14</v>
      </c>
      <c r="U138" s="136" t="s">
        <v>360</v>
      </c>
      <c r="V138" s="140" t="n">
        <f aca="false">$J$123-242</f>
        <v>2258</v>
      </c>
      <c r="W138" s="137" t="n">
        <f aca="false">$J$120*T138</f>
        <v>14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2404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2404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7</v>
      </c>
      <c r="H141" s="130" t="s">
        <v>710</v>
      </c>
      <c r="I141" s="141" t="n">
        <f aca="false">($J$126-60-(7+1)*4)/7</f>
        <v>622.571428571429</v>
      </c>
      <c r="J141" s="134" t="n">
        <f aca="false">$J$120*G141</f>
        <v>7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7</v>
      </c>
      <c r="H142" s="130" t="s">
        <v>710</v>
      </c>
      <c r="I142" s="141" t="n">
        <f aca="false">($J$126-60-(7+1)*4)/7</f>
        <v>622.571428571429</v>
      </c>
      <c r="J142" s="134" t="n">
        <f aca="false">$J$120*G142</f>
        <v>7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10</v>
      </c>
      <c r="H143" s="130" t="s">
        <v>389</v>
      </c>
      <c r="I143" s="133" t="n">
        <f aca="false">$J$123-92</f>
        <v>2408</v>
      </c>
      <c r="J143" s="134" t="n">
        <f aca="false">$J$120*G143</f>
        <v>10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2</v>
      </c>
      <c r="H144" s="130" t="s">
        <v>389</v>
      </c>
      <c r="I144" s="133" t="n">
        <f aca="false">$J$123-92</f>
        <v>2408</v>
      </c>
      <c r="J144" s="134" t="n">
        <f aca="false">$J$120*G144</f>
        <v>2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390</v>
      </c>
      <c r="C145" s="131" t="s">
        <v>391</v>
      </c>
      <c r="D145" s="132" t="s">
        <v>74</v>
      </c>
      <c r="E145" s="130" t="n">
        <v>1.106</v>
      </c>
      <c r="F145" s="132" t="s">
        <v>563</v>
      </c>
      <c r="G145" s="130" t="n">
        <v>1</v>
      </c>
      <c r="H145" s="130" t="s">
        <v>389</v>
      </c>
      <c r="I145" s="133" t="n">
        <f aca="false">$J$123-92</f>
        <v>2408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">
        <v>531</v>
      </c>
      <c r="C146" s="131" t="s">
        <v>532</v>
      </c>
      <c r="D146" s="132" t="s">
        <v>74</v>
      </c>
      <c r="E146" s="130" t="n">
        <v>1.106</v>
      </c>
      <c r="F146" s="132" t="s">
        <v>533</v>
      </c>
      <c r="G146" s="130" t="n">
        <v>1</v>
      </c>
      <c r="H146" s="130" t="s">
        <v>389</v>
      </c>
      <c r="I146" s="133" t="n">
        <f aca="false">$J$123-92</f>
        <v>2408</v>
      </c>
      <c r="J146" s="134" t="n">
        <f aca="false">$J$120*G146</f>
        <v>1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7" s="131" t="str">
        <f aca="false">IF($D$127=5,Q133,IF($D$127=6,Q133,IF($D$127=8,Q134,IF($D$127=10,Q134,IF($D$127=12,Q134,IF($D$127=14,Q135,IF($D$127=18,Q135,IF($D$127=20,Q135,IF($D$127=22,Q135,)))))))))</f>
        <v>B24008</v>
      </c>
      <c r="E147" s="131" t="n">
        <f aca="false">IF($D$127=5,R133,IF($D$127=6,R133,IF($D$127=8,R134,IF($D$127=10,R134,IF($D$127=12,R134,IF($D$127=14,R135,IF($D$127=18,R135,IF($D$127=20,R135,IF($D$127=22,R135,)))))))))</f>
        <v>0.231</v>
      </c>
      <c r="F147" s="131" t="str">
        <f aca="false">IF($D$127=5,S133,IF($D$127=6,S133,IF($D$127=8,S134,IF($D$127=10,S134,IF($D$127=12,S134,IF($D$127=14,S135,IF($D$127=18,S135,IF($D$127=20,S135,IF($D$127=22,S135,)))))))))</f>
        <v>B24008-001</v>
      </c>
      <c r="G147" s="130" t="n">
        <f aca="false">IF($D$127=5,T133,IF($D$127=6,T133,IF($D$127=8,T134,IF($D$127=10,T134,IF($D$127=12,T134,IF($D$127=14,T135,IF($D$127=18,T135,IF($D$127=20,T135,IF($D$127=22,T135,)))))))))</f>
        <v>14</v>
      </c>
      <c r="H147" s="130" t="str">
        <f aca="false">IF($D$127=5,U133,IF($D$127=6,U133,IF($D$127=8,U134,IF($D$127=10,U134,IF($D$127=12,U134,IF($D$127=14,U135,IF($D$127=18,U135,IF($D$127=20,U135,IF($D$127=22,U135,)))))))))</f>
        <v>(W-185-(113.25 × 6))/7</v>
      </c>
      <c r="I147" s="141" t="n">
        <f aca="false">IF($D$127=5,V133,IF($D$127=6,V133,IF($D$127=8,V134,IF($D$127=10,V134,IF($D$127=12,V134,IF($D$127=14,V135,IF($D$127=18,V135,IF($D$127=20,V135,IF($D$127=22,V135,)))))))))</f>
        <v>512.214285714286</v>
      </c>
      <c r="J147" s="134" t="n">
        <f aca="false">$J$120*G147</f>
        <v>14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8" s="131" t="str">
        <f aca="false">IF($D$127=5,Q136,IF($D$127=6,Q136,IF($D$127=8,Q137,IF($D$127=10,Q137,IF($D$127=12,Q137,IF($D$127=14,Q138,IF($D$127=18,Q138,IF($D$127=20,Q138,IF($D$127=22,Q138,)))))))))</f>
        <v>B24008</v>
      </c>
      <c r="E148" s="131" t="n">
        <f aca="false">IF($D$127=5,R136,IF($D$127=6,R136,IF($D$127=8,R137,IF($D$127=10,R137,IF($D$127=12,R137,IF($D$127=14,R138,IF($D$127=18,R138,IF($D$127=20,R138,IF($D$127=22,R138,)))))))))</f>
        <v>0.231</v>
      </c>
      <c r="F148" s="131" t="str">
        <f aca="false">IF($D$127=5,S136,IF($D$127=6,S136,IF($D$127=8,S137,IF($D$127=10,S137,IF($D$127=12,S137,IF($D$127=14,S138,IF($D$127=18,S138,IF($D$127=20,S138,IF($D$127=22,S138,)))))))))</f>
        <v>B24008-002</v>
      </c>
      <c r="G148" s="130" t="n">
        <f aca="false">IF($D$127=5,T136,IF($D$127=6,T136,IF($D$127=8,T137,IF($D$127=10,T137,IF($D$127=12,T137,IF($D$127=14,T138,IF($D$127=18,T138,IF($D$127=20,T138,IF($D$127=22,T138,)))))))))</f>
        <v>14</v>
      </c>
      <c r="H148" s="130" t="str">
        <f aca="false">IF($D$127=5,U136,IF($D$127=6,U136,IF($D$127=8,U137,IF($D$127=10,U137,IF($D$127=12,U137,IF($D$127=14,U138,IF($D$127=18,U138,IF($D$127=20,U138,IF($D$127=22,U138,)))))))))</f>
        <v>H-242</v>
      </c>
      <c r="I148" s="133" t="n">
        <f aca="false">IF($D$127=5,V136,IF($D$127=6,V136,IF($D$127=8,V137,IF($D$127=10,V137,IF($D$127=12,V137,IF($D$127=14,V138,IF($D$127=18,V138,IF($D$127=20,V138,IF($D$127=22,V138,)))))))))</f>
        <v>2258</v>
      </c>
      <c r="J148" s="134" t="n">
        <f aca="false">$J$120*G148</f>
        <v>14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535</v>
      </c>
      <c r="D149" s="132" t="s">
        <v>536</v>
      </c>
      <c r="E149" s="130"/>
      <c r="F149" s="132" t="s">
        <v>537</v>
      </c>
      <c r="G149" s="130" t="n">
        <v>1</v>
      </c>
      <c r="H149" s="130" t="s">
        <v>389</v>
      </c>
      <c r="I149" s="133" t="n">
        <f aca="false">$J$123-92</f>
        <v>2408</v>
      </c>
      <c r="J149" s="134" t="n">
        <f aca="false">$J$120*G149</f>
        <v>1</v>
      </c>
    </row>
    <row r="150" s="96" customFormat="true" ht="18" hidden="false" customHeight="true" outlineLevel="0" collapsed="false">
      <c r="A150" s="130" t="n">
        <f aca="false">IF(B150="","",+A149+1)</f>
        <v>18</v>
      </c>
      <c r="B150" s="131" t="s">
        <v>534</v>
      </c>
      <c r="C150" s="131" t="s">
        <v>535</v>
      </c>
      <c r="D150" s="132" t="s">
        <v>536</v>
      </c>
      <c r="E150" s="130"/>
      <c r="F150" s="132" t="s">
        <v>539</v>
      </c>
      <c r="G150" s="130" t="n">
        <v>1</v>
      </c>
      <c r="H150" s="130" t="s">
        <v>389</v>
      </c>
      <c r="I150" s="133" t="n">
        <f aca="false">$J$123-92</f>
        <v>2408</v>
      </c>
      <c r="J150" s="134" t="n">
        <f aca="false">$J$120*G150</f>
        <v>1</v>
      </c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42"/>
      <c r="J151" s="134" t="n">
        <f aca="false">$J$120*G151</f>
        <v>0</v>
      </c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IF(B153="","",+A151+1)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4390</v>
      </c>
      <c r="G155" s="155" t="n">
        <f aca="false">VLOOKUP(C155,$C$133:$J$153,8,0)</f>
        <v>1</v>
      </c>
      <c r="H155" s="264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VLOOKUP(C156,$C$133:$I$153,7,0)</f>
        <v>4364</v>
      </c>
      <c r="G156" s="155" t="n">
        <f aca="false">VLOOKUP(C156,$C$133:$J$153,8,0)</f>
        <v>1</v>
      </c>
      <c r="H156" s="310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VLOOKUP(C157,$C$133:$I$153,7,0)</f>
        <v>4390</v>
      </c>
      <c r="G157" s="155" t="n">
        <f aca="false">VLOOKUP(C157,$C$133:$J$153,8,0)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VLOOKUP(C158,$C$133:$I$153,7,0)</f>
        <v>4390</v>
      </c>
      <c r="G158" s="155" t="n">
        <f aca="false">VLOOKUP(C158,$C$133:$J$153,8,0)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VLOOKUP(C159,$C$133:$I$153,7,0)</f>
        <v>2500</v>
      </c>
      <c r="G159" s="155" t="n">
        <f aca="false">VLOOKUP(C159,$C$133:$J$153,8,0)</f>
        <v>1</v>
      </c>
      <c r="H159" s="160" t="n">
        <f aca="false">ROUNDUP(((F159*G159)+(F160*G160))/6400,0)</f>
        <v>1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VLOOKUP(C160,$C$133:$I$153,7,0)</f>
        <v>2500</v>
      </c>
      <c r="G160" s="155" t="n">
        <f aca="false">VLOOKUP(C160,$C$133:$J$153,8,0)</f>
        <v>1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314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VLOOKUP(C161,$C$133:$I$153,7,0)</f>
        <v>2404</v>
      </c>
      <c r="G161" s="155" t="n">
        <f aca="false">VLOOKUP(C161,$C$133:$J$153,8,0)</f>
        <v>1</v>
      </c>
      <c r="H161" s="160" t="n">
        <f aca="false">ROUNDUP(((F161*G161)+(F162*G162))/6400,0)</f>
        <v>1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314"/>
      <c r="E162" s="155" t="n">
        <f aca="false">VLOOKUP(C162,$C$133:$H$153,3,0)</f>
        <v>0.235</v>
      </c>
      <c r="F162" s="263" t="n">
        <f aca="false">VLOOKUP(C162,$C$133:$I$153,7,0)</f>
        <v>2404</v>
      </c>
      <c r="G162" s="155" t="n">
        <f aca="false">VLOOKUP(C162,$C$133:$J$153,8,0)</f>
        <v>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314" t="str">
        <f aca="false">VLOOKUP(C163,$C$133:$H$153,2,0)</f>
        <v>B24007</v>
      </c>
      <c r="E163" s="155" t="n">
        <f aca="false">VLOOKUP(C163,$C$133:$H$153,3,0)</f>
        <v>1.106</v>
      </c>
      <c r="F163" s="267" t="n">
        <f aca="false">VLOOKUP(C163,$C$133:$I$153,7,0)</f>
        <v>622.571428571429</v>
      </c>
      <c r="G163" s="155" t="n">
        <f aca="false">VLOOKUP(C163,$C$133:$J$153,8,0)</f>
        <v>7</v>
      </c>
      <c r="H163" s="160" t="n">
        <f aca="false">ROUNDUP(((F163*G163)+(F164*G164)+(F165*G165)+(F166*G166)+(F167*G167)+(F168*G168))/6400,0)</f>
        <v>8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314"/>
      <c r="E164" s="155" t="n">
        <f aca="false">VLOOKUP(C164,$C$133:$H$153,3,0)</f>
        <v>1.106</v>
      </c>
      <c r="F164" s="267" t="n">
        <f aca="false">VLOOKUP(C164,$C$133:$I$153,7,0)</f>
        <v>622.571428571429</v>
      </c>
      <c r="G164" s="155" t="n">
        <f aca="false">VLOOKUP(C164,$C$133:$J$153,8,0)</f>
        <v>7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314"/>
      <c r="E165" s="155" t="n">
        <f aca="false">VLOOKUP(C165,$C$133:$H$153,3,0)</f>
        <v>1.106</v>
      </c>
      <c r="F165" s="263" t="n">
        <f aca="false">VLOOKUP(C165,$C$133:$I$153,7,0)</f>
        <v>2408</v>
      </c>
      <c r="G165" s="155" t="n">
        <f aca="false">VLOOKUP(C165,$C$133:$J$153,8,0)</f>
        <v>10</v>
      </c>
      <c r="H165" s="160"/>
      <c r="I165" s="161"/>
      <c r="J165" s="161"/>
    </row>
    <row r="166" s="96" customFormat="true" ht="13.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314"/>
      <c r="E166" s="155" t="n">
        <f aca="false">VLOOKUP(C166,$C$133:$H$153,3,0)</f>
        <v>1.106</v>
      </c>
      <c r="F166" s="263" t="n">
        <f aca="false">VLOOKUP(C166,$C$133:$I$153,7,0)</f>
        <v>2408</v>
      </c>
      <c r="G166" s="155" t="n">
        <f aca="false">VLOOKUP(C166,$C$133:$J$153,8,0)</f>
        <v>2</v>
      </c>
      <c r="H166" s="160"/>
      <c r="I166" s="161"/>
      <c r="J166" s="161"/>
    </row>
    <row r="167" s="96" customFormat="true" ht="13.5" hidden="false" customHeight="true" outlineLevel="1" collapsed="false">
      <c r="A167" s="158" t="n">
        <f aca="false">IF(B167="","",+A166+1)</f>
        <v>13</v>
      </c>
      <c r="B167" s="153" t="str">
        <f aca="false">B145</f>
        <v>เสากุญแจ</v>
      </c>
      <c r="C167" s="153" t="str">
        <f aca="false">C145</f>
        <v>SASH (Ver) LOCK </v>
      </c>
      <c r="D167" s="314"/>
      <c r="E167" s="155" t="n">
        <f aca="false">VLOOKUP(C167,$C$133:$H$153,3,0)</f>
        <v>1.106</v>
      </c>
      <c r="F167" s="263" t="n">
        <f aca="false">VLOOKUP(C167,$C$133:$I$153,7,0)</f>
        <v>2408</v>
      </c>
      <c r="G167" s="155" t="n">
        <f aca="false">VLOOKUP(C167,$C$133:$J$153,8,0)</f>
        <v>2</v>
      </c>
      <c r="H167" s="160"/>
      <c r="I167" s="161"/>
      <c r="J167" s="161"/>
    </row>
    <row r="168" s="96" customFormat="true" ht="15" hidden="false" customHeight="true" outlineLevel="1" collapsed="false">
      <c r="A168" s="158" t="n">
        <f aca="false">IF(B168="","",+A167+1)</f>
        <v>14</v>
      </c>
      <c r="B168" s="153" t="str">
        <f aca="false">B146</f>
        <v>เสากุญแจมือจับ</v>
      </c>
      <c r="C168" s="153" t="str">
        <f aca="false">C146</f>
        <v>SASH (Ver) LOCK HANDLE</v>
      </c>
      <c r="D168" s="314"/>
      <c r="E168" s="155" t="n">
        <f aca="false">VLOOKUP(C168,$C$133:$H$153,3,0)</f>
        <v>1.106</v>
      </c>
      <c r="F168" s="263" t="n">
        <f aca="false">VLOOKUP(C168,$C$133:$I$153,7,0)</f>
        <v>2408</v>
      </c>
      <c r="G168" s="155" t="n">
        <f aca="false">VLOOKUP(C168,$C$133:$J$153,8,0)</f>
        <v>1</v>
      </c>
      <c r="H168" s="160"/>
      <c r="I168" s="265"/>
      <c r="J168" s="265"/>
    </row>
    <row r="169" s="96" customFormat="true" ht="13.5" hidden="false" customHeight="true" outlineLevel="1" collapsed="false">
      <c r="A169" s="158" t="n">
        <f aca="false">IF(B169="","",+A168+1)</f>
        <v>15</v>
      </c>
      <c r="B169" s="153" t="str">
        <f aca="false">B147</f>
        <v>5-6mm คิ้วตบกระจกแนวนอน</v>
      </c>
      <c r="C169" s="153" t="str">
        <f aca="false">C147</f>
        <v>5-6mm GLAZING BEAD HORIZONTAL</v>
      </c>
      <c r="D169" s="314" t="str">
        <f aca="false">VLOOKUP(C169,$C$133:$H$153,2,0)</f>
        <v>B24008</v>
      </c>
      <c r="E169" s="155" t="n">
        <f aca="false">VLOOKUP(C169,$C$133:$H$153,3,0)</f>
        <v>0.231</v>
      </c>
      <c r="F169" s="267" t="n">
        <f aca="false">VLOOKUP(C169,$C$133:$I$153,7,0)</f>
        <v>512.214285714286</v>
      </c>
      <c r="G169" s="155" t="n">
        <f aca="false">VLOOKUP(C169,$C$133:$J$153,8,0)</f>
        <v>14</v>
      </c>
      <c r="H169" s="160" t="n">
        <f aca="false">ROUNDUP(((F169*G169)+(F170*G170))/6400,0)</f>
        <v>7</v>
      </c>
      <c r="I169" s="196"/>
      <c r="J169" s="196"/>
    </row>
    <row r="170" s="96" customFormat="true" ht="15" hidden="false" customHeight="true" outlineLevel="1" collapsed="false">
      <c r="A170" s="158" t="n">
        <f aca="false">IF(B170="","",+A169+1)</f>
        <v>16</v>
      </c>
      <c r="B170" s="153" t="str">
        <f aca="false">B148</f>
        <v>5-6mm คิ้วตบกระจกแนวตั้ง</v>
      </c>
      <c r="C170" s="153" t="str">
        <f aca="false">C148</f>
        <v>5-6mm GLAZING BEAD VERTICAL</v>
      </c>
      <c r="D170" s="314"/>
      <c r="E170" s="155" t="n">
        <f aca="false">VLOOKUP(C170,$C$133:$H$153,3,0)</f>
        <v>0.231</v>
      </c>
      <c r="F170" s="263" t="n">
        <f aca="false">VLOOKUP(C170,$C$133:$I$153,7,0)</f>
        <v>2258</v>
      </c>
      <c r="G170" s="155" t="n">
        <f aca="false">VLOOKUP(C170,$C$133:$J$153,8,0)</f>
        <v>14</v>
      </c>
      <c r="H170" s="160"/>
      <c r="I170" s="196"/>
      <c r="J170" s="196"/>
    </row>
    <row r="171" s="96" customFormat="true" ht="13.5" hidden="false" customHeight="true" outlineLevel="1" collapsed="false">
      <c r="A171" s="158" t="n">
        <f aca="false">IF(B171="","",+A170+1)</f>
        <v>17</v>
      </c>
      <c r="B171" s="153" t="str">
        <f aca="false">B149</f>
        <v>บังใบ</v>
      </c>
      <c r="C171" s="153" t="str">
        <f aca="false">C149</f>
        <v>SASH STOP</v>
      </c>
      <c r="D171" s="304" t="str">
        <f aca="false">VLOOKUP(C171,$C$133:$H$153,2,0)</f>
        <v>B24009</v>
      </c>
      <c r="E171" s="155" t="n">
        <f aca="false">VLOOKUP(C171,$C$133:$H$153,3,0)</f>
        <v>0</v>
      </c>
      <c r="F171" s="263" t="n">
        <f aca="false">VLOOKUP(C171,$C$133:$I$153,7,0)</f>
        <v>2408</v>
      </c>
      <c r="G171" s="155" t="n">
        <f aca="false">VLOOKUP(C171,$C$133:$J$153,8,0)</f>
        <v>1</v>
      </c>
      <c r="H171" s="160" t="n">
        <f aca="false">ROUNDUP(((F171*G171)+(F172*G172))/6400,0)</f>
        <v>1</v>
      </c>
      <c r="I171" s="196"/>
      <c r="J171" s="196"/>
    </row>
    <row r="172" s="96" customFormat="true" ht="14.25" hidden="false" customHeight="false" outlineLevel="1" collapsed="false">
      <c r="A172" s="158" t="n">
        <f aca="false">IF(B172="","",+A171+1)</f>
        <v>18</v>
      </c>
      <c r="B172" s="153" t="str">
        <f aca="false">B150</f>
        <v>บังใบ</v>
      </c>
      <c r="C172" s="153" t="str">
        <f aca="false">C150</f>
        <v>SASH STOP</v>
      </c>
      <c r="D172" s="304"/>
      <c r="E172" s="155" t="n">
        <f aca="false">VLOOKUP(C172,$C$133:$H$153,3,0)</f>
        <v>0</v>
      </c>
      <c r="F172" s="263" t="n">
        <f aca="false">VLOOKUP(C172,$C$133:$I$153,7,0)</f>
        <v>2408</v>
      </c>
      <c r="G172" s="155" t="n">
        <f aca="false">VLOOKUP(C172,$C$133:$J$153,8,0)</f>
        <v>1</v>
      </c>
      <c r="H172" s="160"/>
      <c r="I172" s="196"/>
      <c r="J172" s="196"/>
    </row>
    <row r="173" s="96" customFormat="true" ht="24.75" hidden="false" customHeight="true" outlineLevel="0" collapsed="false">
      <c r="A173" s="113" t="s">
        <v>396</v>
      </c>
      <c r="B173" s="113"/>
      <c r="C173" s="113"/>
      <c r="D173" s="113"/>
      <c r="E173" s="113"/>
      <c r="F173" s="113"/>
      <c r="G173" s="113"/>
      <c r="H173" s="113"/>
      <c r="I173" s="113"/>
      <c r="J173" s="113"/>
    </row>
    <row r="174" s="96" customFormat="true" ht="34.5" hidden="false" customHeight="true" outlineLevel="0" collapsed="false">
      <c r="A174" s="114" t="s">
        <v>319</v>
      </c>
      <c r="B174" s="115" t="s">
        <v>320</v>
      </c>
      <c r="C174" s="115" t="s">
        <v>168</v>
      </c>
      <c r="D174" s="115" t="s">
        <v>397</v>
      </c>
      <c r="E174" s="115" t="s">
        <v>321</v>
      </c>
      <c r="F174" s="116" t="s">
        <v>398</v>
      </c>
      <c r="G174" s="115" t="s">
        <v>399</v>
      </c>
      <c r="H174" s="116" t="s">
        <v>400</v>
      </c>
      <c r="I174" s="116" t="s">
        <v>401</v>
      </c>
      <c r="J174" s="117" t="s">
        <v>402</v>
      </c>
      <c r="N174" s="107" t="s">
        <v>288</v>
      </c>
      <c r="O174" s="165" t="s">
        <v>320</v>
      </c>
      <c r="P174" s="165" t="s">
        <v>168</v>
      </c>
      <c r="Q174" s="165" t="s">
        <v>397</v>
      </c>
      <c r="R174" s="165" t="s">
        <v>321</v>
      </c>
      <c r="S174" s="165" t="s">
        <v>398</v>
      </c>
      <c r="T174" s="165" t="s">
        <v>399</v>
      </c>
      <c r="U174" s="165" t="s">
        <v>400</v>
      </c>
      <c r="V174" s="165" t="s">
        <v>401</v>
      </c>
      <c r="W174" s="165" t="s">
        <v>402</v>
      </c>
    </row>
    <row r="175" s="96" customFormat="true" ht="18" hidden="false" customHeight="true" outlineLevel="0" collapsed="false">
      <c r="A175" s="166" t="n">
        <f aca="false">IF(B175="","",1)</f>
        <v>1</v>
      </c>
      <c r="B175" s="131" t="s">
        <v>410</v>
      </c>
      <c r="C175" s="131" t="s">
        <v>411</v>
      </c>
      <c r="D175" s="132" t="s">
        <v>267</v>
      </c>
      <c r="E175" s="130"/>
      <c r="F175" s="130" t="s">
        <v>267</v>
      </c>
      <c r="G175" s="130" t="s">
        <v>405</v>
      </c>
      <c r="H175" s="130" t="n">
        <v>14</v>
      </c>
      <c r="I175" s="133"/>
      <c r="J175" s="134" t="n">
        <f aca="false">$J$120*H175</f>
        <v>14</v>
      </c>
      <c r="N175" s="107" t="s">
        <v>406</v>
      </c>
      <c r="O175" s="55" t="s">
        <v>407</v>
      </c>
      <c r="P175" s="62" t="s">
        <v>408</v>
      </c>
      <c r="Q175" s="55" t="s">
        <v>227</v>
      </c>
      <c r="R175" s="158"/>
      <c r="S175" s="158" t="s">
        <v>227</v>
      </c>
      <c r="T175" s="158" t="s">
        <v>409</v>
      </c>
      <c r="U175" s="168" t="n">
        <f aca="false">((($I$141*$G$141)+($I$142*$G$142)+($I$143*$G$143)+($I$144*$G$144)+($I$145*$G$145)+($I$146*$G$146))/1000)*$J$120</f>
        <v>42.428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2</v>
      </c>
      <c r="B176" s="131" t="s">
        <v>415</v>
      </c>
      <c r="C176" s="131" t="s">
        <v>416</v>
      </c>
      <c r="D176" s="132" t="s">
        <v>222</v>
      </c>
      <c r="E176" s="130"/>
      <c r="F176" s="130" t="s">
        <v>222</v>
      </c>
      <c r="G176" s="130" t="s">
        <v>405</v>
      </c>
      <c r="H176" s="130" t="n">
        <v>2</v>
      </c>
      <c r="I176" s="133"/>
      <c r="J176" s="134" t="n">
        <f aca="false">$J$120*H176</f>
        <v>2</v>
      </c>
      <c r="N176" s="107" t="s">
        <v>412</v>
      </c>
      <c r="O176" s="55" t="s">
        <v>413</v>
      </c>
      <c r="P176" s="62" t="s">
        <v>414</v>
      </c>
      <c r="Q176" s="55" t="s">
        <v>234</v>
      </c>
      <c r="R176" s="158"/>
      <c r="S176" s="158" t="s">
        <v>234</v>
      </c>
      <c r="T176" s="158" t="s">
        <v>409</v>
      </c>
      <c r="U176" s="168" t="n">
        <f aca="false">((($I$141*$G$141)+($I$142*$G$142)+($I$143*$G$143)+($I$144*$G$144)+($I$145*$G$145)+($I$146*$G$146))/1000)*$J$120</f>
        <v>42.428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3</v>
      </c>
      <c r="B177" s="131" t="s">
        <v>420</v>
      </c>
      <c r="C177" s="131" t="s">
        <v>421</v>
      </c>
      <c r="D177" s="132" t="s">
        <v>225</v>
      </c>
      <c r="E177" s="130"/>
      <c r="F177" s="130" t="s">
        <v>225</v>
      </c>
      <c r="G177" s="130" t="s">
        <v>405</v>
      </c>
      <c r="H177" s="130" t="n">
        <v>2</v>
      </c>
      <c r="I177" s="133"/>
      <c r="J177" s="134" t="n">
        <f aca="false">$J$120*H177</f>
        <v>2</v>
      </c>
      <c r="N177" s="107" t="s">
        <v>417</v>
      </c>
      <c r="O177" s="62" t="s">
        <v>418</v>
      </c>
      <c r="P177" s="62" t="s">
        <v>419</v>
      </c>
      <c r="Q177" s="55" t="s">
        <v>236</v>
      </c>
      <c r="R177" s="158"/>
      <c r="S177" s="158" t="s">
        <v>236</v>
      </c>
      <c r="T177" s="158" t="s">
        <v>409</v>
      </c>
      <c r="U177" s="168" t="n">
        <f aca="false">((($I$141*$G$141)+($I$142*$G$142)+($I$143*$G$143)+($I$144*$G$144)+($I$145*$G$145)+($I$146*$G$146))/1000)*$J$120</f>
        <v>42.428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4</v>
      </c>
      <c r="B178" s="131" t="s">
        <v>425</v>
      </c>
      <c r="C178" s="131" t="s">
        <v>426</v>
      </c>
      <c r="D178" s="132" t="n">
        <v>9</v>
      </c>
      <c r="E178" s="130"/>
      <c r="F178" s="130" t="n">
        <v>9</v>
      </c>
      <c r="G178" s="130" t="s">
        <v>405</v>
      </c>
      <c r="H178" s="130" t="n">
        <v>8</v>
      </c>
      <c r="I178" s="133"/>
      <c r="J178" s="134" t="n">
        <f aca="false">$J$120*H178</f>
        <v>8</v>
      </c>
      <c r="N178" s="107" t="s">
        <v>422</v>
      </c>
      <c r="O178" s="62" t="s">
        <v>423</v>
      </c>
      <c r="P178" s="62" t="s">
        <v>424</v>
      </c>
      <c r="Q178" s="55" t="s">
        <v>238</v>
      </c>
      <c r="R178" s="158"/>
      <c r="S178" s="158" t="s">
        <v>238</v>
      </c>
      <c r="T178" s="158" t="s">
        <v>409</v>
      </c>
      <c r="U178" s="168" t="n">
        <f aca="false">((($I$141*$G$141)+($I$142*$G$142)+($I$143*$G$143)+($I$144*$G$144)+($I$145*$G$145)+($I$146*$G$146))/1000)*$J$120</f>
        <v>42.428</v>
      </c>
      <c r="V178" s="168" t="n">
        <v>100</v>
      </c>
      <c r="W178" s="169" t="n">
        <f aca="false">ROUNDUP((U178)/100,0)</f>
        <v>1</v>
      </c>
    </row>
    <row r="179" s="96" customFormat="true" ht="18" hidden="false" customHeight="true" outlineLevel="0" collapsed="false">
      <c r="A179" s="170" t="n">
        <f aca="false">IF(B179="","",+A178+1)</f>
        <v>5</v>
      </c>
      <c r="B179" s="131" t="s">
        <v>430</v>
      </c>
      <c r="C179" s="131" t="s">
        <v>431</v>
      </c>
      <c r="D179" s="132" t="n">
        <v>9</v>
      </c>
      <c r="E179" s="130"/>
      <c r="F179" s="130" t="n">
        <v>9</v>
      </c>
      <c r="G179" s="130" t="s">
        <v>405</v>
      </c>
      <c r="H179" s="130" t="n">
        <v>110</v>
      </c>
      <c r="I179" s="133"/>
      <c r="J179" s="134" t="n">
        <f aca="false">$J$120*H179</f>
        <v>110</v>
      </c>
      <c r="N179" s="107" t="s">
        <v>427</v>
      </c>
      <c r="O179" s="62" t="s">
        <v>428</v>
      </c>
      <c r="P179" s="62" t="s">
        <v>429</v>
      </c>
      <c r="Q179" s="55" t="s">
        <v>240</v>
      </c>
      <c r="R179" s="158"/>
      <c r="S179" s="158" t="s">
        <v>240</v>
      </c>
      <c r="T179" s="158" t="s">
        <v>409</v>
      </c>
      <c r="U179" s="168" t="n">
        <f aca="false">((($I$141*$G$141)+($I$142*$G$142)+($I$143*$G$143)+($I$144*$G$144)+($I$145*$G$145)+($I$146*$G$146))/1000)*$J$120</f>
        <v>42.428</v>
      </c>
      <c r="V179" s="168" t="n">
        <v>100</v>
      </c>
      <c r="W179" s="169" t="n">
        <f aca="false">ROUNDUP((U179)/100,0)</f>
        <v>1</v>
      </c>
    </row>
    <row r="180" s="96" customFormat="true" ht="18" hidden="false" customHeight="true" outlineLevel="0" collapsed="false">
      <c r="A180" s="170" t="n">
        <f aca="false">IF(B180="","",+A179+1)</f>
        <v>6</v>
      </c>
      <c r="B180" s="131" t="s">
        <v>603</v>
      </c>
      <c r="C180" s="131" t="s">
        <v>438</v>
      </c>
      <c r="D180" s="132" t="s">
        <v>4</v>
      </c>
      <c r="E180" s="130"/>
      <c r="F180" s="130" t="s">
        <v>4</v>
      </c>
      <c r="G180" s="130" t="s">
        <v>434</v>
      </c>
      <c r="H180" s="130" t="n">
        <v>2</v>
      </c>
      <c r="I180" s="133"/>
      <c r="J180" s="134" t="n">
        <f aca="false">$J$120*H180</f>
        <v>2</v>
      </c>
    </row>
    <row r="181" s="96" customFormat="true" ht="18" hidden="false" customHeight="true" outlineLevel="0" collapsed="false">
      <c r="A181" s="170" t="n">
        <f aca="false">IF(B181="","",+A180+1)</f>
        <v>7</v>
      </c>
      <c r="B181" s="131" t="s">
        <v>556</v>
      </c>
      <c r="C181" s="131" t="s">
        <v>557</v>
      </c>
      <c r="D181" s="132" t="s">
        <v>5</v>
      </c>
      <c r="E181" s="130"/>
      <c r="F181" s="130" t="s">
        <v>5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8</v>
      </c>
      <c r="B182" s="131" t="s">
        <v>432</v>
      </c>
      <c r="C182" s="131" t="s">
        <v>433</v>
      </c>
      <c r="D182" s="132" t="s">
        <v>6</v>
      </c>
      <c r="E182" s="130"/>
      <c r="F182" s="130" t="s">
        <v>6</v>
      </c>
      <c r="G182" s="130" t="s">
        <v>434</v>
      </c>
      <c r="H182" s="130" t="n">
        <v>1</v>
      </c>
      <c r="I182" s="133"/>
      <c r="J182" s="134" t="n">
        <f aca="false">$J$120*H182</f>
        <v>1</v>
      </c>
    </row>
    <row r="183" s="96" customFormat="true" ht="18" hidden="false" customHeight="true" outlineLevel="0" collapsed="false">
      <c r="A183" s="170" t="n">
        <f aca="false">IF(B183="","",+A182+1)</f>
        <v>9</v>
      </c>
      <c r="B183" s="131" t="s">
        <v>512</v>
      </c>
      <c r="C183" s="131" t="s">
        <v>513</v>
      </c>
      <c r="D183" s="132" t="s">
        <v>7</v>
      </c>
      <c r="E183" s="130"/>
      <c r="F183" s="130" t="s">
        <v>7</v>
      </c>
      <c r="G183" s="130" t="s">
        <v>434</v>
      </c>
      <c r="H183" s="130" t="n">
        <v>1</v>
      </c>
      <c r="I183" s="133"/>
      <c r="J183" s="134" t="n">
        <f aca="false">$J$120*H183</f>
        <v>1</v>
      </c>
    </row>
    <row r="184" s="96" customFormat="true" ht="18" hidden="false" customHeight="true" outlineLevel="0" collapsed="false">
      <c r="A184" s="170" t="n">
        <f aca="false">IF(B184="","",+A183+1)</f>
        <v>10</v>
      </c>
      <c r="B184" s="131" t="s">
        <v>554</v>
      </c>
      <c r="C184" s="131" t="s">
        <v>555</v>
      </c>
      <c r="D184" s="132" t="s">
        <v>11</v>
      </c>
      <c r="E184" s="130"/>
      <c r="F184" s="130" t="s">
        <v>11</v>
      </c>
      <c r="G184" s="130" t="s">
        <v>434</v>
      </c>
      <c r="H184" s="130" t="n">
        <v>2</v>
      </c>
      <c r="I184" s="133"/>
      <c r="J184" s="134" t="n">
        <f aca="false">$J$120*H184</f>
        <v>2</v>
      </c>
      <c r="Q184" s="172"/>
      <c r="R184" s="172"/>
      <c r="S184" s="172"/>
      <c r="T184" s="97"/>
      <c r="U184" s="97"/>
      <c r="V184" s="97"/>
    </row>
    <row r="185" s="96" customFormat="true" ht="18" hidden="false" customHeight="true" outlineLevel="0" collapsed="false">
      <c r="A185" s="170" t="n">
        <f aca="false">IF(B185="","",+A184+1)</f>
        <v>11</v>
      </c>
      <c r="B185" s="131" t="s">
        <v>514</v>
      </c>
      <c r="C185" s="131" t="s">
        <v>515</v>
      </c>
      <c r="D185" s="132" t="s">
        <v>8</v>
      </c>
      <c r="E185" s="130"/>
      <c r="F185" s="130" t="s">
        <v>8</v>
      </c>
      <c r="G185" s="130" t="s">
        <v>434</v>
      </c>
      <c r="H185" s="130" t="n">
        <v>1</v>
      </c>
      <c r="I185" s="142"/>
      <c r="J185" s="134" t="n">
        <f aca="false">$J$120*H185</f>
        <v>1</v>
      </c>
      <c r="N185" s="107" t="s">
        <v>289</v>
      </c>
      <c r="O185" s="165" t="s">
        <v>320</v>
      </c>
      <c r="P185" s="165" t="s">
        <v>168</v>
      </c>
      <c r="Q185" s="165" t="s">
        <v>397</v>
      </c>
      <c r="R185" s="165" t="s">
        <v>321</v>
      </c>
      <c r="S185" s="165" t="s">
        <v>398</v>
      </c>
      <c r="T185" s="165" t="s">
        <v>399</v>
      </c>
      <c r="U185" s="165" t="s">
        <v>400</v>
      </c>
      <c r="V185" s="165" t="s">
        <v>401</v>
      </c>
      <c r="W185" s="165" t="s">
        <v>402</v>
      </c>
    </row>
    <row r="186" s="96" customFormat="true" ht="18" hidden="false" customHeight="true" outlineLevel="0" collapsed="false">
      <c r="A186" s="170" t="n">
        <f aca="false">IF(B186="","",+A185+1)</f>
        <v>12</v>
      </c>
      <c r="B186" s="131" t="s">
        <v>439</v>
      </c>
      <c r="C186" s="131" t="s">
        <v>440</v>
      </c>
      <c r="D186" s="132" t="s">
        <v>12</v>
      </c>
      <c r="E186" s="130"/>
      <c r="F186" s="130" t="s">
        <v>12</v>
      </c>
      <c r="G186" s="130" t="s">
        <v>434</v>
      </c>
      <c r="H186" s="130" t="n">
        <v>3</v>
      </c>
      <c r="I186" s="142"/>
      <c r="J186" s="134" t="n">
        <f aca="false">$J$120*H186</f>
        <v>3</v>
      </c>
      <c r="N186" s="107" t="s">
        <v>445</v>
      </c>
      <c r="O186" s="62" t="s">
        <v>446</v>
      </c>
      <c r="P186" s="62" t="s">
        <v>447</v>
      </c>
      <c r="Q186" s="55" t="s">
        <v>230</v>
      </c>
      <c r="R186" s="158"/>
      <c r="S186" s="158" t="s">
        <v>230</v>
      </c>
      <c r="T186" s="158" t="s">
        <v>409</v>
      </c>
      <c r="U186" s="168" t="n">
        <f aca="false">((($I$134*$G$134)+($I$136*$G$136)+($I$139*$G$139))/1000)*$J$120</f>
        <v>11.158</v>
      </c>
      <c r="V186" s="168" t="n">
        <v>300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13</v>
      </c>
      <c r="B187" s="131" t="s">
        <v>403</v>
      </c>
      <c r="C187" s="131" t="s">
        <v>404</v>
      </c>
      <c r="D187" s="132" t="s">
        <v>276</v>
      </c>
      <c r="E187" s="130"/>
      <c r="F187" s="130" t="s">
        <v>276</v>
      </c>
      <c r="G187" s="130" t="s">
        <v>405</v>
      </c>
      <c r="H187" s="130" t="n">
        <v>3</v>
      </c>
      <c r="I187" s="133"/>
      <c r="J187" s="134" t="n">
        <f aca="false">$J$120*H187</f>
        <v>3</v>
      </c>
      <c r="N187" s="107" t="s">
        <v>448</v>
      </c>
      <c r="O187" s="62" t="s">
        <v>449</v>
      </c>
      <c r="P187" s="62" t="s">
        <v>450</v>
      </c>
      <c r="Q187" s="55" t="s">
        <v>451</v>
      </c>
      <c r="R187" s="158"/>
      <c r="S187" s="158" t="s">
        <v>451</v>
      </c>
      <c r="T187" s="158" t="s">
        <v>409</v>
      </c>
      <c r="U187" s="168" t="n">
        <f aca="false">((($I$134*$G$134)+($I$136*$G$136)+($I$139*$G$139))/1000)*$J$120</f>
        <v>11.158</v>
      </c>
      <c r="V187" s="168" t="n">
        <v>100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14</v>
      </c>
      <c r="B188" s="131" t="s">
        <v>540</v>
      </c>
      <c r="C188" s="131" t="s">
        <v>541</v>
      </c>
      <c r="D188" s="132" t="s">
        <v>542</v>
      </c>
      <c r="E188" s="130"/>
      <c r="F188" s="130" t="s">
        <v>542</v>
      </c>
      <c r="G188" s="130" t="s">
        <v>434</v>
      </c>
      <c r="H188" s="130" t="n">
        <v>1</v>
      </c>
      <c r="I188" s="133"/>
      <c r="J188" s="134" t="n">
        <f aca="false">$J$120*H188</f>
        <v>1</v>
      </c>
      <c r="N188" s="107" t="s">
        <v>445</v>
      </c>
      <c r="O188" s="62" t="s">
        <v>452</v>
      </c>
      <c r="P188" s="62" t="s">
        <v>453</v>
      </c>
      <c r="Q188" s="55" t="s">
        <v>232</v>
      </c>
      <c r="R188" s="158"/>
      <c r="S188" s="158" t="s">
        <v>232</v>
      </c>
      <c r="T188" s="158" t="s">
        <v>409</v>
      </c>
      <c r="U188" s="168" t="n">
        <f aca="false">((($I$141*$G$141*2)+($I$143*$G$143*2)+($I$144*$G$144*2))/1000)*$J$120</f>
        <v>66.508</v>
      </c>
      <c r="V188" s="168" t="n">
        <v>350</v>
      </c>
      <c r="W188" s="169" t="n">
        <f aca="false">ROUNDUP((U188)/V188,0)</f>
        <v>1</v>
      </c>
    </row>
    <row r="189" s="96" customFormat="true" ht="18" hidden="false" customHeight="true" outlineLevel="0" collapsed="false">
      <c r="A189" s="170" t="n">
        <f aca="false">IF(B189="","",+A188+1)</f>
        <v>15</v>
      </c>
      <c r="B189" s="131" t="s">
        <v>441</v>
      </c>
      <c r="C189" s="131" t="s">
        <v>442</v>
      </c>
      <c r="D189" s="132" t="s">
        <v>274</v>
      </c>
      <c r="E189" s="130"/>
      <c r="F189" s="130" t="s">
        <v>274</v>
      </c>
      <c r="G189" s="130" t="s">
        <v>405</v>
      </c>
      <c r="H189" s="130" t="n">
        <v>6</v>
      </c>
      <c r="I189" s="133"/>
      <c r="J189" s="134" t="n">
        <f aca="false">$J$120*H189</f>
        <v>6</v>
      </c>
      <c r="N189" s="107" t="s">
        <v>448</v>
      </c>
      <c r="O189" s="62" t="s">
        <v>454</v>
      </c>
      <c r="P189" s="62" t="s">
        <v>455</v>
      </c>
      <c r="Q189" s="55" t="s">
        <v>456</v>
      </c>
      <c r="R189" s="158"/>
      <c r="S189" s="158" t="s">
        <v>456</v>
      </c>
      <c r="T189" s="158" t="s">
        <v>409</v>
      </c>
      <c r="U189" s="168" t="n">
        <f aca="false">((($I$141*$G$141*2)+($I$143*$G$143*2)+($I$144*$G$144*2))/1000)*$J$120</f>
        <v>66.508</v>
      </c>
      <c r="V189" s="168" t="n">
        <v>100</v>
      </c>
      <c r="W189" s="169" t="n">
        <f aca="false">ROUNDUP((U189)/V189,0)</f>
        <v>1</v>
      </c>
    </row>
    <row r="190" s="96" customFormat="true" ht="18" hidden="false" customHeight="true" outlineLevel="0" collapsed="false">
      <c r="A190" s="170" t="n">
        <f aca="false">IF(B190="","",+A189+1)</f>
        <v>16</v>
      </c>
      <c r="B190" s="131" t="s">
        <v>443</v>
      </c>
      <c r="C190" s="131" t="s">
        <v>444</v>
      </c>
      <c r="D190" s="132" t="s">
        <v>272</v>
      </c>
      <c r="E190" s="130"/>
      <c r="F190" s="130" t="s">
        <v>272</v>
      </c>
      <c r="G190" s="130" t="s">
        <v>405</v>
      </c>
      <c r="H190" s="130" t="n">
        <v>1</v>
      </c>
      <c r="I190" s="133"/>
      <c r="J190" s="134" t="n">
        <f aca="false">$J$120*H190</f>
        <v>1</v>
      </c>
    </row>
    <row r="191" s="96" customFormat="true" ht="18" hidden="false" customHeight="true" outlineLevel="0" collapsed="false">
      <c r="A191" s="170" t="n">
        <f aca="false">IF(B191="","",+A190+1)</f>
        <v>17</v>
      </c>
      <c r="B191" s="131" t="s">
        <v>580</v>
      </c>
      <c r="C191" s="131" t="s">
        <v>581</v>
      </c>
      <c r="D191" s="132" t="s">
        <v>582</v>
      </c>
      <c r="E191" s="130"/>
      <c r="F191" s="130" t="s">
        <v>582</v>
      </c>
      <c r="G191" s="130" t="s">
        <v>409</v>
      </c>
      <c r="H191" s="173" t="n">
        <f aca="false">((($I$149*$G$149)+($I$150*$G$150))/1000)*$J$120</f>
        <v>4.816</v>
      </c>
      <c r="I191" s="174" t="n">
        <v>100</v>
      </c>
      <c r="J191" s="175" t="n">
        <f aca="false">ROUNDUP((H191)/100,0)</f>
        <v>1</v>
      </c>
    </row>
    <row r="192" s="96" customFormat="true" ht="18" hidden="false" customHeight="true" outlineLevel="0" collapsed="false">
      <c r="A192" s="170" t="n">
        <f aca="false">IF(B192="","",+A191+1)</f>
        <v>18</v>
      </c>
      <c r="B192" s="131" t="s">
        <v>583</v>
      </c>
      <c r="C192" s="131" t="s">
        <v>584</v>
      </c>
      <c r="D192" s="132" t="s">
        <v>585</v>
      </c>
      <c r="E192" s="130"/>
      <c r="F192" s="130" t="s">
        <v>585</v>
      </c>
      <c r="G192" s="130" t="s">
        <v>409</v>
      </c>
      <c r="H192" s="173" t="n">
        <f aca="false">(((I145*G145)+($I$146*$G$146))/1000)*$J$120</f>
        <v>4.816</v>
      </c>
      <c r="I192" s="174" t="n">
        <v>100</v>
      </c>
      <c r="J192" s="175" t="n">
        <f aca="false">ROUNDUP((H192)/100,0)</f>
        <v>1</v>
      </c>
    </row>
    <row r="193" s="96" customFormat="true" ht="18" hidden="false" customHeight="true" outlineLevel="0" collapsed="false">
      <c r="A193" s="170" t="n">
        <f aca="false">IF(B193="","",+A192+1)</f>
        <v>19</v>
      </c>
      <c r="B193" s="132" t="str">
        <f aca="false">IF($D$129="Standard",$O$186,IF($D$129="Soumdproof",$O$187,))</f>
        <v>ยางเฟรมกันน้ำ (ธรรมดา)</v>
      </c>
      <c r="C193" s="132" t="str">
        <f aca="false">IF($D$129="Standard",$P$186,IF($D$129="Soumdproof",$P$187,))</f>
        <v>FRAME SEAL (Standard)</v>
      </c>
      <c r="D193" s="132" t="str">
        <f aca="false">IF($D$129="Standard",$Q$186,IF($D$129="Soumdproof",$Q$187,))</f>
        <v>02-026</v>
      </c>
      <c r="E193" s="130" t="n">
        <f aca="false">IF($D$129="Standard",R191,IF($D$129="Soumdproof",R192,))</f>
        <v>0</v>
      </c>
      <c r="F193" s="130" t="str">
        <f aca="false">IF($D$129="Standard",$S$186,IF($D$129="Soumdproof",$S$187,))</f>
        <v>02-026</v>
      </c>
      <c r="G193" s="130" t="str">
        <f aca="false">IF($D$129="Standard",$T$186,IF($D$129="Soumdproof",$T$187,))</f>
        <v>M</v>
      </c>
      <c r="H193" s="173" t="n">
        <f aca="false">IF($D$129="Standard",$U$186,IF($D$129="Soumdproof",$U$187,))</f>
        <v>11.158</v>
      </c>
      <c r="I193" s="174" t="n">
        <f aca="false">IF($D$129="Standard",$V$186,IF($D$129="Soumdproof",$V$187,))</f>
        <v>300</v>
      </c>
      <c r="J193" s="175" t="n">
        <f aca="false">ROUNDUP((H193)/100,0)</f>
        <v>1</v>
      </c>
    </row>
    <row r="194" s="96" customFormat="true" ht="18" hidden="false" customHeight="true" outlineLevel="0" collapsed="false">
      <c r="A194" s="170" t="n">
        <f aca="false">IF(B194="","",+A193+1)</f>
        <v>20</v>
      </c>
      <c r="B194" s="132" t="str">
        <f aca="false">IF($D$129="Standard",$O$188,IF($D$129="Soumdproof",$O$189,))</f>
        <v>ยางแซชกันน้ำ (ธรรมดา)</v>
      </c>
      <c r="C194" s="132" t="str">
        <f aca="false">IF($D$129="Standard",$P$188,IF($D$129="Soumdproof",$P$189,))</f>
        <v>SASH SEAL FOAM (Standard)</v>
      </c>
      <c r="D194" s="132" t="str">
        <f aca="false">IF($D$129="Standard",$Q$188,IF($D$129="Soumdproof",$Q$189,))</f>
        <v>02-031</v>
      </c>
      <c r="E194" s="130" t="n">
        <f aca="false">IF($D$129="Standard",R193,IF($D$129="Soumdproof",R194,))</f>
        <v>0</v>
      </c>
      <c r="F194" s="130" t="str">
        <f aca="false">IF($D$129="Standard",$S$188,IF($D$129="Soumdproof",$S$189,))</f>
        <v>02-031</v>
      </c>
      <c r="G194" s="130" t="str">
        <f aca="false">IF($D$129="Standard",$T$188,IF($D$129="Soumdproof",$T$189,))</f>
        <v>M</v>
      </c>
      <c r="H194" s="173" t="n">
        <f aca="false">IF($D$129="Standard",$U$188,IF($D$129="Soumdproof",$U$189,))</f>
        <v>66.508</v>
      </c>
      <c r="I194" s="174" t="n">
        <f aca="false">IF($D$129="Standard",$V$188,IF($D$129="Soumdproof",$V$189,))</f>
        <v>350</v>
      </c>
      <c r="J194" s="175" t="n">
        <f aca="false">ROUNDUP((H194)/100,0)</f>
        <v>1</v>
      </c>
    </row>
    <row r="195" customFormat="false" ht="18" hidden="false" customHeight="true" outlineLevel="0" collapsed="false">
      <c r="A195" s="170" t="n">
        <f aca="false">IF(B195="","",+A194+1)</f>
        <v>21</v>
      </c>
      <c r="B195" s="176" t="str">
        <f aca="false">IF($D$127=5,$O$177,IF($D$127=6,$O$178,IF($D$127=8,$O$179,IF($D$127=10,$O$177,IF($D$127=12,$O$177,IF($D$127=14,$O$179,IF($D$127=18,$O$177,IF($D$127=20,$O$178,IF($D$127=22,"")))))))))</f>
        <v>5,8,10,12,18 mmยางอัดกระจก</v>
      </c>
      <c r="C195" s="176" t="str">
        <f aca="false">IF($D$127=5,$P$177,IF($D$127=6,$P$178,IF($D$127=8,$P$179,IF($D$127=10,$P$177,IF($D$127=12,$P$177,IF($D$127=14,$P$179,IF($D$127=18,$P$177,IF($D$127=20,$P$178,IF($D$127=22,"")))))))))</f>
        <v>5,8,10,12,18 mm ROLL IN WEDGE</v>
      </c>
      <c r="D195" s="176" t="str">
        <f aca="false">IF($D$127=5,$Q$177,IF($D$127=6,$Q$178,IF($D$127=8,$Q$179,IF($D$127=10,$Q$177,IF($D$127=12,$Q$177,IF($D$127=14,$Q$179,IF($D$127=18,$Q$177,IF($D$127=20,$Q$178,IF($D$127=22,"")))))))))</f>
        <v>02-033</v>
      </c>
      <c r="E195" s="176" t="n">
        <f aca="false">IF($D$127=5,R182,IF($D$127=6,R183,IF($D$127=8,R184,IF($D$127=10,R182,IF($D$127=12,R182,IF($D$127=14,R184,IF($D$127=18,R182,IF($D$127=20,R183,IF($D$127=22,"",)))))))))</f>
        <v>0</v>
      </c>
      <c r="F195" s="167" t="str">
        <f aca="false">IF($D$127=5,$S$177,IF($D$127=6,$S$178,IF($D$127=8,$S$179,IF($D$127=10,$S$177,IF($D$127=12,$S$177,IF($D$127=14,$S$179,IF($D$127=18,$S$177,IF($D$127=20,$S$178,IF($D$127=22,"")))))))))</f>
        <v>02-033</v>
      </c>
      <c r="G195" s="167" t="str">
        <f aca="false">IF($D$127=5,$T$177,IF($D$127=6,$T$178,IF($D$127=8,$T$179,IF($D$127=10,$T$177,IF($D$127=12,$T$177,IF($D$127=14,$T$179,IF($D$127=18,$T$177,IF($D$127=20,$T$178,IF($D$127=22,"")))))))))</f>
        <v>M</v>
      </c>
      <c r="H195" s="173" t="n">
        <f aca="false">IF($D$127=5,$U$177,IF($D$127=6,$U$178,IF($D$127=8,$U$179,IF($D$127=10,$U$177*2,IF($D$127=12,$U$177,IF($D$127=14,$U$179*2,IF($D$127=18,$U$177,IF($D$127=20,$U$178,IF($D$127=22,"")))))))))</f>
        <v>42.428</v>
      </c>
      <c r="I195" s="174" t="n">
        <f aca="false">IF($D$127=5,$V$177,IF($D$127=6,$V$178,IF($D$127=8,$V$179,IF($D$127=10,$V$177,IF($D$127=12,$V$177,IF($D$127=14,$V$179,IF($D$127=18,$V$177,IF($D$127=20,$V$178,IF($D$127=22,"")))))))))</f>
        <v>100</v>
      </c>
      <c r="J195" s="175" t="n">
        <f aca="false">ROUNDUP((H195)/100,0)</f>
        <v>1</v>
      </c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</row>
    <row r="196" s="96" customFormat="true" ht="18" hidden="false" customHeight="true" outlineLevel="0" collapsed="false">
      <c r="A196" s="170" t="n">
        <f aca="false">IF(B196="","",+A195+1)</f>
        <v>22</v>
      </c>
      <c r="B196" s="176" t="str">
        <f aca="false">IF($D$127=5,$O$175,IF($D$127=6,$O$175,IF($D$127=8,$O$177,IF($D$127=10,"",IF($D$127=12,$O$176,IF($D$127=14,"",IF($D$127=18,$O$175,IF($D$127=20,$O$176,IF($D$127=22,"",)))))))))</f>
        <v>5,6,18 mm ยางรองกระจก</v>
      </c>
      <c r="C196" s="176" t="str">
        <f aca="false">IF($D$127=5,$P$175,IF($D$127=6,$P$175,IF($D$127=8,$P$177,IF($D$127=10,"",IF($D$127=12,$P$176,IF($D$127=14,"",IF($D$127=18,$P$175,IF($D$127=20,$P$176,IF($D$127=22,"",)))))))))</f>
        <v>5,6,18 mm CAPTIVE WEDGE</v>
      </c>
      <c r="D196" s="176" t="str">
        <f aca="false">IF($D$127=5,$Q$175,IF($D$127=6,$Q$175,IF($D$127=8,$Q$177,IF($D$127=10,"",IF($D$127=12,$Q$176,IF($D$127=14,"",IF($D$127=18,$Q$175,IF($D$127=20,$Q$176,IF($D$127=22,"",)))))))))</f>
        <v>02-022</v>
      </c>
      <c r="E196" s="176" t="n">
        <f aca="false">IF($D$127=5,R180,IF($D$127=6,R180,IF($D$127=8,R182,IF($D$127=10,"",IF($D$127=12,R181,IF($D$127=14,"",IF($D$127=18,R180,IF($D$127=20,R181,IF($D$127=22,"",)))))))))</f>
        <v>0</v>
      </c>
      <c r="F196" s="167" t="str">
        <f aca="false">IF($D$127=5,$S$175,IF($D$127=6,$S$175,IF($D$127=8,$S$177,IF($D$127=10,"",IF($D$127=12,$S$176,IF($D$127=14,"",IF($D$127=18,$S$175,IF($D$127=20,$S$176,IF($D$127=22,"",)))))))))</f>
        <v>02-022</v>
      </c>
      <c r="G196" s="167" t="str">
        <f aca="false">IF($D$127=5,$T$175,IF($D$127=6,$T$175,IF($D$127=8,$T$177,IF($D$127=10,"",IF($D$127=12,$T$176,IF($D$127=14,"",IF($D$127=18,$T$175,IF($D$127=20,$T$176,IF($D$127=22,"",)))))))))</f>
        <v>M</v>
      </c>
      <c r="H196" s="173" t="n">
        <f aca="false">IF($D$127=5,$U$175,IF($D$127=6,$U$175,IF($D$127=8,$U$177,IF($D$127=10,"",IF($D$127=12,$U$176,IF($D$127=14,"",IF($D$127=18,$U$175,IF($D$127=20,$U$176,IF($D$127=22,"")))))))))</f>
        <v>42.428</v>
      </c>
      <c r="I196" s="174" t="n">
        <f aca="false">IF($D$127=5,$V$175,IF($D$127=6,$V$175,IF($D$127=8,$V$177,IF($D$127=10,"",IF($D$127=12,$V$176,IF($D$127=14,"",IF($D$127=18,$V$175,IF($D$127=20,$V$176,IF($D$127=22,"",)))))))))</f>
        <v>100</v>
      </c>
      <c r="J196" s="175" t="n">
        <f aca="false">ROUNDUP((H196)/100,0)</f>
        <v>1</v>
      </c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/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42"/>
      <c r="J198" s="134"/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$J$120*G199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$J$120*G200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$J$120*G201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$J$120*G202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$J$120*G203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$J$120*G204</f>
        <v>0</v>
      </c>
    </row>
    <row r="205" s="96" customFormat="true" ht="18" hidden="false" customHeight="true" outlineLevel="0" collapsed="false">
      <c r="A205" s="179" t="str">
        <f aca="false">IF(B205="","",+""+1)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$J$120*G205</f>
        <v>0</v>
      </c>
    </row>
    <row r="206" s="96" customFormat="true" ht="18" hidden="false" customHeight="true" outlineLevel="0" collapsed="false">
      <c r="A206" s="200"/>
      <c r="B206" s="98"/>
      <c r="D206" s="98"/>
      <c r="E206" s="97"/>
      <c r="F206" s="98"/>
      <c r="G206" s="98"/>
      <c r="H206" s="98"/>
      <c r="I206" s="196"/>
      <c r="J206" s="196"/>
    </row>
    <row r="207" customFormat="false" ht="18" hidden="false" customHeight="true" outlineLevel="0" collapsed="false">
      <c r="A207" s="97"/>
      <c r="J207" s="92" t="str">
        <f aca="false">LEFT($J$111,13)&amp;"-02"</f>
        <v>FG-240-7P5L2R-02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565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4390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566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4364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519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4390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97"/>
      <c r="H252" s="97"/>
      <c r="I252" s="196"/>
      <c r="J252" s="196"/>
    </row>
    <row r="253" s="96" customFormat="true" ht="15.75" hidden="false" customHeight="true" outlineLevel="0" collapsed="false">
      <c r="A253" s="191"/>
      <c r="B253" s="191"/>
      <c r="D253" s="192"/>
      <c r="E253" s="191"/>
      <c r="F253" s="191"/>
      <c r="G253" s="97"/>
      <c r="H253" s="97"/>
      <c r="I253" s="196"/>
      <c r="J253" s="196"/>
    </row>
    <row r="254" s="96" customFormat="true" ht="15.75" hidden="false" customHeight="true" outlineLevel="0" collapsed="false">
      <c r="A254" s="190"/>
      <c r="B254" s="190"/>
      <c r="C254" s="184" t="s">
        <v>520</v>
      </c>
      <c r="D254" s="194"/>
      <c r="E254" s="190"/>
      <c r="F254" s="189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459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460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5" t="n">
        <f aca="false">$I$136</f>
        <v>4390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7" t="n">
        <f aca="false">$J$136</f>
        <v>1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C262" s="98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184" t="s">
        <v>586</v>
      </c>
      <c r="D264" s="98"/>
      <c r="E264" s="97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522</v>
      </c>
      <c r="D265" s="181"/>
      <c r="E265" s="181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468</v>
      </c>
      <c r="D266" s="181"/>
      <c r="E266" s="181"/>
      <c r="F266" s="97"/>
      <c r="G266" s="97"/>
      <c r="H266" s="97"/>
      <c r="J266" s="97"/>
    </row>
    <row r="267" s="96" customFormat="true" ht="15.75" hidden="false" customHeight="true" outlineLevel="0" collapsed="false">
      <c r="A267" s="200"/>
      <c r="C267" s="185" t="n">
        <f aca="false">$I$137</f>
        <v>2500</v>
      </c>
      <c r="D267" s="98"/>
      <c r="E267" s="97"/>
      <c r="F267" s="97"/>
      <c r="J267" s="97"/>
    </row>
    <row r="268" s="96" customFormat="true" ht="15.75" hidden="false" customHeight="true" outlineLevel="0" collapsed="false">
      <c r="A268" s="200"/>
      <c r="C268" s="187" t="n">
        <f aca="false">$J$137+$J$138</f>
        <v>2</v>
      </c>
      <c r="D268" s="98"/>
      <c r="E268" s="97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I272" s="196"/>
      <c r="J272" s="196"/>
    </row>
    <row r="273" s="96" customFormat="true" ht="15.75" hidden="false" customHeight="true" outlineLevel="0" collapsed="false">
      <c r="A273" s="200"/>
      <c r="D273" s="98"/>
      <c r="E273" s="97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C274" s="184" t="s">
        <v>588</v>
      </c>
      <c r="D274" s="201"/>
      <c r="E274" s="196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1" t="s">
        <v>470</v>
      </c>
      <c r="D275" s="181"/>
      <c r="E275" s="181"/>
      <c r="F275" s="97"/>
      <c r="G275" s="97"/>
      <c r="I275" s="97"/>
      <c r="J275" s="196"/>
    </row>
    <row r="276" s="96" customFormat="true" ht="15.75" hidden="false" customHeight="true" outlineLevel="0" collapsed="false">
      <c r="A276" s="200"/>
      <c r="C276" s="181" t="s">
        <v>471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5" t="n">
        <f aca="false">$I$139</f>
        <v>2404</v>
      </c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7" t="n">
        <f aca="false">$J$139+$J$140</f>
        <v>2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F279" s="97"/>
      <c r="G279" s="97"/>
      <c r="H279" s="97"/>
      <c r="J279" s="97"/>
    </row>
    <row r="280" s="96" customFormat="true" ht="15.75" hidden="false" customHeight="true" outlineLevel="0" collapsed="false">
      <c r="A280" s="200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D281" s="98"/>
      <c r="E281" s="97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J282" s="97"/>
    </row>
    <row r="283" s="96" customFormat="true" ht="15.75" hidden="false" customHeight="true" outlineLevel="0" collapsed="false">
      <c r="A283" s="200"/>
      <c r="F283" s="97"/>
      <c r="G283" s="97"/>
      <c r="H283" s="97"/>
      <c r="I283" s="201"/>
      <c r="J283" s="196"/>
    </row>
    <row r="284" s="96" customFormat="true" ht="15.75" hidden="false" customHeight="true" outlineLevel="0" collapsed="false">
      <c r="A284" s="200"/>
      <c r="C284" s="184" t="s">
        <v>524</v>
      </c>
      <c r="F284" s="97"/>
      <c r="G284" s="97"/>
      <c r="H284" s="97"/>
      <c r="I284" s="97"/>
      <c r="J284" s="196"/>
    </row>
    <row r="285" s="96" customFormat="true" ht="15.75" hidden="false" customHeight="true" outlineLevel="0" collapsed="false">
      <c r="A285" s="200"/>
      <c r="C285" s="83" t="s">
        <v>711</v>
      </c>
      <c r="D285" s="98"/>
      <c r="E285" s="97"/>
      <c r="F285" s="97"/>
      <c r="G285" s="97"/>
      <c r="H285" s="97"/>
      <c r="I285" s="196"/>
      <c r="J285" s="196"/>
    </row>
    <row r="286" s="96" customFormat="true" ht="15.75" hidden="false" customHeight="true" outlineLevel="0" collapsed="false">
      <c r="A286" s="200"/>
      <c r="C286" s="181" t="s">
        <v>712</v>
      </c>
      <c r="D286" s="98"/>
      <c r="E286" s="97"/>
      <c r="F286" s="97"/>
      <c r="G286" s="97"/>
      <c r="H286" s="97"/>
      <c r="I286" s="196"/>
      <c r="J286" s="196"/>
    </row>
    <row r="287" s="96" customFormat="true" ht="15.75" hidden="false" customHeight="true" outlineLevel="0" collapsed="false">
      <c r="A287" s="200"/>
      <c r="C287" s="181" t="s">
        <v>475</v>
      </c>
      <c r="D287" s="181"/>
      <c r="E287" s="181"/>
      <c r="F287" s="97"/>
      <c r="G287" s="97"/>
      <c r="I287" s="196"/>
      <c r="J287" s="196"/>
    </row>
    <row r="288" s="202" customFormat="true" ht="15.75" hidden="false" customHeight="true" outlineLevel="0" collapsed="false">
      <c r="A288" s="200"/>
      <c r="B288" s="96"/>
      <c r="C288" s="181" t="s">
        <v>476</v>
      </c>
      <c r="D288" s="181"/>
      <c r="E288" s="181"/>
      <c r="F288" s="97"/>
      <c r="G288" s="97"/>
      <c r="H288" s="96"/>
      <c r="I288" s="97"/>
      <c r="J288" s="97"/>
    </row>
    <row r="289" s="96" customFormat="true" ht="15.75" hidden="false" customHeight="true" outlineLevel="0" collapsed="false">
      <c r="A289" s="200"/>
      <c r="C289" s="185" t="n">
        <f aca="false">$I$141</f>
        <v>622.571428571429</v>
      </c>
      <c r="F289" s="97"/>
      <c r="G289" s="97"/>
      <c r="I289" s="191"/>
      <c r="J289" s="199"/>
    </row>
    <row r="290" s="96" customFormat="true" ht="15.75" hidden="false" customHeight="true" outlineLevel="0" collapsed="false">
      <c r="A290" s="200"/>
      <c r="C290" s="187" t="n">
        <f aca="false">$J$141+$J$142</f>
        <v>14</v>
      </c>
      <c r="D290" s="98"/>
      <c r="E290" s="97"/>
      <c r="F290" s="97"/>
      <c r="G290" s="97"/>
      <c r="H290" s="98"/>
      <c r="I290" s="189"/>
      <c r="J290" s="190"/>
    </row>
    <row r="291" s="96" customFormat="true" ht="15.75" hidden="false" customHeight="true" outlineLevel="0" collapsed="false">
      <c r="A291" s="200"/>
      <c r="C291" s="185" t="n">
        <f aca="false">$I$143</f>
        <v>2408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C292" s="187" t="n">
        <f aca="false">$J$143+$J$144+$J$145+$J$146</f>
        <v>14</v>
      </c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D293" s="98"/>
      <c r="E293" s="97"/>
      <c r="F293" s="97"/>
      <c r="G293" s="97"/>
      <c r="H293" s="97"/>
      <c r="I293" s="196"/>
      <c r="J293" s="196"/>
    </row>
    <row r="294" s="96" customFormat="true" ht="15.75" hidden="false" customHeight="true" outlineLevel="0" collapsed="false">
      <c r="A294" s="200"/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202"/>
      <c r="D295" s="98"/>
      <c r="E295" s="97"/>
      <c r="F295" s="97"/>
      <c r="G295" s="97"/>
      <c r="H295" s="97"/>
      <c r="I295" s="97"/>
      <c r="J295" s="196"/>
    </row>
    <row r="296" s="96" customFormat="true" ht="15.75" hidden="false" customHeight="true" outlineLevel="0" collapsed="false">
      <c r="A296" s="200"/>
      <c r="C296" s="184" t="s">
        <v>525</v>
      </c>
      <c r="D296" s="98"/>
      <c r="E296" s="97"/>
      <c r="F296" s="97"/>
      <c r="G296" s="97"/>
      <c r="H296" s="97"/>
      <c r="I296" s="97"/>
      <c r="J296" s="196"/>
    </row>
    <row r="297" s="96" customFormat="true" ht="15.75" hidden="false" customHeight="true" outlineLevel="0" collapsed="false">
      <c r="A297" s="200"/>
      <c r="C297" s="83" t="s">
        <v>711</v>
      </c>
      <c r="D297" s="98"/>
      <c r="E297" s="97"/>
      <c r="F297" s="97"/>
      <c r="G297" s="191"/>
      <c r="H297" s="191"/>
      <c r="I297" s="97"/>
      <c r="J297" s="196"/>
    </row>
    <row r="298" s="96" customFormat="true" ht="15.75" hidden="false" customHeight="true" outlineLevel="0" collapsed="false">
      <c r="A298" s="200"/>
      <c r="C298" s="181" t="s">
        <v>712</v>
      </c>
      <c r="D298" s="181"/>
      <c r="E298" s="181"/>
      <c r="F298" s="97"/>
      <c r="G298" s="190"/>
      <c r="H298" s="189"/>
      <c r="I298" s="97"/>
      <c r="J298" s="196"/>
    </row>
    <row r="299" s="96" customFormat="true" ht="15.75" hidden="false" customHeight="true" outlineLevel="0" collapsed="false">
      <c r="A299" s="107"/>
      <c r="C299" s="181" t="s">
        <v>478</v>
      </c>
      <c r="D299" s="181"/>
      <c r="E299" s="181"/>
      <c r="F299" s="97"/>
      <c r="G299" s="97"/>
      <c r="H299" s="97"/>
      <c r="I299" s="97"/>
      <c r="J299" s="196"/>
    </row>
    <row r="300" s="96" customFormat="true" ht="15.75" hidden="false" customHeight="true" outlineLevel="0" collapsed="false">
      <c r="A300" s="191"/>
      <c r="B300" s="191"/>
      <c r="C300" s="181" t="s">
        <v>479</v>
      </c>
      <c r="D300" s="203"/>
      <c r="E300" s="204"/>
      <c r="F300" s="191"/>
      <c r="G300" s="97"/>
      <c r="H300" s="97"/>
      <c r="I300" s="97"/>
      <c r="J300" s="196"/>
    </row>
    <row r="301" s="96" customFormat="true" ht="15.75" hidden="false" customHeight="true" outlineLevel="0" collapsed="false">
      <c r="A301" s="190"/>
      <c r="B301" s="190"/>
      <c r="C301" s="185" t="n">
        <f aca="false">$I$147</f>
        <v>512.214285714286</v>
      </c>
      <c r="D301" s="205"/>
      <c r="E301" s="206"/>
      <c r="F301" s="189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7" t="n">
        <f aca="false">$J$147</f>
        <v>14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5" t="n">
        <f aca="false">$I$148</f>
        <v>2258</v>
      </c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C304" s="187" t="n">
        <f aca="false">$J$148</f>
        <v>14</v>
      </c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D306" s="98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4" t="s">
        <v>591</v>
      </c>
      <c r="D307" s="98"/>
      <c r="E307" s="97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181" t="s">
        <v>475</v>
      </c>
      <c r="D308" s="181"/>
      <c r="E308" s="181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249" t="s">
        <v>476</v>
      </c>
      <c r="D309" s="249"/>
      <c r="E309" s="249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5" t="n">
        <f aca="false">$I$149</f>
        <v>2408</v>
      </c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C311" s="187" t="n">
        <f aca="false">$J$149+$J$150</f>
        <v>2</v>
      </c>
      <c r="D311" s="181"/>
      <c r="E311" s="181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LEFT($J$111,13)&amp;"-03"</f>
        <v>FG-240-7P5L2R-03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A316" s="97"/>
      <c r="B316" s="49"/>
      <c r="C316" s="49"/>
      <c r="D316" s="207"/>
      <c r="E316" s="200"/>
      <c r="F316" s="200"/>
      <c r="G316" s="200"/>
      <c r="H316" s="200"/>
      <c r="I316" s="208"/>
      <c r="J316" s="77" t="str">
        <f aca="false">$J$2</f>
        <v>HOMELIFE</v>
      </c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240-7 Panel (5L2R)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195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91"/>
      <c r="D405" s="98"/>
      <c r="E405" s="97"/>
      <c r="F405" s="97"/>
      <c r="G405" s="97"/>
      <c r="H405" s="97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LEFT($J$111,13)&amp;"-04"</f>
        <v>FG-240-7P5L2R-04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77" t="str">
        <f aca="false">$J$2</f>
        <v>HOMELIFE</v>
      </c>
      <c r="K423" s="78"/>
      <c r="L423" s="78"/>
      <c r="M423" s="79"/>
      <c r="N423" s="79"/>
    </row>
    <row r="424" customFormat="false" ht="24.75" hidden="false" customHeight="true" outlineLevel="0" collapsed="false">
      <c r="A424" s="97"/>
      <c r="B424" s="96"/>
      <c r="C424" s="96"/>
      <c r="D424" s="98"/>
      <c r="E424" s="97"/>
      <c r="F424" s="97"/>
      <c r="G424" s="97"/>
      <c r="H424" s="97"/>
      <c r="I424" s="97"/>
      <c r="J424" s="80" t="str">
        <f aca="false">$J$3</f>
        <v>Fabricators Guide</v>
      </c>
      <c r="K424" s="78"/>
      <c r="L424" s="78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$J$4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240-7 Panel (5L2R)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191"/>
      <c r="C442" s="212"/>
      <c r="D442" s="98"/>
      <c r="E442" s="97"/>
      <c r="F442" s="97"/>
      <c r="H442" s="191"/>
      <c r="I442" s="191"/>
      <c r="J442" s="199"/>
    </row>
    <row r="443" s="96" customFormat="true" ht="15.75" hidden="false" customHeight="true" outlineLevel="0" collapsed="false">
      <c r="A443" s="190"/>
      <c r="C443" s="191"/>
      <c r="D443" s="192"/>
      <c r="E443" s="191"/>
      <c r="F443" s="191"/>
      <c r="H443" s="191"/>
      <c r="I443" s="191"/>
      <c r="J443" s="199"/>
    </row>
    <row r="444" customFormat="false" ht="15" hidden="false" customHeight="true" outlineLevel="0" collapsed="false">
      <c r="B444" s="211"/>
      <c r="C444" s="98"/>
      <c r="D444" s="98"/>
      <c r="E444" s="97"/>
      <c r="F444" s="98"/>
      <c r="G444" s="97"/>
      <c r="H444" s="97"/>
    </row>
    <row r="449" s="96" customFormat="true" ht="15.75" hidden="false" customHeight="true" outlineLevel="0" collapsed="false">
      <c r="A449" s="97"/>
      <c r="D449" s="73"/>
      <c r="I449" s="196"/>
      <c r="J449" s="196"/>
    </row>
    <row r="450" s="96" customFormat="true" ht="15.75" hidden="false" customHeight="true" outlineLevel="0" collapsed="false">
      <c r="A450" s="97"/>
      <c r="D450" s="98"/>
      <c r="E450" s="97"/>
      <c r="F450" s="98"/>
      <c r="G450" s="97"/>
      <c r="H450" s="97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C453" s="191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98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97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196"/>
      <c r="J456" s="196"/>
    </row>
    <row r="457" s="96" customFormat="true" ht="15.75" hidden="false" customHeight="true" outlineLevel="0" collapsed="false">
      <c r="A457" s="97"/>
      <c r="D457" s="98"/>
      <c r="E457" s="97"/>
      <c r="F457" s="97"/>
      <c r="G457" s="97"/>
      <c r="H457" s="97"/>
      <c r="I457" s="196"/>
      <c r="J457" s="196"/>
    </row>
    <row r="458" s="96" customFormat="true" ht="15" hidden="false" customHeight="true" outlineLevel="0" collapsed="false">
      <c r="A458" s="97"/>
      <c r="D458" s="98"/>
      <c r="E458" s="97"/>
      <c r="F458" s="97"/>
      <c r="G458" s="97"/>
      <c r="H458" s="195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97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202" customFormat="true" ht="15.75" hidden="false" customHeight="true" outlineLevel="0" collapsed="false">
      <c r="A476" s="97"/>
      <c r="B476" s="96"/>
      <c r="C476" s="96"/>
      <c r="D476" s="98"/>
      <c r="E476" s="97"/>
      <c r="F476" s="97"/>
      <c r="G476" s="97"/>
      <c r="H476" s="97"/>
      <c r="I476" s="97"/>
      <c r="J476" s="97"/>
    </row>
    <row r="477" s="96" customFormat="true" ht="15.75" hidden="false" customHeight="true" outlineLevel="0" collapsed="false">
      <c r="A477" s="191"/>
      <c r="D477" s="98"/>
      <c r="E477" s="97"/>
      <c r="F477" s="97"/>
      <c r="G477" s="97"/>
      <c r="H477" s="97"/>
      <c r="I477" s="191"/>
      <c r="J477" s="199"/>
    </row>
    <row r="478" s="96" customFormat="true" ht="15.75" hidden="false" customHeight="true" outlineLevel="0" collapsed="false">
      <c r="A478" s="190"/>
      <c r="B478" s="191"/>
      <c r="C478" s="191"/>
      <c r="D478" s="192"/>
      <c r="E478" s="191"/>
      <c r="F478" s="191"/>
      <c r="G478" s="191"/>
      <c r="H478" s="191"/>
      <c r="I478" s="189"/>
      <c r="J478" s="190"/>
    </row>
    <row r="479" s="96" customFormat="true" ht="15.75" hidden="false" customHeight="true" outlineLevel="0" collapsed="false">
      <c r="A479" s="200"/>
      <c r="B479" s="190"/>
      <c r="C479" s="191"/>
      <c r="D479" s="194"/>
      <c r="E479" s="190"/>
      <c r="F479" s="189"/>
      <c r="G479" s="190"/>
      <c r="H479" s="189"/>
      <c r="I479" s="196"/>
      <c r="J479" s="196"/>
    </row>
    <row r="480" s="96" customFormat="true" ht="15.75" hidden="false" customHeight="true" outlineLevel="0" collapsed="false">
      <c r="A480" s="200"/>
      <c r="C480" s="182"/>
      <c r="D480" s="98"/>
      <c r="E480" s="97"/>
      <c r="F480" s="97"/>
      <c r="G480" s="97"/>
      <c r="H480" s="182"/>
      <c r="J480" s="97"/>
    </row>
    <row r="481" s="96" customFormat="true" ht="15.75" hidden="false" customHeight="true" outlineLevel="0" collapsed="false">
      <c r="A481" s="200"/>
      <c r="C481" s="98"/>
      <c r="D481" s="98"/>
      <c r="E481" s="97"/>
      <c r="F481" s="97"/>
      <c r="G481" s="97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I482" s="196"/>
      <c r="J482" s="196"/>
    </row>
    <row r="483" s="96" customFormat="true" ht="15.75" hidden="false" customHeight="true" outlineLevel="0" collapsed="false">
      <c r="A483" s="200"/>
      <c r="D483" s="98"/>
      <c r="E483" s="97"/>
      <c r="F483" s="97"/>
      <c r="G483" s="97"/>
      <c r="H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C486" s="98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G495" s="97"/>
      <c r="H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182"/>
      <c r="J498" s="97"/>
    </row>
    <row r="499" s="96" customFormat="true" ht="15.75" hidden="false" customHeight="true" outlineLevel="0" collapsed="false">
      <c r="A499" s="200"/>
      <c r="C499" s="188"/>
      <c r="D499" s="98"/>
      <c r="E499" s="97"/>
      <c r="F499" s="97"/>
      <c r="G499" s="97"/>
      <c r="J499" s="97"/>
    </row>
    <row r="500" s="96" customFormat="true" ht="15.75" hidden="false" customHeight="true" outlineLevel="0" collapsed="false">
      <c r="A500" s="200"/>
      <c r="D500" s="98"/>
      <c r="E500" s="97"/>
      <c r="F500" s="97"/>
      <c r="G500" s="97"/>
      <c r="I500" s="196"/>
      <c r="J500" s="196"/>
    </row>
    <row r="501" s="96" customFormat="true" ht="15.75" hidden="false" customHeight="true" outlineLevel="0" collapsed="false">
      <c r="A501" s="200"/>
      <c r="C501" s="98"/>
      <c r="D501" s="98"/>
      <c r="E501" s="97"/>
      <c r="F501" s="97"/>
      <c r="G501" s="97"/>
      <c r="H501" s="182"/>
      <c r="J501" s="97"/>
    </row>
    <row r="502" s="96" customFormat="true" ht="15.75" hidden="false" customHeight="true" outlineLevel="0" collapsed="false">
      <c r="A502" s="200"/>
      <c r="D502" s="98"/>
      <c r="E502" s="97"/>
      <c r="F502" s="97"/>
      <c r="G502" s="97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I503" s="196"/>
      <c r="J503" s="196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H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97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97"/>
      <c r="J513" s="196"/>
    </row>
    <row r="514" s="96" customFormat="true" ht="15.75" hidden="false" customHeight="true" outlineLevel="0" collapsed="false">
      <c r="A514" s="200"/>
      <c r="D514" s="98"/>
      <c r="E514" s="97"/>
      <c r="F514" s="97"/>
      <c r="G514" s="97"/>
      <c r="H514" s="97"/>
      <c r="I514" s="97"/>
      <c r="J514" s="196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A516" s="191"/>
      <c r="B516" s="191"/>
      <c r="C516" s="191"/>
      <c r="D516" s="192"/>
      <c r="E516" s="191"/>
      <c r="F516" s="191"/>
      <c r="G516" s="191"/>
      <c r="H516" s="191"/>
      <c r="I516" s="191"/>
      <c r="J516" s="199"/>
    </row>
    <row r="517" s="96" customFormat="true" ht="15.75" hidden="false" customHeight="true" outlineLevel="0" collapsed="false">
      <c r="B517" s="191"/>
      <c r="C517" s="191"/>
      <c r="D517" s="192"/>
      <c r="E517" s="191"/>
      <c r="F517" s="191"/>
      <c r="G517" s="191"/>
      <c r="H517" s="191"/>
    </row>
    <row r="518" s="96" customFormat="true" ht="15.75" hidden="false" customHeight="true" outlineLevel="0" collapsed="false"/>
    <row r="519" s="96" customFormat="true" ht="24.75" hidden="false" customHeight="true" outlineLevel="0" collapsed="false">
      <c r="A519" s="88" t="s">
        <v>482</v>
      </c>
      <c r="B519" s="88"/>
      <c r="C519" s="88"/>
      <c r="D519" s="88"/>
      <c r="E519" s="88"/>
      <c r="F519" s="88"/>
      <c r="G519" s="88"/>
      <c r="H519" s="88"/>
      <c r="I519" s="88"/>
      <c r="J519" s="88"/>
    </row>
    <row r="520" s="96" customFormat="true" ht="34.5" hidden="false" customHeight="true" outlineLevel="0" collapsed="false">
      <c r="A520" s="114" t="s">
        <v>319</v>
      </c>
      <c r="B520" s="115" t="s">
        <v>168</v>
      </c>
      <c r="C520" s="115" t="s">
        <v>168</v>
      </c>
      <c r="D520" s="116" t="s">
        <v>483</v>
      </c>
      <c r="E520" s="115" t="s">
        <v>321</v>
      </c>
      <c r="F520" s="239" t="s">
        <v>484</v>
      </c>
      <c r="G520" s="240"/>
      <c r="H520" s="116" t="s">
        <v>484</v>
      </c>
      <c r="I520" s="116" t="s">
        <v>485</v>
      </c>
      <c r="J520" s="117" t="s">
        <v>323</v>
      </c>
      <c r="N520" s="118" t="s">
        <v>168</v>
      </c>
      <c r="O520" s="118" t="s">
        <v>168</v>
      </c>
    </row>
    <row r="521" s="96" customFormat="true" ht="15.75" hidden="false" customHeight="true" outlineLevel="0" collapsed="false">
      <c r="A521" s="120" t="n">
        <f aca="false">IF(C521="","",1)</f>
        <v>1</v>
      </c>
      <c r="B521" s="121" t="str">
        <f aca="false">IF($D$127=5,N521,IF($D$127=6,N522,IF($D$127=8,N523,IF($D$127=10,N524,IF($D$127=12,N525,IF($D$127=14,N526,IF($D$127=18,N527,IF($D$127=20,N528,IF($D$127=22,N529,)))))))))</f>
        <v>กระจก 5 mm (สูง) (กว้าง)</v>
      </c>
      <c r="C521" s="121" t="str">
        <f aca="false">IF($D$127=5,O521,IF($D$127=6,O522,IF($D$127=8,O523,IF($D$127=10,O524,IF($D$127=12,O525,IF($D$127=14,O526,IF($D$127=18,O527,IF($D$127=20,O528,IF($D$127=22,O529,)))))))))</f>
        <v>GLASS thk.5 mm (H) (W)</v>
      </c>
      <c r="D521" s="123" t="n">
        <f aca="false">$J$123-215</f>
        <v>2285</v>
      </c>
      <c r="E521" s="120" t="s">
        <v>486</v>
      </c>
      <c r="F521" s="224" t="s">
        <v>487</v>
      </c>
      <c r="G521" s="224"/>
      <c r="H521" s="120" t="s">
        <v>713</v>
      </c>
      <c r="I521" s="225" t="n">
        <f aca="false">(($J$126-185-(113.25*6))/7)-13</f>
        <v>499.214285714286</v>
      </c>
      <c r="J521" s="226" t="n">
        <f aca="false">$J$120*7</f>
        <v>7</v>
      </c>
      <c r="M521" s="96" t="n">
        <f aca="false">ROW()</f>
        <v>521</v>
      </c>
      <c r="N521" s="62" t="s">
        <v>489</v>
      </c>
      <c r="O521" s="62" t="s">
        <v>490</v>
      </c>
    </row>
    <row r="522" s="96" customFormat="true" ht="15.75" hidden="false" customHeight="true" outlineLevel="0" collapsed="false">
      <c r="A522" s="269"/>
      <c r="B522" s="228"/>
      <c r="C522" s="228"/>
      <c r="D522" s="176"/>
      <c r="E522" s="167"/>
      <c r="F522" s="229"/>
      <c r="G522" s="230"/>
      <c r="H522" s="167"/>
      <c r="I522" s="231"/>
      <c r="J522" s="232"/>
      <c r="M522" s="96" t="n">
        <f aca="false">ROW()</f>
        <v>522</v>
      </c>
      <c r="N522" s="62" t="s">
        <v>491</v>
      </c>
      <c r="O522" s="62" t="s">
        <v>492</v>
      </c>
    </row>
    <row r="523" s="96" customFormat="true" ht="15.75" hidden="false" customHeight="true" outlineLevel="0" collapsed="false">
      <c r="A523" s="269"/>
      <c r="B523" s="228"/>
      <c r="C523" s="228"/>
      <c r="D523" s="176"/>
      <c r="E523" s="167"/>
      <c r="F523" s="229"/>
      <c r="G523" s="230"/>
      <c r="H523" s="167"/>
      <c r="I523" s="231"/>
      <c r="J523" s="232"/>
      <c r="M523" s="96" t="n">
        <f aca="false">ROW()</f>
        <v>523</v>
      </c>
      <c r="N523" s="62" t="s">
        <v>493</v>
      </c>
      <c r="O523" s="62" t="s">
        <v>494</v>
      </c>
    </row>
    <row r="524" s="96" customFormat="true" ht="15.75" hidden="false" customHeight="true" outlineLevel="0" collapsed="false">
      <c r="A524" s="130" t="str">
        <f aca="false">IF(B524="","",+""+1)</f>
        <v/>
      </c>
      <c r="B524" s="131"/>
      <c r="C524" s="131"/>
      <c r="D524" s="132"/>
      <c r="E524" s="130"/>
      <c r="F524" s="233"/>
      <c r="G524" s="270"/>
      <c r="H524" s="130"/>
      <c r="I524" s="142"/>
      <c r="J524" s="133"/>
      <c r="M524" s="96" t="n">
        <f aca="false">ROW()</f>
        <v>524</v>
      </c>
      <c r="N524" s="62" t="s">
        <v>495</v>
      </c>
      <c r="O524" s="62" t="s">
        <v>496</v>
      </c>
    </row>
    <row r="525" s="96" customFormat="true" ht="15.75" hidden="false" customHeight="true" outlineLevel="0" collapsed="false">
      <c r="A525" s="136" t="str">
        <f aca="false">IF(B525="","",+A524+1)</f>
        <v/>
      </c>
      <c r="B525" s="135"/>
      <c r="C525" s="135"/>
      <c r="D525" s="139"/>
      <c r="E525" s="136"/>
      <c r="F525" s="236"/>
      <c r="G525" s="237"/>
      <c r="H525" s="136"/>
      <c r="I525" s="180"/>
      <c r="J525" s="140"/>
      <c r="M525" s="96" t="n">
        <f aca="false">ROW()</f>
        <v>525</v>
      </c>
      <c r="N525" s="62" t="s">
        <v>497</v>
      </c>
      <c r="O525" s="62" t="s">
        <v>498</v>
      </c>
    </row>
    <row r="526" s="96" customFormat="true" ht="15.75" hidden="false" customHeight="true" outlineLevel="0" collapsed="false">
      <c r="A526" s="97"/>
      <c r="D526" s="98"/>
      <c r="E526" s="97"/>
      <c r="F526" s="97"/>
      <c r="G526" s="97"/>
      <c r="H526" s="97"/>
      <c r="I526" s="97"/>
      <c r="J526" s="196"/>
      <c r="M526" s="96" t="n">
        <f aca="false">ROW()</f>
        <v>526</v>
      </c>
      <c r="N526" s="62" t="s">
        <v>499</v>
      </c>
      <c r="O526" s="62" t="s">
        <v>500</v>
      </c>
    </row>
    <row r="527" customFormat="false" ht="14.25" hidden="false" customHeight="false" outlineLevel="0" collapsed="false">
      <c r="J527" s="92" t="str">
        <f aca="false">LEFT($J$111,13)&amp;"-05"</f>
        <v>FG-240-7P5L2R-05</v>
      </c>
      <c r="M527" s="96" t="n">
        <f aca="false">ROW()</f>
        <v>527</v>
      </c>
      <c r="N527" s="62" t="s">
        <v>501</v>
      </c>
      <c r="O527" s="62" t="s">
        <v>502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503</v>
      </c>
      <c r="O528" s="62" t="s">
        <v>504</v>
      </c>
    </row>
    <row r="529" customFormat="false" ht="14.25" hidden="false" customHeight="false" outlineLevel="0" collapsed="false">
      <c r="M529" s="96" t="n">
        <f aca="false">ROW()</f>
        <v>529</v>
      </c>
      <c r="N529" s="62" t="s">
        <v>505</v>
      </c>
      <c r="O529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8"/>
    <mergeCell ref="H163:H168"/>
    <mergeCell ref="I166:J167"/>
    <mergeCell ref="I168:J168"/>
    <mergeCell ref="D169:D170"/>
    <mergeCell ref="H169:H170"/>
    <mergeCell ref="D171:D172"/>
    <mergeCell ref="H171:H172"/>
    <mergeCell ref="A173:J173"/>
    <mergeCell ref="A213:J213"/>
    <mergeCell ref="C309:E309"/>
    <mergeCell ref="A320:J320"/>
    <mergeCell ref="F330:G330"/>
    <mergeCell ref="F331:G331"/>
    <mergeCell ref="F334:G334"/>
    <mergeCell ref="A427:J427"/>
    <mergeCell ref="A519:J519"/>
    <mergeCell ref="F521:G521"/>
  </mergeCells>
  <dataValidations count="3">
    <dataValidation allowBlank="true" errorStyle="stop" operator="between" showDropDown="false" showErrorMessage="true" showInputMessage="true" sqref="C206" type="list">
      <formula1>$O$175:$O$193</formula1>
      <formula2>0</formula2>
    </dataValidation>
    <dataValidation allowBlank="true" errorStyle="stop" operator="between" showDropDown="false" showErrorMessage="true" showInputMessage="true" sqref="D127:G127" type="list">
      <formula1>$N$119:$N$127</formula1>
      <formula2>0</formula2>
    </dataValidation>
    <dataValidation allowBlank="true" errorStyle="stop" operator="between" showDropDown="false" showErrorMessage="true" showInputMessage="true" sqref="D129:G129" type="list">
      <formula1>$O$119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528"/>
  <sheetViews>
    <sheetView showFormulas="false" showGridLines="false" showRowColHeaders="true" showZeros="true" rightToLeft="false" tabSelected="false" showOutlineSymbols="true" defaultGridColor="true" view="pageBreakPreview" topLeftCell="A115" colorId="64" zoomScale="75" zoomScaleNormal="75" zoomScalePageLayoutView="75" workbookViewId="0">
      <selection pane="topLeft" activeCell="J128" activeCellId="0" sqref="J128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11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6.67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11"/>
    <col collapsed="false" customWidth="true" hidden="true" outlineLevel="1" max="18" min="18" style="0" width="13.88"/>
    <col collapsed="false" customWidth="true" hidden="true" outlineLevel="1" max="19" min="19" style="0" width="16.44"/>
    <col collapsed="false" customWidth="true" hidden="true" outlineLevel="1" max="20" min="20" style="0" width="15"/>
    <col collapsed="false" customWidth="true" hidden="true" outlineLevel="1" max="21" min="21" style="0" width="20.44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725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>
      <c r="G55" s="91"/>
    </row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726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311" t="s">
        <v>285</v>
      </c>
      <c r="B117" s="311"/>
      <c r="C117" s="311"/>
      <c r="D117" s="311"/>
      <c r="E117" s="311"/>
      <c r="F117" s="311"/>
      <c r="G117" s="311"/>
      <c r="H117" s="311"/>
      <c r="I117" s="311"/>
      <c r="J117" s="311"/>
      <c r="K117" s="83"/>
      <c r="L117" s="87"/>
      <c r="M117" s="87"/>
      <c r="N117" s="87"/>
    </row>
    <row r="118" s="96" customFormat="true" ht="18" hidden="false" customHeight="true" outlineLevel="0" collapsed="false">
      <c r="A118" s="97"/>
      <c r="C118" s="81"/>
      <c r="D118" s="98"/>
      <c r="E118" s="83"/>
      <c r="J118" s="99"/>
      <c r="K118" s="83"/>
      <c r="N118" s="258" t="s">
        <v>288</v>
      </c>
      <c r="O118" s="97" t="s">
        <v>289</v>
      </c>
      <c r="P118" s="102" t="s">
        <v>290</v>
      </c>
    </row>
    <row r="119" s="96" customFormat="true" ht="15" hidden="false" customHeight="true" outlineLevel="0" collapsed="false">
      <c r="A119" s="97"/>
      <c r="C119" s="100" t="s">
        <v>286</v>
      </c>
      <c r="D119" s="101"/>
      <c r="E119" s="101"/>
      <c r="F119" s="101"/>
      <c r="G119" s="101"/>
      <c r="I119" s="83"/>
      <c r="J119" s="97"/>
      <c r="N119" s="259" t="n">
        <v>5</v>
      </c>
      <c r="O119" s="97" t="s">
        <v>509</v>
      </c>
      <c r="P119" s="106" t="s">
        <v>294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6</v>
      </c>
      <c r="O120" s="97" t="s">
        <v>296</v>
      </c>
      <c r="P120" s="106" t="s">
        <v>297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8</v>
      </c>
      <c r="P121" s="106" t="s">
        <v>299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10</v>
      </c>
      <c r="P122" s="106" t="s">
        <v>303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2500</v>
      </c>
      <c r="N123" s="259" t="n">
        <v>12</v>
      </c>
      <c r="P123" s="106" t="s">
        <v>305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14</v>
      </c>
      <c r="P124" s="106" t="s">
        <v>308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18</v>
      </c>
      <c r="P125" s="106" t="s">
        <v>311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3500</v>
      </c>
      <c r="K126" s="110"/>
      <c r="L126" s="110"/>
      <c r="N126" s="259" t="n">
        <v>20</v>
      </c>
      <c r="P126" s="106" t="s">
        <v>313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259" t="n">
        <v>22</v>
      </c>
      <c r="P127" s="106" t="s">
        <v>315</v>
      </c>
    </row>
    <row r="128" s="96" customFormat="true" ht="18.75" hidden="false" customHeight="true" outlineLevel="0" collapsed="false">
      <c r="C128" s="108" t="s">
        <v>314</v>
      </c>
      <c r="I128" s="97"/>
      <c r="J128" s="97"/>
    </row>
    <row r="129" s="96" customFormat="true" ht="15" hidden="false" customHeight="true" outlineLevel="0" collapsed="false">
      <c r="A129" s="89" t="str">
        <f aca="false">A18</f>
        <v>240-7 Panel (6L1R)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3440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14</v>
      </c>
      <c r="U133" s="127" t="s">
        <v>709</v>
      </c>
      <c r="V133" s="128" t="n">
        <f aca="false">($J$126-185-(113.25*6))/7</f>
        <v>376.5</v>
      </c>
      <c r="W133" s="129" t="n">
        <f aca="false">$J$120*T133</f>
        <v>14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3414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14</v>
      </c>
      <c r="U134" s="130" t="s">
        <v>709</v>
      </c>
      <c r="V134" s="142" t="n">
        <f aca="false">($J$126-185-(113.25*6))/7</f>
        <v>376.5</v>
      </c>
      <c r="W134" s="134" t="n">
        <f aca="false">$J$120*T134</f>
        <v>14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3440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14</v>
      </c>
      <c r="U135" s="136" t="s">
        <v>709</v>
      </c>
      <c r="V135" s="180" t="n">
        <f aca="false">($J$126-185-(113.25*6))/7</f>
        <v>376.5</v>
      </c>
      <c r="W135" s="137" t="n">
        <f aca="false">$J$120*T135</f>
        <v>14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3440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14</v>
      </c>
      <c r="U136" s="127" t="s">
        <v>360</v>
      </c>
      <c r="V136" s="138" t="n">
        <f aca="false">$J$123-242</f>
        <v>2258</v>
      </c>
      <c r="W136" s="129" t="n">
        <f aca="false">$J$120*T136</f>
        <v>14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2500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14</v>
      </c>
      <c r="U137" s="130" t="s">
        <v>360</v>
      </c>
      <c r="V137" s="133" t="n">
        <f aca="false">$J$123-242</f>
        <v>2258</v>
      </c>
      <c r="W137" s="134" t="n">
        <f aca="false">$J$120*T137</f>
        <v>14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2500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14</v>
      </c>
      <c r="U138" s="136" t="s">
        <v>360</v>
      </c>
      <c r="V138" s="140" t="n">
        <f aca="false">$J$123-242</f>
        <v>2258</v>
      </c>
      <c r="W138" s="137" t="n">
        <f aca="false">$J$120*T138</f>
        <v>14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2404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2404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7</v>
      </c>
      <c r="H141" s="130" t="s">
        <v>710</v>
      </c>
      <c r="I141" s="141" t="n">
        <f aca="false">($J$126-60-(7+1)*4)/7</f>
        <v>486.857142857143</v>
      </c>
      <c r="J141" s="134" t="n">
        <f aca="false">$J$120*G141</f>
        <v>7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7</v>
      </c>
      <c r="H142" s="130" t="s">
        <v>710</v>
      </c>
      <c r="I142" s="141" t="n">
        <f aca="false">($J$126-60-(7+1)*4)/7</f>
        <v>486.857142857143</v>
      </c>
      <c r="J142" s="134" t="n">
        <f aca="false">$J$120*G142</f>
        <v>7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10</v>
      </c>
      <c r="H143" s="130" t="s">
        <v>389</v>
      </c>
      <c r="I143" s="133" t="n">
        <f aca="false">$J$123-92</f>
        <v>2408</v>
      </c>
      <c r="J143" s="134" t="n">
        <f aca="false">$J$120*G143</f>
        <v>10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3</v>
      </c>
      <c r="H144" s="130" t="s">
        <v>389</v>
      </c>
      <c r="I144" s="133" t="n">
        <f aca="false">$J$123-92</f>
        <v>2408</v>
      </c>
      <c r="J144" s="134" t="n">
        <f aca="false">$J$120*G144</f>
        <v>3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531</v>
      </c>
      <c r="C145" s="131" t="s">
        <v>532</v>
      </c>
      <c r="D145" s="132" t="s">
        <v>74</v>
      </c>
      <c r="E145" s="130" t="n">
        <v>1.106</v>
      </c>
      <c r="F145" s="132" t="s">
        <v>564</v>
      </c>
      <c r="G145" s="130" t="n">
        <v>1</v>
      </c>
      <c r="H145" s="130" t="s">
        <v>389</v>
      </c>
      <c r="I145" s="133" t="n">
        <f aca="false">$J$123-92</f>
        <v>2408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6" s="131" t="str">
        <f aca="false">IF($D$127=5,Q133,IF($D$127=6,Q133,IF($D$127=8,Q134,IF($D$127=10,Q134,IF($D$127=12,Q134,IF($D$127=14,Q135,IF($D$127=18,Q135,IF($D$127=20,Q135,IF($D$127=22,Q135,)))))))))</f>
        <v>B24008</v>
      </c>
      <c r="E146" s="131" t="n">
        <f aca="false">IF($D$127=5,R133,IF($D$127=6,R133,IF($D$127=8,R134,IF($D$127=10,R134,IF($D$127=12,R134,IF($D$127=14,R135,IF($D$127=18,R135,IF($D$127=20,R135,IF($D$127=22,R135,)))))))))</f>
        <v>0.231</v>
      </c>
      <c r="F146" s="131" t="str">
        <f aca="false">IF($D$127=5,S133,IF($D$127=6,S133,IF($D$127=8,S134,IF($D$127=10,S134,IF($D$127=12,S134,IF($D$127=14,S135,IF($D$127=18,S135,IF($D$127=20,S135,IF($D$127=22,S135,)))))))))</f>
        <v>B24008-001</v>
      </c>
      <c r="G146" s="130" t="n">
        <f aca="false">IF($D$127=5,T133,IF($D$127=6,T133,IF($D$127=8,T134,IF($D$127=10,T134,IF($D$127=12,T134,IF($D$127=14,T135,IF($D$127=18,T135,IF($D$127=20,T135,IF($D$127=22,T135,)))))))))</f>
        <v>14</v>
      </c>
      <c r="H146" s="130" t="str">
        <f aca="false">IF($D$127=5,U133,IF($D$127=6,U133,IF($D$127=8,U134,IF($D$127=10,U134,IF($D$127=12,U134,IF($D$127=14,U135,IF($D$127=18,U135,IF($D$127=20,U135,IF($D$127=22,U135,)))))))))</f>
        <v>(W-185-(113.25 × 6))/7</v>
      </c>
      <c r="I146" s="141" t="n">
        <f aca="false">IF($D$127=5,V133,IF($D$127=6,V133,IF($D$127=8,V134,IF($D$127=10,V134,IF($D$127=12,V134,IF($D$127=14,V135,IF($D$127=18,V135,IF($D$127=20,V135,IF($D$127=22,V135,)))))))))</f>
        <v>376.5</v>
      </c>
      <c r="J146" s="134" t="n">
        <f aca="false">$J$120*G146</f>
        <v>14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7" s="131" t="str">
        <f aca="false">IF($D$127=5,Q136,IF($D$127=6,Q136,IF($D$127=8,Q137,IF($D$127=10,Q137,IF($D$127=12,Q137,IF($D$127=14,Q138,IF($D$127=18,Q138,IF($D$127=20,Q138,IF($D$127=22,Q138,)))))))))</f>
        <v>B24008</v>
      </c>
      <c r="E147" s="131" t="n">
        <f aca="false">IF($D$127=5,R136,IF($D$127=6,R136,IF($D$127=8,R137,IF($D$127=10,R137,IF($D$127=12,R137,IF($D$127=14,R138,IF($D$127=18,R138,IF($D$127=20,R138,IF($D$127=22,R138,)))))))))</f>
        <v>0.231</v>
      </c>
      <c r="F147" s="131" t="str">
        <f aca="false">IF($D$127=5,S136,IF($D$127=6,S136,IF($D$127=8,S137,IF($D$127=10,S137,IF($D$127=12,S137,IF($D$127=14,S138,IF($D$127=18,S138,IF($D$127=20,S138,IF($D$127=22,S138,)))))))))</f>
        <v>B24008-002</v>
      </c>
      <c r="G147" s="130" t="n">
        <f aca="false">IF($D$127=5,T136,IF($D$127=6,T136,IF($D$127=8,T137,IF($D$127=10,T137,IF($D$127=12,T137,IF($D$127=14,T138,IF($D$127=18,T138,IF($D$127=20,T138,IF($D$127=22,T138,)))))))))</f>
        <v>14</v>
      </c>
      <c r="H147" s="130" t="str">
        <f aca="false">IF($D$127=5,U136,IF($D$127=6,U136,IF($D$127=8,U137,IF($D$127=10,U137,IF($D$127=12,U137,IF($D$127=14,U138,IF($D$127=18,U138,IF($D$127=20,U138,IF($D$127=22,U138,)))))))))</f>
        <v>H-242</v>
      </c>
      <c r="I147" s="133" t="n">
        <f aca="false">IF($D$127=5,V136,IF($D$127=6,V136,IF($D$127=8,V137,IF($D$127=10,V137,IF($D$127=12,V137,IF($D$127=14,V138,IF($D$127=18,V138,IF($D$127=20,V138,IF($D$127=22,V138,)))))))))</f>
        <v>2258</v>
      </c>
      <c r="J147" s="134" t="n">
        <f aca="false">$J$120*G147</f>
        <v>14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">
        <v>534</v>
      </c>
      <c r="C148" s="131" t="s">
        <v>535</v>
      </c>
      <c r="D148" s="132" t="s">
        <v>536</v>
      </c>
      <c r="E148" s="130"/>
      <c r="F148" s="132" t="s">
        <v>537</v>
      </c>
      <c r="G148" s="130" t="n">
        <v>1</v>
      </c>
      <c r="H148" s="130" t="s">
        <v>389</v>
      </c>
      <c r="I148" s="133" t="n">
        <f aca="false">$J$123-92</f>
        <v>2408</v>
      </c>
      <c r="J148" s="134" t="n">
        <f aca="false">$J$120*G148</f>
        <v>1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535</v>
      </c>
      <c r="D149" s="132" t="s">
        <v>536</v>
      </c>
      <c r="E149" s="130"/>
      <c r="F149" s="132" t="s">
        <v>539</v>
      </c>
      <c r="G149" s="130" t="n">
        <v>1</v>
      </c>
      <c r="H149" s="130" t="s">
        <v>389</v>
      </c>
      <c r="I149" s="133" t="n">
        <f aca="false">$J$123-92</f>
        <v>2408</v>
      </c>
      <c r="J149" s="134" t="n">
        <f aca="false">$J$120*G149</f>
        <v>1</v>
      </c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33"/>
      <c r="J150" s="134"/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33"/>
      <c r="J151" s="134"/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33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3440</v>
      </c>
      <c r="G155" s="155" t="n">
        <f aca="false">VLOOKUP(C155,$C$133:$J$153,8,0)</f>
        <v>1</v>
      </c>
      <c r="H155" s="264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VLOOKUP(C156,$C$133:$I$153,7,0)</f>
        <v>3414</v>
      </c>
      <c r="G156" s="155" t="n">
        <f aca="false">VLOOKUP(C156,$C$133:$J$153,8,0)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VLOOKUP(C157,$C$133:$I$153,7,0)</f>
        <v>3440</v>
      </c>
      <c r="G157" s="155" t="n">
        <f aca="false">VLOOKUP(C157,$C$133:$J$153,8,0)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VLOOKUP(C158,$C$133:$I$153,7,0)</f>
        <v>3440</v>
      </c>
      <c r="G158" s="155" t="n">
        <f aca="false">VLOOKUP(C158,$C$133:$J$153,8,0)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VLOOKUP(C159,$C$133:$I$153,7,0)</f>
        <v>2500</v>
      </c>
      <c r="G159" s="155" t="n">
        <f aca="false">VLOOKUP(C159,$C$133:$J$153,8,0)</f>
        <v>1</v>
      </c>
      <c r="H159" s="160" t="n">
        <f aca="false">ROUNDUP(((F159*G159)+(F160*G160))/6400,0)</f>
        <v>1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VLOOKUP(C160,$C$133:$I$153,7,0)</f>
        <v>2500</v>
      </c>
      <c r="G160" s="155" t="n">
        <f aca="false">VLOOKUP(C160,$C$133:$J$153,8,0)</f>
        <v>1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VLOOKUP(C161,$C$133:$I$153,7,0)</f>
        <v>2404</v>
      </c>
      <c r="G161" s="155" t="n">
        <f aca="false">VLOOKUP(C161,$C$133:$J$153,8,0)</f>
        <v>1</v>
      </c>
      <c r="H161" s="160" t="n">
        <f aca="false">ROUNDUP(((F161*G161)+(F162*G162))/6400,0)</f>
        <v>1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155" t="n">
        <f aca="false">VLOOKUP(C162,$C$133:$H$153,3,0)</f>
        <v>0.235</v>
      </c>
      <c r="F162" s="263" t="n">
        <f aca="false">VLOOKUP(C162,$C$133:$I$153,7,0)</f>
        <v>2404</v>
      </c>
      <c r="G162" s="155" t="n">
        <f aca="false">VLOOKUP(C162,$C$133:$J$153,8,0)</f>
        <v>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155" t="n">
        <f aca="false">VLOOKUP(C163,$C$133:$H$153,3,0)</f>
        <v>1.106</v>
      </c>
      <c r="F163" s="267" t="n">
        <f aca="false">VLOOKUP(C163,$C$133:$I$153,7,0)</f>
        <v>486.857142857143</v>
      </c>
      <c r="G163" s="155" t="n">
        <f aca="false">VLOOKUP(C163,$C$133:$J$153,8,0)</f>
        <v>7</v>
      </c>
      <c r="H163" s="160" t="n">
        <f aca="false">ROUNDUP(((F163*G163)+(F164*G164)+(F165*G165)+(F166*G166)+(F167*G167))/6400,0)</f>
        <v>7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155" t="n">
        <f aca="false">VLOOKUP(C164,$C$133:$H$153,3,0)</f>
        <v>1.106</v>
      </c>
      <c r="F164" s="267" t="n">
        <f aca="false">VLOOKUP(C164,$C$133:$I$153,7,0)</f>
        <v>486.857142857143</v>
      </c>
      <c r="G164" s="155" t="n">
        <f aca="false">VLOOKUP(C164,$C$133:$J$153,8,0)</f>
        <v>7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155" t="n">
        <f aca="false">VLOOKUP(C165,$C$133:$H$153,3,0)</f>
        <v>1.106</v>
      </c>
      <c r="F165" s="263" t="n">
        <f aca="false">VLOOKUP(C165,$C$133:$I$153,7,0)</f>
        <v>2408</v>
      </c>
      <c r="G165" s="155" t="n">
        <f aca="false">VLOOKUP(C165,$C$133:$J$153,8,0)</f>
        <v>10</v>
      </c>
      <c r="H165" s="160"/>
      <c r="I165" s="161"/>
      <c r="J165" s="161"/>
    </row>
    <row r="166" s="96" customFormat="true" ht="13.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155" t="n">
        <f aca="false">VLOOKUP(C166,$C$133:$H$153,3,0)</f>
        <v>1.106</v>
      </c>
      <c r="F166" s="263" t="n">
        <f aca="false">VLOOKUP(C166,$C$133:$I$153,7,0)</f>
        <v>2408</v>
      </c>
      <c r="G166" s="155" t="n">
        <f aca="false">VLOOKUP(C166,$C$133:$J$153,8,0)</f>
        <v>3</v>
      </c>
      <c r="H166" s="160"/>
      <c r="I166" s="161"/>
      <c r="J166" s="161"/>
    </row>
    <row r="167" s="96" customFormat="true" ht="15" hidden="false" customHeight="true" outlineLevel="1" collapsed="false">
      <c r="A167" s="158" t="n">
        <f aca="false">IF(B167="","",+A166+1)</f>
        <v>13</v>
      </c>
      <c r="B167" s="153" t="str">
        <f aca="false">B145</f>
        <v>เสากุญแจมือจับ</v>
      </c>
      <c r="C167" s="153" t="str">
        <f aca="false">C145</f>
        <v>SASH (Ver) LOCK HANDLE</v>
      </c>
      <c r="D167" s="159"/>
      <c r="E167" s="155" t="n">
        <f aca="false">VLOOKUP(C167,$C$133:$H$153,3,0)</f>
        <v>1.106</v>
      </c>
      <c r="F167" s="263" t="n">
        <f aca="false">VLOOKUP(C167,$C$133:$I$153,7,0)</f>
        <v>2408</v>
      </c>
      <c r="G167" s="155" t="n">
        <f aca="false">VLOOKUP(C167,$C$133:$J$153,8,0)</f>
        <v>1</v>
      </c>
      <c r="H167" s="160"/>
      <c r="I167" s="161"/>
      <c r="J167" s="161"/>
    </row>
    <row r="168" s="96" customFormat="true" ht="13.5" hidden="false" customHeight="true" outlineLevel="1" collapsed="false">
      <c r="A168" s="158" t="n">
        <f aca="false">IF(B168="","",+A167+1)</f>
        <v>14</v>
      </c>
      <c r="B168" s="153" t="str">
        <f aca="false">B146</f>
        <v>5-6mm คิ้วตบกระจกแนวนอน</v>
      </c>
      <c r="C168" s="153" t="str">
        <f aca="false">C146</f>
        <v>5-6mm GLAZING BEAD HORIZONTAL</v>
      </c>
      <c r="D168" s="159" t="str">
        <f aca="false">VLOOKUP(C168,$C$133:$H$153,2,0)</f>
        <v>B24008</v>
      </c>
      <c r="E168" s="155" t="n">
        <f aca="false">VLOOKUP(C168,$C$133:$H$153,3,0)</f>
        <v>0.231</v>
      </c>
      <c r="F168" s="267" t="n">
        <f aca="false">VLOOKUP(C168,$C$133:$I$153,7,0)</f>
        <v>376.5</v>
      </c>
      <c r="G168" s="155" t="n">
        <f aca="false">VLOOKUP(C168,$C$133:$J$153,8,0)</f>
        <v>14</v>
      </c>
      <c r="H168" s="160" t="n">
        <f aca="false">ROUNDUP(((F168*G168)+(F169*G169))/6400,0)</f>
        <v>6</v>
      </c>
      <c r="I168" s="265"/>
      <c r="J168" s="265"/>
    </row>
    <row r="169" s="96" customFormat="true" ht="15" hidden="false" customHeight="true" outlineLevel="1" collapsed="false">
      <c r="A169" s="158" t="n">
        <f aca="false">IF(B169="","",+A168+1)</f>
        <v>15</v>
      </c>
      <c r="B169" s="153" t="str">
        <f aca="false">B147</f>
        <v>5-6mm คิ้วตบกระจกแนวตั้ง</v>
      </c>
      <c r="C169" s="153" t="str">
        <f aca="false">C147</f>
        <v>5-6mm GLAZING BEAD VERTICAL</v>
      </c>
      <c r="D169" s="159"/>
      <c r="E169" s="155" t="n">
        <f aca="false">VLOOKUP(C169,$C$133:$H$153,3,0)</f>
        <v>0.231</v>
      </c>
      <c r="F169" s="263" t="n">
        <f aca="false">VLOOKUP(C169,$C$133:$I$153,7,0)</f>
        <v>2258</v>
      </c>
      <c r="G169" s="155" t="n">
        <f aca="false">VLOOKUP(C169,$C$133:$J$153,8,0)</f>
        <v>14</v>
      </c>
      <c r="H169" s="160"/>
      <c r="I169" s="196"/>
      <c r="J169" s="196"/>
    </row>
    <row r="170" s="96" customFormat="true" ht="13.5" hidden="false" customHeight="true" outlineLevel="1" collapsed="false">
      <c r="A170" s="158" t="n">
        <f aca="false">IF(B170="","",+A169+1)</f>
        <v>16</v>
      </c>
      <c r="B170" s="153" t="str">
        <f aca="false">B148</f>
        <v>บังใบ</v>
      </c>
      <c r="C170" s="153" t="str">
        <f aca="false">C148</f>
        <v>SASH STOP</v>
      </c>
      <c r="D170" s="163" t="str">
        <f aca="false">VLOOKUP(C170,$C$133:$H$153,2,0)</f>
        <v>B24009</v>
      </c>
      <c r="E170" s="155" t="n">
        <f aca="false">VLOOKUP(C170,$C$133:$H$153,3,0)</f>
        <v>0</v>
      </c>
      <c r="F170" s="263" t="n">
        <f aca="false">VLOOKUP(C170,$C$133:$I$153,7,0)</f>
        <v>2408</v>
      </c>
      <c r="G170" s="155" t="n">
        <f aca="false">VLOOKUP(C170,$C$133:$J$153,8,0)</f>
        <v>1</v>
      </c>
      <c r="H170" s="160" t="n">
        <f aca="false">ROUNDUP(((F170*G170)+(F171*G171))/6400,0)</f>
        <v>1</v>
      </c>
      <c r="I170" s="196"/>
      <c r="J170" s="196"/>
    </row>
    <row r="171" s="96" customFormat="true" ht="14.25" hidden="false" customHeight="false" outlineLevel="1" collapsed="false">
      <c r="A171" s="158" t="n">
        <f aca="false">IF(B171="","",+A170+1)</f>
        <v>17</v>
      </c>
      <c r="B171" s="153" t="str">
        <f aca="false">B149</f>
        <v>บังใบ</v>
      </c>
      <c r="C171" s="153" t="str">
        <f aca="false">C149</f>
        <v>SASH STOP</v>
      </c>
      <c r="D171" s="163"/>
      <c r="E171" s="155" t="n">
        <f aca="false">VLOOKUP(C171,$C$133:$H$153,3,0)</f>
        <v>0</v>
      </c>
      <c r="F171" s="263" t="n">
        <f aca="false">VLOOKUP(C171,$C$133:$I$153,7,0)</f>
        <v>2408</v>
      </c>
      <c r="G171" s="155" t="n">
        <f aca="false">VLOOKUP(C171,$C$133:$J$153,8,0)</f>
        <v>1</v>
      </c>
      <c r="H171" s="160"/>
      <c r="I171" s="196"/>
      <c r="J171" s="196"/>
    </row>
    <row r="172" s="96" customFormat="true" ht="24.75" hidden="false" customHeight="true" outlineLevel="0" collapsed="false">
      <c r="A172" s="113" t="s">
        <v>396</v>
      </c>
      <c r="B172" s="113"/>
      <c r="C172" s="113"/>
      <c r="D172" s="113"/>
      <c r="E172" s="113"/>
      <c r="F172" s="113"/>
      <c r="G172" s="113"/>
      <c r="H172" s="113"/>
      <c r="I172" s="113"/>
      <c r="J172" s="113"/>
    </row>
    <row r="173" s="96" customFormat="true" ht="34.5" hidden="false" customHeight="true" outlineLevel="0" collapsed="false">
      <c r="A173" s="114" t="s">
        <v>319</v>
      </c>
      <c r="B173" s="115" t="s">
        <v>320</v>
      </c>
      <c r="C173" s="115" t="s">
        <v>168</v>
      </c>
      <c r="D173" s="115" t="s">
        <v>397</v>
      </c>
      <c r="E173" s="115" t="s">
        <v>321</v>
      </c>
      <c r="F173" s="116" t="s">
        <v>398</v>
      </c>
      <c r="G173" s="115" t="s">
        <v>399</v>
      </c>
      <c r="H173" s="116" t="s">
        <v>400</v>
      </c>
      <c r="I173" s="116" t="s">
        <v>401</v>
      </c>
      <c r="J173" s="117" t="s">
        <v>402</v>
      </c>
      <c r="N173" s="107" t="s">
        <v>288</v>
      </c>
      <c r="O173" s="165" t="s">
        <v>320</v>
      </c>
      <c r="P173" s="165" t="s">
        <v>168</v>
      </c>
      <c r="Q173" s="165" t="s">
        <v>397</v>
      </c>
      <c r="R173" s="165" t="s">
        <v>321</v>
      </c>
      <c r="S173" s="165" t="s">
        <v>398</v>
      </c>
      <c r="T173" s="165" t="s">
        <v>399</v>
      </c>
      <c r="U173" s="165" t="s">
        <v>400</v>
      </c>
      <c r="V173" s="165" t="s">
        <v>401</v>
      </c>
      <c r="W173" s="165" t="s">
        <v>402</v>
      </c>
    </row>
    <row r="174" s="96" customFormat="true" ht="18" hidden="false" customHeight="true" outlineLevel="0" collapsed="false">
      <c r="A174" s="166" t="n">
        <f aca="false">IF(B174="","",1)</f>
        <v>1</v>
      </c>
      <c r="B174" s="131" t="s">
        <v>410</v>
      </c>
      <c r="C174" s="131" t="s">
        <v>411</v>
      </c>
      <c r="D174" s="132" t="s">
        <v>267</v>
      </c>
      <c r="E174" s="130"/>
      <c r="F174" s="130" t="s">
        <v>267</v>
      </c>
      <c r="G174" s="130" t="s">
        <v>405</v>
      </c>
      <c r="H174" s="130" t="n">
        <v>14</v>
      </c>
      <c r="I174" s="133"/>
      <c r="J174" s="134" t="n">
        <f aca="false">$J$120*H174</f>
        <v>14</v>
      </c>
      <c r="N174" s="107" t="s">
        <v>406</v>
      </c>
      <c r="O174" s="55" t="s">
        <v>407</v>
      </c>
      <c r="P174" s="62" t="s">
        <v>408</v>
      </c>
      <c r="Q174" s="55" t="s">
        <v>227</v>
      </c>
      <c r="R174" s="158"/>
      <c r="S174" s="158" t="s">
        <v>227</v>
      </c>
      <c r="T174" s="158" t="s">
        <v>409</v>
      </c>
      <c r="U174" s="168" t="n">
        <f aca="false">((($I$141*$G$141)+($I$142*$G$142)+($I$143*$G$143)+($I$144*$G$144)+($I$145*$G$145))/1000)*$J$120</f>
        <v>40.528</v>
      </c>
      <c r="V174" s="168" t="n">
        <v>100</v>
      </c>
      <c r="W174" s="169" t="n">
        <f aca="false">ROUNDUP((U174)/100,0)</f>
        <v>1</v>
      </c>
    </row>
    <row r="175" s="96" customFormat="true" ht="18" hidden="false" customHeight="true" outlineLevel="0" collapsed="false">
      <c r="A175" s="170" t="n">
        <f aca="false">IF(B175="","",+A174+1)</f>
        <v>2</v>
      </c>
      <c r="B175" s="131" t="s">
        <v>415</v>
      </c>
      <c r="C175" s="131" t="s">
        <v>416</v>
      </c>
      <c r="D175" s="132" t="s">
        <v>222</v>
      </c>
      <c r="E175" s="130"/>
      <c r="F175" s="130" t="s">
        <v>222</v>
      </c>
      <c r="G175" s="130" t="s">
        <v>405</v>
      </c>
      <c r="H175" s="130" t="n">
        <v>2</v>
      </c>
      <c r="I175" s="133"/>
      <c r="J175" s="134" t="n">
        <f aca="false">$J$120*H175</f>
        <v>2</v>
      </c>
      <c r="N175" s="107" t="s">
        <v>412</v>
      </c>
      <c r="O175" s="55" t="s">
        <v>413</v>
      </c>
      <c r="P175" s="62" t="s">
        <v>414</v>
      </c>
      <c r="Q175" s="55" t="s">
        <v>234</v>
      </c>
      <c r="R175" s="158"/>
      <c r="S175" s="158" t="s">
        <v>234</v>
      </c>
      <c r="T175" s="158" t="s">
        <v>409</v>
      </c>
      <c r="U175" s="168" t="n">
        <f aca="false">((($I$141*$G$141)+($I$142*$G$142)+($I$143*$G$143)+($I$144*$G$144)+($I$145*$G$145))/1000)*$J$120</f>
        <v>40.528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3</v>
      </c>
      <c r="B176" s="131" t="s">
        <v>420</v>
      </c>
      <c r="C176" s="131" t="s">
        <v>421</v>
      </c>
      <c r="D176" s="132" t="s">
        <v>225</v>
      </c>
      <c r="E176" s="130"/>
      <c r="F176" s="130" t="s">
        <v>225</v>
      </c>
      <c r="G176" s="130" t="s">
        <v>405</v>
      </c>
      <c r="H176" s="130" t="n">
        <v>2</v>
      </c>
      <c r="I176" s="133"/>
      <c r="J176" s="134" t="n">
        <f aca="false">$J$120*H176</f>
        <v>2</v>
      </c>
      <c r="N176" s="107" t="s">
        <v>417</v>
      </c>
      <c r="O176" s="62" t="s">
        <v>418</v>
      </c>
      <c r="P176" s="62" t="s">
        <v>419</v>
      </c>
      <c r="Q176" s="55" t="s">
        <v>236</v>
      </c>
      <c r="R176" s="158"/>
      <c r="S176" s="158" t="s">
        <v>236</v>
      </c>
      <c r="T176" s="158" t="s">
        <v>409</v>
      </c>
      <c r="U176" s="168" t="n">
        <f aca="false">((($I$141*$G$141)+($I$142*$G$142)+($I$143*$G$143)+($I$144*$G$144)+($I$145*$G$145))/1000)*$J$120</f>
        <v>40.528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4</v>
      </c>
      <c r="B177" s="131" t="s">
        <v>425</v>
      </c>
      <c r="C177" s="131" t="s">
        <v>426</v>
      </c>
      <c r="D177" s="132" t="n">
        <v>9</v>
      </c>
      <c r="E177" s="130"/>
      <c r="F177" s="130" t="n">
        <v>9</v>
      </c>
      <c r="G177" s="130" t="s">
        <v>405</v>
      </c>
      <c r="H177" s="130" t="n">
        <v>8</v>
      </c>
      <c r="I177" s="133"/>
      <c r="J177" s="134" t="n">
        <f aca="false">$J$120*H177</f>
        <v>8</v>
      </c>
      <c r="N177" s="107" t="s">
        <v>422</v>
      </c>
      <c r="O177" s="62" t="s">
        <v>423</v>
      </c>
      <c r="P177" s="62" t="s">
        <v>424</v>
      </c>
      <c r="Q177" s="55" t="s">
        <v>238</v>
      </c>
      <c r="R177" s="158"/>
      <c r="S177" s="158" t="s">
        <v>238</v>
      </c>
      <c r="T177" s="158" t="s">
        <v>409</v>
      </c>
      <c r="U177" s="168" t="n">
        <f aca="false">((($I$141*$G$141)+($I$142*$G$142)+($I$143*$G$143)+($I$144*$G$144)+($I$145*$G$145))/1000)*$J$120</f>
        <v>40.528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5</v>
      </c>
      <c r="B178" s="131" t="s">
        <v>430</v>
      </c>
      <c r="C178" s="131" t="s">
        <v>431</v>
      </c>
      <c r="D178" s="132" t="n">
        <v>9</v>
      </c>
      <c r="E178" s="130"/>
      <c r="F178" s="130" t="n">
        <v>9</v>
      </c>
      <c r="G178" s="130" t="s">
        <v>405</v>
      </c>
      <c r="H178" s="130" t="n">
        <v>110</v>
      </c>
      <c r="I178" s="133"/>
      <c r="J178" s="134" t="n">
        <f aca="false">$J$120*H178</f>
        <v>110</v>
      </c>
      <c r="N178" s="107" t="s">
        <v>427</v>
      </c>
      <c r="O178" s="62" t="s">
        <v>428</v>
      </c>
      <c r="P178" s="62" t="s">
        <v>429</v>
      </c>
      <c r="Q178" s="55" t="s">
        <v>240</v>
      </c>
      <c r="R178" s="158"/>
      <c r="S178" s="158" t="s">
        <v>240</v>
      </c>
      <c r="T178" s="158" t="s">
        <v>409</v>
      </c>
      <c r="U178" s="168" t="n">
        <f aca="false">((($I$141*$G$141)+($I$142*$G$142)+($I$143*$G$143)+($I$144*$G$144)+($I$145*$G$145))/1000)*$J$120</f>
        <v>40.528</v>
      </c>
      <c r="V178" s="168" t="n">
        <v>100</v>
      </c>
      <c r="W178" s="169" t="n">
        <f aca="false">ROUNDUP((U178)/100,0)</f>
        <v>1</v>
      </c>
    </row>
    <row r="179" s="96" customFormat="true" ht="18" hidden="false" customHeight="true" outlineLevel="0" collapsed="false">
      <c r="A179" s="170" t="n">
        <f aca="false">IF(B179="","",+A178+1)</f>
        <v>6</v>
      </c>
      <c r="B179" s="131" t="s">
        <v>603</v>
      </c>
      <c r="C179" s="131" t="s">
        <v>438</v>
      </c>
      <c r="D179" s="132" t="s">
        <v>4</v>
      </c>
      <c r="E179" s="130"/>
      <c r="F179" s="130" t="s">
        <v>4</v>
      </c>
      <c r="G179" s="130" t="s">
        <v>434</v>
      </c>
      <c r="H179" s="130" t="n">
        <v>1</v>
      </c>
      <c r="I179" s="133"/>
      <c r="J179" s="134" t="n">
        <f aca="false">$J$120*H179</f>
        <v>1</v>
      </c>
    </row>
    <row r="180" s="96" customFormat="true" ht="18" hidden="false" customHeight="true" outlineLevel="0" collapsed="false">
      <c r="A180" s="170" t="n">
        <f aca="false">IF(B180="","",+A179+1)</f>
        <v>7</v>
      </c>
      <c r="B180" s="131" t="s">
        <v>556</v>
      </c>
      <c r="C180" s="131" t="s">
        <v>557</v>
      </c>
      <c r="D180" s="132" t="s">
        <v>5</v>
      </c>
      <c r="E180" s="130"/>
      <c r="F180" s="130" t="s">
        <v>5</v>
      </c>
      <c r="G180" s="130" t="s">
        <v>434</v>
      </c>
      <c r="H180" s="130" t="n">
        <v>2</v>
      </c>
      <c r="I180" s="133"/>
      <c r="J180" s="134" t="n">
        <f aca="false">$J$120*H180</f>
        <v>2</v>
      </c>
    </row>
    <row r="181" s="96" customFormat="true" ht="18" hidden="false" customHeight="true" outlineLevel="0" collapsed="false">
      <c r="A181" s="170" t="n">
        <f aca="false">IF(B181="","",+A180+1)</f>
        <v>8</v>
      </c>
      <c r="B181" s="131" t="s">
        <v>432</v>
      </c>
      <c r="C181" s="131" t="s">
        <v>433</v>
      </c>
      <c r="D181" s="132" t="s">
        <v>6</v>
      </c>
      <c r="E181" s="130"/>
      <c r="F181" s="130" t="s">
        <v>6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9</v>
      </c>
      <c r="B182" s="131" t="s">
        <v>512</v>
      </c>
      <c r="C182" s="131" t="s">
        <v>513</v>
      </c>
      <c r="D182" s="132" t="s">
        <v>7</v>
      </c>
      <c r="E182" s="130"/>
      <c r="F182" s="130" t="s">
        <v>7</v>
      </c>
      <c r="G182" s="130" t="s">
        <v>434</v>
      </c>
      <c r="H182" s="130" t="n">
        <v>1</v>
      </c>
      <c r="I182" s="133"/>
      <c r="J182" s="134" t="n">
        <f aca="false">$J$120*H182</f>
        <v>1</v>
      </c>
    </row>
    <row r="183" s="96" customFormat="true" ht="18" hidden="false" customHeight="true" outlineLevel="0" collapsed="false">
      <c r="A183" s="170" t="n">
        <f aca="false">IF(B183="","",+A182+1)</f>
        <v>10</v>
      </c>
      <c r="B183" s="131" t="s">
        <v>435</v>
      </c>
      <c r="C183" s="131" t="s">
        <v>436</v>
      </c>
      <c r="D183" s="132" t="s">
        <v>9</v>
      </c>
      <c r="E183" s="130"/>
      <c r="F183" s="130" t="s">
        <v>9</v>
      </c>
      <c r="G183" s="130" t="s">
        <v>434</v>
      </c>
      <c r="H183" s="130" t="n">
        <v>1</v>
      </c>
      <c r="I183" s="133"/>
      <c r="J183" s="134" t="n">
        <f aca="false">$J$120*H183</f>
        <v>1</v>
      </c>
      <c r="Q183" s="172"/>
      <c r="R183" s="172"/>
      <c r="S183" s="172"/>
      <c r="T183" s="97"/>
      <c r="U183" s="97"/>
      <c r="V183" s="97"/>
    </row>
    <row r="184" s="96" customFormat="true" ht="18" hidden="false" customHeight="true" outlineLevel="0" collapsed="false">
      <c r="A184" s="170" t="n">
        <f aca="false">IF(B184="","",+A183+1)</f>
        <v>11</v>
      </c>
      <c r="B184" s="131" t="s">
        <v>554</v>
      </c>
      <c r="C184" s="131" t="s">
        <v>555</v>
      </c>
      <c r="D184" s="132" t="s">
        <v>11</v>
      </c>
      <c r="E184" s="130"/>
      <c r="F184" s="130" t="s">
        <v>11</v>
      </c>
      <c r="G184" s="130" t="s">
        <v>434</v>
      </c>
      <c r="H184" s="130" t="n">
        <v>2</v>
      </c>
      <c r="I184" s="142"/>
      <c r="J184" s="134" t="n">
        <f aca="false">$J$120*H184</f>
        <v>2</v>
      </c>
      <c r="N184" s="107" t="s">
        <v>289</v>
      </c>
      <c r="O184" s="165" t="s">
        <v>320</v>
      </c>
      <c r="P184" s="165" t="s">
        <v>168</v>
      </c>
      <c r="Q184" s="165" t="s">
        <v>397</v>
      </c>
      <c r="R184" s="165" t="s">
        <v>321</v>
      </c>
      <c r="S184" s="165" t="s">
        <v>398</v>
      </c>
      <c r="T184" s="165" t="s">
        <v>399</v>
      </c>
      <c r="U184" s="165" t="s">
        <v>400</v>
      </c>
      <c r="V184" s="165" t="s">
        <v>401</v>
      </c>
      <c r="W184" s="165" t="s">
        <v>402</v>
      </c>
    </row>
    <row r="185" s="96" customFormat="true" ht="18" hidden="false" customHeight="true" outlineLevel="0" collapsed="false">
      <c r="A185" s="170" t="n">
        <f aca="false">IF(B185="","",+A184+1)</f>
        <v>12</v>
      </c>
      <c r="B185" s="131" t="s">
        <v>439</v>
      </c>
      <c r="C185" s="131" t="s">
        <v>440</v>
      </c>
      <c r="D185" s="132" t="s">
        <v>12</v>
      </c>
      <c r="E185" s="130"/>
      <c r="F185" s="130" t="s">
        <v>12</v>
      </c>
      <c r="G185" s="130" t="s">
        <v>434</v>
      </c>
      <c r="H185" s="130" t="n">
        <v>3</v>
      </c>
      <c r="I185" s="142"/>
      <c r="J185" s="134" t="n">
        <f aca="false">$J$120*H185</f>
        <v>3</v>
      </c>
      <c r="N185" s="107" t="s">
        <v>445</v>
      </c>
      <c r="O185" s="62" t="s">
        <v>446</v>
      </c>
      <c r="P185" s="62" t="s">
        <v>447</v>
      </c>
      <c r="Q185" s="55" t="s">
        <v>230</v>
      </c>
      <c r="R185" s="158"/>
      <c r="S185" s="158" t="s">
        <v>230</v>
      </c>
      <c r="T185" s="158" t="s">
        <v>409</v>
      </c>
      <c r="U185" s="168" t="n">
        <f aca="false">((($I$134*$G$134)+($I$136*$G$136)+($I$139*$G$139))/1000)*$J$120</f>
        <v>9.258</v>
      </c>
      <c r="V185" s="168" t="n">
        <v>300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13</v>
      </c>
      <c r="B186" s="131" t="s">
        <v>540</v>
      </c>
      <c r="C186" s="131" t="s">
        <v>541</v>
      </c>
      <c r="D186" s="132" t="s">
        <v>542</v>
      </c>
      <c r="E186" s="130"/>
      <c r="F186" s="130" t="s">
        <v>542</v>
      </c>
      <c r="G186" s="130" t="s">
        <v>434</v>
      </c>
      <c r="H186" s="130" t="n">
        <v>1</v>
      </c>
      <c r="I186" s="133"/>
      <c r="J186" s="134" t="n">
        <f aca="false">$J$120*H186</f>
        <v>1</v>
      </c>
      <c r="N186" s="107" t="s">
        <v>448</v>
      </c>
      <c r="O186" s="62" t="s">
        <v>449</v>
      </c>
      <c r="P186" s="62" t="s">
        <v>450</v>
      </c>
      <c r="Q186" s="55" t="s">
        <v>451</v>
      </c>
      <c r="R186" s="158"/>
      <c r="S186" s="158" t="s">
        <v>451</v>
      </c>
      <c r="T186" s="158" t="s">
        <v>409</v>
      </c>
      <c r="U186" s="168" t="n">
        <f aca="false">((($I$134*$G$134)+($I$136*$G$136)+($I$139*$G$139))/1000)*$J$120</f>
        <v>9.258</v>
      </c>
      <c r="V186" s="168" t="n">
        <v>100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14</v>
      </c>
      <c r="B187" s="131" t="s">
        <v>441</v>
      </c>
      <c r="C187" s="131" t="s">
        <v>442</v>
      </c>
      <c r="D187" s="132" t="s">
        <v>274</v>
      </c>
      <c r="E187" s="130"/>
      <c r="F187" s="130" t="s">
        <v>274</v>
      </c>
      <c r="G187" s="130" t="s">
        <v>405</v>
      </c>
      <c r="H187" s="130" t="n">
        <v>6</v>
      </c>
      <c r="I187" s="133"/>
      <c r="J187" s="134" t="n">
        <f aca="false">$J$120*H187</f>
        <v>6</v>
      </c>
      <c r="N187" s="107" t="s">
        <v>445</v>
      </c>
      <c r="O187" s="62" t="s">
        <v>452</v>
      </c>
      <c r="P187" s="62" t="s">
        <v>453</v>
      </c>
      <c r="Q187" s="55" t="s">
        <v>232</v>
      </c>
      <c r="R187" s="158"/>
      <c r="S187" s="158" t="s">
        <v>232</v>
      </c>
      <c r="T187" s="158" t="s">
        <v>409</v>
      </c>
      <c r="U187" s="168" t="n">
        <f aca="false">((($I$141*$G$141*2)+($I$143*$G$143*2)+($I$144*($G$144-1)*2))/1000)*$J$120</f>
        <v>64.608</v>
      </c>
      <c r="V187" s="168" t="n">
        <v>350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15</v>
      </c>
      <c r="B188" s="131" t="s">
        <v>443</v>
      </c>
      <c r="C188" s="131" t="s">
        <v>444</v>
      </c>
      <c r="D188" s="132" t="s">
        <v>272</v>
      </c>
      <c r="E188" s="130"/>
      <c r="F188" s="130" t="s">
        <v>272</v>
      </c>
      <c r="G188" s="130" t="s">
        <v>405</v>
      </c>
      <c r="H188" s="130" t="n">
        <v>1</v>
      </c>
      <c r="I188" s="133"/>
      <c r="J188" s="134" t="n">
        <f aca="false">$J$120*H188</f>
        <v>1</v>
      </c>
      <c r="N188" s="107" t="s">
        <v>448</v>
      </c>
      <c r="O188" s="62" t="s">
        <v>454</v>
      </c>
      <c r="P188" s="62" t="s">
        <v>455</v>
      </c>
      <c r="Q188" s="55" t="s">
        <v>456</v>
      </c>
      <c r="R188" s="158"/>
      <c r="S188" s="158" t="s">
        <v>456</v>
      </c>
      <c r="T188" s="158" t="s">
        <v>409</v>
      </c>
      <c r="U188" s="168" t="n">
        <f aca="false">((($I$141*$G$141*2)+($I$143*$G$143*2)+($I$144*($G$144-1)*2))/1000)*$J$120</f>
        <v>64.608</v>
      </c>
      <c r="V188" s="168" t="n">
        <v>100</v>
      </c>
      <c r="W188" s="169" t="n">
        <f aca="false">ROUNDUP((U188)/V188,0)</f>
        <v>1</v>
      </c>
    </row>
    <row r="189" s="96" customFormat="true" ht="18" hidden="false" customHeight="true" outlineLevel="0" collapsed="false">
      <c r="A189" s="170" t="n">
        <f aca="false">IF(B189="","",+A188+1)</f>
        <v>16</v>
      </c>
      <c r="B189" s="131" t="s">
        <v>403</v>
      </c>
      <c r="C189" s="131" t="s">
        <v>404</v>
      </c>
      <c r="D189" s="132" t="s">
        <v>276</v>
      </c>
      <c r="E189" s="130"/>
      <c r="F189" s="130" t="s">
        <v>276</v>
      </c>
      <c r="G189" s="130" t="s">
        <v>405</v>
      </c>
      <c r="H189" s="130" t="n">
        <v>3</v>
      </c>
      <c r="I189" s="133"/>
      <c r="J189" s="134" t="n">
        <f aca="false">$J$120*H189</f>
        <v>3</v>
      </c>
    </row>
    <row r="190" s="96" customFormat="true" ht="18" hidden="false" customHeight="true" outlineLevel="0" collapsed="false">
      <c r="A190" s="170" t="n">
        <f aca="false">IF(B190="","",+A189+1)</f>
        <v>17</v>
      </c>
      <c r="B190" s="131" t="s">
        <v>580</v>
      </c>
      <c r="C190" s="131" t="s">
        <v>581</v>
      </c>
      <c r="D190" s="132" t="s">
        <v>582</v>
      </c>
      <c r="E190" s="130"/>
      <c r="F190" s="130" t="s">
        <v>582</v>
      </c>
      <c r="G190" s="130" t="s">
        <v>409</v>
      </c>
      <c r="H190" s="173" t="n">
        <f aca="false">((($I$148*$G$148)+($I$149*$G$149))/1000)*$J$120</f>
        <v>4.816</v>
      </c>
      <c r="I190" s="174" t="n">
        <v>100</v>
      </c>
      <c r="J190" s="175" t="n">
        <f aca="false">ROUNDUP((H190)/100,0)</f>
        <v>1</v>
      </c>
    </row>
    <row r="191" s="96" customFormat="true" ht="18" hidden="false" customHeight="true" outlineLevel="0" collapsed="false">
      <c r="A191" s="170" t="n">
        <f aca="false">IF(B191="","",+A190+1)</f>
        <v>18</v>
      </c>
      <c r="B191" s="131" t="s">
        <v>583</v>
      </c>
      <c r="C191" s="131" t="s">
        <v>584</v>
      </c>
      <c r="D191" s="132" t="s">
        <v>585</v>
      </c>
      <c r="E191" s="130"/>
      <c r="F191" s="130" t="s">
        <v>585</v>
      </c>
      <c r="G191" s="130" t="s">
        <v>409</v>
      </c>
      <c r="H191" s="173" t="n">
        <f aca="false">((($I$144*$G$144)+($I$145*$G$145))/1000)*$J$120</f>
        <v>9.632</v>
      </c>
      <c r="I191" s="174" t="n">
        <v>100</v>
      </c>
      <c r="J191" s="175" t="n">
        <f aca="false">ROUNDUP((H191)/100,0)</f>
        <v>1</v>
      </c>
    </row>
    <row r="192" s="96" customFormat="true" ht="18" hidden="false" customHeight="true" outlineLevel="0" collapsed="false">
      <c r="A192" s="170" t="n">
        <f aca="false">IF(B192="","",+A191+1)</f>
        <v>19</v>
      </c>
      <c r="B192" s="132" t="str">
        <f aca="false">IF($D$129="Standard",$O$185,IF($D$129="Soumdproof",$O$186,))</f>
        <v>ยางเฟรมกันน้ำ (ธรรมดา)</v>
      </c>
      <c r="C192" s="132" t="str">
        <f aca="false">IF($D$129="Standard",$P$185,IF($D$129="Soumdproof",$P$186,))</f>
        <v>FRAME SEAL (Standard)</v>
      </c>
      <c r="D192" s="132" t="str">
        <f aca="false">IF($D$129="Standard",$Q$185,IF($D$129="Soumdproof",$Q$186,))</f>
        <v>02-026</v>
      </c>
      <c r="E192" s="130" t="n">
        <f aca="false">IF($D$129="Standard",R190,IF($D$129="Soumdproof",R191,))</f>
        <v>0</v>
      </c>
      <c r="F192" s="130" t="str">
        <f aca="false">IF($D$129="Standard",$S$185,IF($D$129="Soumdproof",$S$186,))</f>
        <v>02-026</v>
      </c>
      <c r="G192" s="130" t="str">
        <f aca="false">IF($D$129="Standard",$T$185,IF($D$129="Soumdproof",$T$186,))</f>
        <v>M</v>
      </c>
      <c r="H192" s="173" t="n">
        <f aca="false">IF($D$129="Standard",$U$185,IF($D$129="Soumdproof",$U$186,))</f>
        <v>9.258</v>
      </c>
      <c r="I192" s="174" t="n">
        <f aca="false">IF($D$129="Standard",$V$185,IF($D$129="Soumdproof",$V$186,))</f>
        <v>300</v>
      </c>
      <c r="J192" s="175" t="n">
        <f aca="false">ROUNDUP((H192)/100,0)</f>
        <v>1</v>
      </c>
    </row>
    <row r="193" s="96" customFormat="true" ht="18" hidden="false" customHeight="true" outlineLevel="0" collapsed="false">
      <c r="A193" s="170" t="n">
        <f aca="false">IF(B193="","",+A192+1)</f>
        <v>20</v>
      </c>
      <c r="B193" s="132" t="str">
        <f aca="false">IF($D$129="Standard",$O$187,IF($D$129="Soumdproof",$O$188,))</f>
        <v>ยางแซชกันน้ำ (ธรรมดา)</v>
      </c>
      <c r="C193" s="132" t="str">
        <f aca="false">IF($D$129="Standard",$P$187,IF($D$129="Soumdproof",$P$188,))</f>
        <v>SASH SEAL FOAM (Standard)</v>
      </c>
      <c r="D193" s="132" t="str">
        <f aca="false">IF($D$129="Standard",$Q$187,IF($D$129="Soumdproof",$Q$188,))</f>
        <v>02-031</v>
      </c>
      <c r="E193" s="130" t="n">
        <f aca="false">IF($D$129="Standard",R192,IF($D$129="Soumdproof",R193,))</f>
        <v>0</v>
      </c>
      <c r="F193" s="130" t="str">
        <f aca="false">IF($D$129="Standard",$S$187,IF($D$129="Soumdproof",$S$188,))</f>
        <v>02-031</v>
      </c>
      <c r="G193" s="130" t="str">
        <f aca="false">IF($D$129="Standard",$T$187,IF($D$129="Soumdproof",$T$188,))</f>
        <v>M</v>
      </c>
      <c r="H193" s="173" t="n">
        <f aca="false">IF($D$129="Standard",$U$187,IF($D$129="Soumdproof",$U$188,))</f>
        <v>64.608</v>
      </c>
      <c r="I193" s="174" t="n">
        <f aca="false">IF($D$129="Standard",$V$187,IF($D$129="Soumdproof",$V$188,))</f>
        <v>350</v>
      </c>
      <c r="J193" s="175" t="n">
        <f aca="false">ROUNDUP((H193)/100,0)</f>
        <v>1</v>
      </c>
    </row>
    <row r="194" customFormat="false" ht="18" hidden="false" customHeight="true" outlineLevel="0" collapsed="false">
      <c r="A194" s="170" t="n">
        <f aca="false">IF(B194="","",+A193+1)</f>
        <v>21</v>
      </c>
      <c r="B194" s="176" t="str">
        <f aca="false">IF($D$127=5,$O$176,IF($D$127=6,$O$177,IF($D$127=8,$O$178,IF($D$127=10,$O$176,IF($D$127=12,$O$176,IF($D$127=14,$O$178,IF($D$127=18,$O$176,IF($D$127=20,$O$177,IF($D$127=22,"")))))))))</f>
        <v>6,20 mm ยางอัดกระจก</v>
      </c>
      <c r="C194" s="176" t="str">
        <f aca="false">IF($D$127=5,$P$176,IF($D$127=6,$P$177,IF($D$127=8,$P$178,IF($D$127=10,$P$176,IF($D$127=12,$P$176,IF($D$127=14,$P$178,IF($D$127=18,$P$176,IF($D$127=20,$P$177,IF($D$127=22,"")))))))))</f>
        <v>6,20 mm ROLL IN WEDGE</v>
      </c>
      <c r="D194" s="176" t="str">
        <f aca="false">IF($D$127=5,$Q$176,IF($D$127=6,$Q$177,IF($D$127=8,$Q$178,IF($D$127=10,$Q$176,IF($D$127=12,$Q$176,IF($D$127=14,$Q$178,IF($D$127=18,$Q$176,IF($D$127=20,$Q$177,IF($D$127=22,"")))))))))</f>
        <v>02-034</v>
      </c>
      <c r="E194" s="176" t="n">
        <f aca="false">IF($D$127=5,R181,IF($D$127=6,R182,IF($D$127=8,R183,IF($D$127=10,R181,IF($D$127=12,R181,IF($D$127=14,R183,IF($D$127=18,R181,IF($D$127=20,R182,IF($D$127=22,"",)))))))))</f>
        <v>0</v>
      </c>
      <c r="F194" s="167" t="str">
        <f aca="false">IF($D$127=5,$S$176,IF($D$127=6,$S$177,IF($D$127=8,$S$178,IF($D$127=10,$S$176,IF($D$127=12,$S$176,IF($D$127=14,$S$178,IF($D$127=18,$S$176,IF($D$127=20,$S$177,IF($D$127=22,"")))))))))</f>
        <v>02-034</v>
      </c>
      <c r="G194" s="167" t="str">
        <f aca="false">IF($D$127=5,$T$176,IF($D$127=6,$T$177,IF($D$127=8,$T$178,IF($D$127=10,$T$176,IF($D$127=12,$T$176,IF($D$127=14,$T$178,IF($D$127=18,$T$176,IF($D$127=20,$T$177,IF($D$127=22,"")))))))))</f>
        <v>M</v>
      </c>
      <c r="H194" s="173" t="n">
        <f aca="false">IF($D$127=5,$U$176,IF($D$127=6,$U$177,IF($D$127=8,$U$178,IF($D$127=10,$U$176*2,IF($D$127=12,$U$176,IF($D$127=14,$U$178*2,IF($D$127=18,$U$176,IF($D$127=20,$U$177,IF($D$127=22,"")))))))))</f>
        <v>40.528</v>
      </c>
      <c r="I194" s="174" t="n">
        <f aca="false">IF($D$127=5,$V$176,IF($D$127=6,$V$177,IF($D$127=8,$V$178,IF($D$127=10,$V$176,IF($D$127=12,$V$176,IF($D$127=14,$V$178,IF($D$127=18,$V$176,IF($D$127=20,$V$177,IF($D$127=22,"")))))))))</f>
        <v>100</v>
      </c>
      <c r="J194" s="175" t="n">
        <f aca="false">ROUNDUP((H194)/100,0)</f>
        <v>1</v>
      </c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</row>
    <row r="195" s="96" customFormat="true" ht="18" hidden="false" customHeight="true" outlineLevel="0" collapsed="false">
      <c r="A195" s="170" t="n">
        <f aca="false">IF(B195="","",+A194+1)</f>
        <v>22</v>
      </c>
      <c r="B195" s="176" t="str">
        <f aca="false">IF($D$127=5,$O$174,IF($D$127=6,$O$174,IF($D$127=8,$O$176,IF($D$127=10,"",IF($D$127=12,$O$175,IF($D$127=14,"",IF($D$127=18,$O$174,IF($D$127=20,$O$175,IF($D$127=22,"",)))))))))</f>
        <v>5,6,18 mm ยางรองกระจก</v>
      </c>
      <c r="C195" s="176" t="str">
        <f aca="false">IF($D$127=5,$P$174,IF($D$127=6,$P$174,IF($D$127=8,$P$176,IF($D$127=10,"",IF($D$127=12,$P$175,IF($D$127=14,"",IF($D$127=18,$P$174,IF($D$127=20,$P$175,IF($D$127=22,"",)))))))))</f>
        <v>5,6,18 mm CAPTIVE WEDGE</v>
      </c>
      <c r="D195" s="176" t="str">
        <f aca="false">IF($D$127=5,$Q$174,IF($D$127=6,$Q$174,IF($D$127=8,$Q$176,IF($D$127=10,"",IF($D$127=12,$Q$175,IF($D$127=14,"",IF($D$127=18,$Q$174,IF($D$127=20,$Q$175,IF($D$127=22,"",)))))))))</f>
        <v>02-022</v>
      </c>
      <c r="E195" s="176" t="n">
        <f aca="false">IF($D$127=5,R179,IF($D$127=6,R179,IF($D$127=8,R181,IF($D$127=10,"",IF($D$127=12,R180,IF($D$127=14,"",IF($D$127=18,R179,IF($D$127=20,R180,IF($D$127=22,"",)))))))))</f>
        <v>0</v>
      </c>
      <c r="F195" s="167" t="str">
        <f aca="false">IF($D$127=5,$S$174,IF($D$127=6,$S$174,IF($D$127=8,$S$176,IF($D$127=10,"",IF($D$127=12,$S$175,IF($D$127=14,"",IF($D$127=18,$S$174,IF($D$127=20,$S$175,IF($D$127=22,"",)))))))))</f>
        <v>02-022</v>
      </c>
      <c r="G195" s="167" t="str">
        <f aca="false">IF($D$127=5,$T$174,IF($D$127=6,$T$174,IF($D$127=8,$T$176,IF($D$127=10,"",IF($D$127=12,$T$175,IF($D$127=14,"",IF($D$127=18,$T$174,IF($D$127=20,$T$175,IF($D$127=22,"",)))))))))</f>
        <v>M</v>
      </c>
      <c r="H195" s="173" t="n">
        <f aca="false">IF($D$127=5,$U$174,IF($D$127=6,$U$174,IF($D$127=8,$U$176,IF($D$127=10,"",IF($D$127=12,$U$175,IF($D$127=14,"",IF($D$127=18,$U$174,IF($D$127=20,$U$175,IF($D$127=22,"")))))))))</f>
        <v>40.528</v>
      </c>
      <c r="I195" s="174" t="n">
        <f aca="false">IF($D$127=5,$V$174,IF($D$127=6,$V$174,IF($D$127=8,$V$176,IF($D$127=10,"",IF($D$127=12,$V$175,IF($D$127=14,"",IF($D$127=18,$V$174,IF($D$127=20,$V$175,IF($D$127=22,"",)))))))))</f>
        <v>100</v>
      </c>
      <c r="J195" s="175" t="n">
        <f aca="false">ROUNDUP((H195)/100,0)</f>
        <v>1</v>
      </c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30"/>
      <c r="I196" s="133"/>
      <c r="J196" s="134"/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$J$120*G197</f>
        <v>0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$J$120*G198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$J$120*G199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$J$120*G200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$J$120*G201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/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$J$120*G203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$J$120*G204</f>
        <v>0</v>
      </c>
    </row>
    <row r="205" s="96" customFormat="true" ht="18" hidden="false" customHeight="true" outlineLevel="0" collapsed="false">
      <c r="A205" s="179" t="str">
        <f aca="false">IF(B205="","",+A204+1)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$J$120*G205</f>
        <v>0</v>
      </c>
    </row>
    <row r="206" s="96" customFormat="true" ht="18" hidden="false" customHeight="true" outlineLevel="0" collapsed="false">
      <c r="A206" s="200"/>
      <c r="B206" s="98"/>
      <c r="D206" s="98"/>
      <c r="E206" s="97"/>
      <c r="F206" s="98"/>
      <c r="G206" s="98"/>
      <c r="H206" s="98"/>
      <c r="I206" s="196"/>
      <c r="J206" s="196"/>
    </row>
    <row r="207" customFormat="false" ht="18" hidden="false" customHeight="true" outlineLevel="0" collapsed="false">
      <c r="A207" s="97"/>
      <c r="J207" s="92" t="str">
        <f aca="false">LEFT($J$111,13)&amp;"-02"</f>
        <v>FG-240-7P6L1R-02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565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3440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566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3414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641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3440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97"/>
      <c r="H252" s="97"/>
      <c r="I252" s="196"/>
      <c r="J252" s="196"/>
    </row>
    <row r="253" s="96" customFormat="true" ht="15.75" hidden="false" customHeight="true" outlineLevel="0" collapsed="false">
      <c r="A253" s="191"/>
      <c r="B253" s="191"/>
      <c r="D253" s="192"/>
      <c r="E253" s="191"/>
      <c r="F253" s="191"/>
      <c r="G253" s="97"/>
      <c r="H253" s="97"/>
      <c r="I253" s="196"/>
      <c r="J253" s="196"/>
    </row>
    <row r="254" s="96" customFormat="true" ht="15.75" hidden="false" customHeight="true" outlineLevel="0" collapsed="false">
      <c r="A254" s="190"/>
      <c r="B254" s="190"/>
      <c r="C254" s="184" t="s">
        <v>520</v>
      </c>
      <c r="D254" s="194"/>
      <c r="E254" s="190"/>
      <c r="F254" s="189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459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460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5" t="n">
        <f aca="false">$I$136</f>
        <v>3440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7" t="n">
        <f aca="false">$J$136</f>
        <v>1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C262" s="98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184" t="s">
        <v>586</v>
      </c>
      <c r="D264" s="98"/>
      <c r="E264" s="97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522</v>
      </c>
      <c r="D265" s="181"/>
      <c r="E265" s="181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468</v>
      </c>
      <c r="D266" s="181"/>
      <c r="E266" s="181"/>
      <c r="F266" s="97"/>
      <c r="G266" s="97"/>
      <c r="H266" s="97"/>
      <c r="J266" s="97"/>
    </row>
    <row r="267" s="96" customFormat="true" ht="15.75" hidden="false" customHeight="true" outlineLevel="0" collapsed="false">
      <c r="A267" s="200"/>
      <c r="C267" s="185" t="n">
        <f aca="false">$I$137</f>
        <v>2500</v>
      </c>
      <c r="D267" s="98"/>
      <c r="E267" s="97"/>
      <c r="F267" s="97"/>
      <c r="J267" s="97"/>
    </row>
    <row r="268" s="96" customFormat="true" ht="15.75" hidden="false" customHeight="true" outlineLevel="0" collapsed="false">
      <c r="A268" s="200"/>
      <c r="C268" s="187" t="n">
        <f aca="false">$J$137+$J$138</f>
        <v>2</v>
      </c>
      <c r="D268" s="98"/>
      <c r="E268" s="97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I272" s="196"/>
      <c r="J272" s="196"/>
    </row>
    <row r="273" s="96" customFormat="true" ht="15.75" hidden="false" customHeight="true" outlineLevel="0" collapsed="false">
      <c r="A273" s="200"/>
      <c r="D273" s="98"/>
      <c r="E273" s="97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C274" s="184" t="s">
        <v>588</v>
      </c>
      <c r="D274" s="201"/>
      <c r="E274" s="196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1" t="s">
        <v>470</v>
      </c>
      <c r="D275" s="181"/>
      <c r="E275" s="181"/>
      <c r="F275" s="97"/>
      <c r="G275" s="97"/>
      <c r="I275" s="97"/>
      <c r="J275" s="196"/>
    </row>
    <row r="276" s="96" customFormat="true" ht="15.75" hidden="false" customHeight="true" outlineLevel="0" collapsed="false">
      <c r="A276" s="200"/>
      <c r="C276" s="181" t="s">
        <v>471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5" t="n">
        <f aca="false">$I$139</f>
        <v>2404</v>
      </c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7" t="n">
        <f aca="false">$J$139+$J$140</f>
        <v>2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F279" s="97"/>
      <c r="G279" s="97"/>
      <c r="H279" s="97"/>
      <c r="J279" s="97"/>
    </row>
    <row r="280" s="96" customFormat="true" ht="15.75" hidden="false" customHeight="true" outlineLevel="0" collapsed="false">
      <c r="A280" s="200"/>
      <c r="D280" s="98"/>
      <c r="E280" s="97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I282" s="201"/>
      <c r="J282" s="196"/>
    </row>
    <row r="283" s="96" customFormat="true" ht="15.75" hidden="false" customHeight="true" outlineLevel="0" collapsed="false">
      <c r="A283" s="200"/>
      <c r="C283" s="184" t="s">
        <v>524</v>
      </c>
      <c r="F283" s="97"/>
      <c r="G283" s="97"/>
      <c r="H283" s="97"/>
      <c r="I283" s="97"/>
      <c r="J283" s="196"/>
    </row>
    <row r="284" s="96" customFormat="true" ht="15.75" hidden="false" customHeight="true" outlineLevel="0" collapsed="false">
      <c r="A284" s="200"/>
      <c r="C284" s="83" t="s">
        <v>711</v>
      </c>
      <c r="D284" s="98"/>
      <c r="E284" s="97"/>
      <c r="F284" s="97"/>
      <c r="G284" s="97"/>
      <c r="H284" s="97"/>
      <c r="I284" s="196"/>
      <c r="J284" s="196"/>
    </row>
    <row r="285" s="96" customFormat="true" ht="15.75" hidden="false" customHeight="true" outlineLevel="0" collapsed="false">
      <c r="A285" s="200"/>
      <c r="C285" s="181" t="s">
        <v>712</v>
      </c>
      <c r="D285" s="98"/>
      <c r="E285" s="97"/>
      <c r="F285" s="97"/>
      <c r="G285" s="97"/>
      <c r="H285" s="97"/>
      <c r="I285" s="196"/>
      <c r="J285" s="196"/>
    </row>
    <row r="286" s="96" customFormat="true" ht="15.75" hidden="false" customHeight="true" outlineLevel="0" collapsed="false">
      <c r="A286" s="200"/>
      <c r="C286" s="181" t="s">
        <v>475</v>
      </c>
      <c r="D286" s="181"/>
      <c r="E286" s="181"/>
      <c r="F286" s="97"/>
      <c r="G286" s="97"/>
      <c r="I286" s="196"/>
      <c r="J286" s="196"/>
    </row>
    <row r="287" s="202" customFormat="true" ht="15.75" hidden="false" customHeight="true" outlineLevel="0" collapsed="false">
      <c r="A287" s="200"/>
      <c r="B287" s="96"/>
      <c r="C287" s="181" t="s">
        <v>476</v>
      </c>
      <c r="D287" s="181"/>
      <c r="E287" s="181"/>
      <c r="F287" s="97"/>
      <c r="G287" s="97"/>
      <c r="H287" s="96"/>
      <c r="I287" s="97"/>
      <c r="J287" s="97"/>
    </row>
    <row r="288" s="96" customFormat="true" ht="15.75" hidden="false" customHeight="true" outlineLevel="0" collapsed="false">
      <c r="A288" s="200"/>
      <c r="C288" s="185" t="n">
        <f aca="false">$I$141</f>
        <v>486.857142857143</v>
      </c>
      <c r="F288" s="97"/>
      <c r="G288" s="97"/>
      <c r="I288" s="191"/>
      <c r="J288" s="199"/>
    </row>
    <row r="289" s="96" customFormat="true" ht="15.75" hidden="false" customHeight="true" outlineLevel="0" collapsed="false">
      <c r="A289" s="200"/>
      <c r="C289" s="187" t="n">
        <f aca="false">$J$141+$J$142</f>
        <v>14</v>
      </c>
      <c r="D289" s="98"/>
      <c r="E289" s="97"/>
      <c r="F289" s="97"/>
      <c r="G289" s="97"/>
      <c r="H289" s="98"/>
      <c r="I289" s="189"/>
      <c r="J289" s="190"/>
    </row>
    <row r="290" s="96" customFormat="true" ht="15.75" hidden="false" customHeight="true" outlineLevel="0" collapsed="false">
      <c r="A290" s="200"/>
      <c r="C290" s="185" t="n">
        <f aca="false">$I$143</f>
        <v>2408</v>
      </c>
      <c r="D290" s="98"/>
      <c r="E290" s="97"/>
      <c r="F290" s="97"/>
      <c r="G290" s="97"/>
      <c r="H290" s="97"/>
      <c r="I290" s="196"/>
      <c r="J290" s="196"/>
    </row>
    <row r="291" s="96" customFormat="true" ht="15.75" hidden="false" customHeight="true" outlineLevel="0" collapsed="false">
      <c r="A291" s="200"/>
      <c r="C291" s="187" t="n">
        <f aca="false">$J$143+$J$144+$J$145</f>
        <v>14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D293" s="98"/>
      <c r="E293" s="97"/>
      <c r="F293" s="97"/>
      <c r="G293" s="97"/>
      <c r="H293" s="97"/>
      <c r="I293" s="97"/>
      <c r="J293" s="196"/>
    </row>
    <row r="294" s="96" customFormat="true" ht="15.75" hidden="false" customHeight="true" outlineLevel="0" collapsed="false">
      <c r="A294" s="200"/>
      <c r="C294" s="202"/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184" t="s">
        <v>525</v>
      </c>
      <c r="D295" s="98"/>
      <c r="E295" s="97"/>
      <c r="F295" s="97"/>
      <c r="G295" s="97"/>
      <c r="H295" s="97"/>
      <c r="I295" s="97"/>
      <c r="J295" s="196"/>
    </row>
    <row r="296" s="96" customFormat="true" ht="15.75" hidden="false" customHeight="true" outlineLevel="0" collapsed="false">
      <c r="A296" s="200"/>
      <c r="C296" s="83" t="s">
        <v>711</v>
      </c>
      <c r="D296" s="98"/>
      <c r="E296" s="97"/>
      <c r="F296" s="97"/>
      <c r="G296" s="191"/>
      <c r="H296" s="191"/>
      <c r="I296" s="97"/>
      <c r="J296" s="196"/>
    </row>
    <row r="297" s="96" customFormat="true" ht="15.75" hidden="false" customHeight="true" outlineLevel="0" collapsed="false">
      <c r="A297" s="200"/>
      <c r="C297" s="181" t="s">
        <v>716</v>
      </c>
      <c r="D297" s="181"/>
      <c r="E297" s="181"/>
      <c r="F297" s="97"/>
      <c r="G297" s="190"/>
      <c r="H297" s="189"/>
      <c r="I297" s="97"/>
      <c r="J297" s="196"/>
    </row>
    <row r="298" s="96" customFormat="true" ht="15.75" hidden="false" customHeight="true" outlineLevel="0" collapsed="false">
      <c r="A298" s="107"/>
      <c r="C298" s="181" t="s">
        <v>478</v>
      </c>
      <c r="D298" s="181"/>
      <c r="E298" s="181"/>
      <c r="F298" s="97"/>
      <c r="G298" s="97"/>
      <c r="H298" s="97"/>
      <c r="I298" s="97"/>
      <c r="J298" s="196"/>
    </row>
    <row r="299" s="96" customFormat="true" ht="15.75" hidden="false" customHeight="true" outlineLevel="0" collapsed="false">
      <c r="A299" s="191"/>
      <c r="B299" s="191"/>
      <c r="C299" s="181" t="s">
        <v>479</v>
      </c>
      <c r="D299" s="203"/>
      <c r="E299" s="204"/>
      <c r="F299" s="191"/>
      <c r="G299" s="97"/>
      <c r="H299" s="97"/>
      <c r="I299" s="97"/>
      <c r="J299" s="196"/>
    </row>
    <row r="300" s="96" customFormat="true" ht="15.75" hidden="false" customHeight="true" outlineLevel="0" collapsed="false">
      <c r="A300" s="190"/>
      <c r="B300" s="190"/>
      <c r="C300" s="185" t="n">
        <f aca="false">$I$146</f>
        <v>376.5</v>
      </c>
      <c r="D300" s="205"/>
      <c r="E300" s="206"/>
      <c r="F300" s="189"/>
      <c r="G300" s="97"/>
      <c r="H300" s="97"/>
      <c r="I300" s="97"/>
      <c r="J300" s="196"/>
    </row>
    <row r="301" s="96" customFormat="true" ht="15.75" hidden="false" customHeight="true" outlineLevel="0" collapsed="false">
      <c r="A301" s="97"/>
      <c r="C301" s="187" t="n">
        <f aca="false">$J$146</f>
        <v>14</v>
      </c>
      <c r="D301" s="98"/>
      <c r="F301" s="97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5" t="n">
        <f aca="false">$I$147</f>
        <v>2258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7" t="n">
        <f aca="false">$J$147</f>
        <v>14</v>
      </c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C306" s="184" t="s">
        <v>591</v>
      </c>
      <c r="D306" s="98"/>
      <c r="E306" s="97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1" t="s">
        <v>475</v>
      </c>
      <c r="D307" s="181"/>
      <c r="E307" s="181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249" t="s">
        <v>476</v>
      </c>
      <c r="D308" s="249"/>
      <c r="E308" s="249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5" t="n">
        <f aca="false">$I$148</f>
        <v>2408</v>
      </c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7" t="n">
        <f aca="false">$J$148+$J$149</f>
        <v>2</v>
      </c>
      <c r="D310" s="181"/>
      <c r="E310" s="181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LEFT($J$111,13)&amp;"-03"</f>
        <v>FG-240-7P6L1R-03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A316" s="97"/>
      <c r="B316" s="49"/>
      <c r="C316" s="49"/>
      <c r="D316" s="207"/>
      <c r="E316" s="200"/>
      <c r="F316" s="200"/>
      <c r="G316" s="200"/>
      <c r="H316" s="200"/>
      <c r="I316" s="208"/>
      <c r="J316" s="77" t="str">
        <f aca="false">$J$2</f>
        <v>HOMELIFE</v>
      </c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240-7 Panel (6L1R)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195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91"/>
      <c r="D405" s="98"/>
      <c r="E405" s="97"/>
      <c r="F405" s="97"/>
      <c r="G405" s="97"/>
      <c r="H405" s="97"/>
      <c r="I405" s="191"/>
      <c r="J405" s="199"/>
    </row>
    <row r="406" s="96" customFormat="true" ht="15.75" hidden="false" customHeight="true" outlineLevel="0" collapsed="false">
      <c r="A406" s="191"/>
      <c r="D406" s="98"/>
      <c r="E406" s="97"/>
      <c r="F406" s="97"/>
      <c r="G406" s="97"/>
      <c r="H406" s="97"/>
      <c r="I406" s="191"/>
      <c r="J406" s="199"/>
    </row>
    <row r="407" s="96" customFormat="true" ht="15.75" hidden="false" customHeight="true" outlineLevel="0" collapsed="false">
      <c r="A407" s="191"/>
      <c r="D407" s="98"/>
      <c r="E407" s="97"/>
      <c r="F407" s="97"/>
      <c r="G407" s="97"/>
      <c r="H407" s="97"/>
      <c r="I407" s="191"/>
      <c r="J407" s="199"/>
    </row>
    <row r="408" s="96" customFormat="true" ht="15.75" hidden="false" customHeight="true" outlineLevel="0" collapsed="false">
      <c r="A408" s="191"/>
      <c r="D408" s="98"/>
      <c r="E408" s="97"/>
      <c r="F408" s="97"/>
      <c r="G408" s="97"/>
      <c r="H408" s="97"/>
      <c r="I408" s="191"/>
      <c r="J408" s="199"/>
    </row>
    <row r="409" s="96" customFormat="true" ht="15.75" hidden="false" customHeight="true" outlineLevel="0" collapsed="false">
      <c r="A409" s="191"/>
      <c r="D409" s="98"/>
      <c r="E409" s="97"/>
      <c r="F409" s="97"/>
      <c r="G409" s="97"/>
      <c r="H409" s="97"/>
      <c r="I409" s="191"/>
      <c r="J409" s="199"/>
    </row>
    <row r="410" s="96" customFormat="true" ht="15.75" hidden="false" customHeight="true" outlineLevel="0" collapsed="false">
      <c r="A410" s="191"/>
      <c r="D410" s="98"/>
      <c r="E410" s="97"/>
      <c r="F410" s="97"/>
      <c r="G410" s="97"/>
      <c r="H410" s="97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LEFT($J$111,13)&amp;"-04"</f>
        <v>FG-240-7P6L1R-04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77" t="str">
        <f aca="false">$J$2</f>
        <v>HOMELIFE</v>
      </c>
      <c r="K423" s="78"/>
      <c r="L423" s="78"/>
      <c r="M423" s="79"/>
      <c r="N423" s="79"/>
    </row>
    <row r="424" customFormat="false" ht="24.75" hidden="false" customHeight="true" outlineLevel="0" collapsed="false">
      <c r="A424" s="97"/>
      <c r="B424" s="96"/>
      <c r="C424" s="96"/>
      <c r="D424" s="98"/>
      <c r="E424" s="97"/>
      <c r="F424" s="97"/>
      <c r="G424" s="97"/>
      <c r="H424" s="97"/>
      <c r="I424" s="97"/>
      <c r="J424" s="80" t="str">
        <f aca="false">$J$3</f>
        <v>Fabricators Guide</v>
      </c>
      <c r="K424" s="78"/>
      <c r="L424" s="78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$J$4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240-7 Panel (6L1R)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191"/>
      <c r="C442" s="212"/>
      <c r="D442" s="98"/>
      <c r="E442" s="97"/>
      <c r="F442" s="97"/>
      <c r="H442" s="191"/>
      <c r="I442" s="191"/>
      <c r="J442" s="199"/>
    </row>
    <row r="443" s="96" customFormat="true" ht="15.75" hidden="false" customHeight="true" outlineLevel="0" collapsed="false">
      <c r="A443" s="190"/>
      <c r="C443" s="191"/>
      <c r="D443" s="192"/>
      <c r="E443" s="191"/>
      <c r="F443" s="191"/>
      <c r="H443" s="191"/>
      <c r="I443" s="191"/>
      <c r="J443" s="199"/>
    </row>
    <row r="444" s="96" customFormat="true" ht="34.5" hidden="false" customHeight="true" outlineLevel="0" collapsed="false">
      <c r="A444" s="97"/>
      <c r="C444" s="98"/>
      <c r="D444" s="194"/>
      <c r="E444" s="190"/>
      <c r="F444" s="189"/>
      <c r="H444" s="191"/>
      <c r="I444" s="196"/>
      <c r="J444" s="196"/>
    </row>
    <row r="445" customFormat="false" ht="15" hidden="false" customHeight="true" outlineLevel="0" collapsed="false">
      <c r="B445" s="211"/>
      <c r="C445" s="98"/>
      <c r="D445" s="98"/>
      <c r="E445" s="97"/>
      <c r="F445" s="98"/>
      <c r="G445" s="97"/>
      <c r="H445" s="97"/>
    </row>
    <row r="450" s="96" customFormat="true" ht="15.75" hidden="false" customHeight="true" outlineLevel="0" collapsed="false">
      <c r="A450" s="97"/>
      <c r="D450" s="73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191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97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196"/>
      <c r="J457" s="196"/>
    </row>
    <row r="458" s="96" customFormat="true" ht="15.7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195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202" customFormat="true" ht="15.75" hidden="false" customHeight="true" outlineLevel="0" collapsed="false">
      <c r="A477" s="97"/>
      <c r="B477" s="96"/>
      <c r="C477" s="96"/>
      <c r="D477" s="98"/>
      <c r="E477" s="97"/>
      <c r="F477" s="97"/>
      <c r="G477" s="97"/>
      <c r="H477" s="97"/>
      <c r="I477" s="97"/>
      <c r="J477" s="97"/>
    </row>
    <row r="478" s="96" customFormat="true" ht="15.75" hidden="false" customHeight="true" outlineLevel="0" collapsed="false">
      <c r="A478" s="191"/>
      <c r="D478" s="98"/>
      <c r="E478" s="97"/>
      <c r="F478" s="97"/>
      <c r="G478" s="97"/>
      <c r="H478" s="97"/>
      <c r="I478" s="191"/>
      <c r="J478" s="199"/>
    </row>
    <row r="479" s="96" customFormat="true" ht="15.75" hidden="false" customHeight="true" outlineLevel="0" collapsed="false">
      <c r="A479" s="190"/>
      <c r="B479" s="191"/>
      <c r="C479" s="191"/>
      <c r="D479" s="192"/>
      <c r="E479" s="191"/>
      <c r="F479" s="191"/>
      <c r="G479" s="191"/>
      <c r="H479" s="191"/>
      <c r="I479" s="189"/>
      <c r="J479" s="190"/>
    </row>
    <row r="480" s="96" customFormat="true" ht="15.75" hidden="false" customHeight="true" outlineLevel="0" collapsed="false">
      <c r="A480" s="200"/>
      <c r="B480" s="190"/>
      <c r="C480" s="191"/>
      <c r="D480" s="194"/>
      <c r="E480" s="190"/>
      <c r="F480" s="189"/>
      <c r="G480" s="190"/>
      <c r="H480" s="189"/>
      <c r="I480" s="196"/>
      <c r="J480" s="196"/>
    </row>
    <row r="481" s="96" customFormat="true" ht="15.75" hidden="false" customHeight="true" outlineLevel="0" collapsed="false">
      <c r="A481" s="200"/>
      <c r="C481" s="182"/>
      <c r="D481" s="98"/>
      <c r="E481" s="97"/>
      <c r="F481" s="97"/>
      <c r="G481" s="97"/>
      <c r="H481" s="182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C487" s="98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182"/>
      <c r="J499" s="97"/>
    </row>
    <row r="500" s="96" customFormat="true" ht="15.75" hidden="false" customHeight="true" outlineLevel="0" collapsed="false">
      <c r="A500" s="200"/>
      <c r="C500" s="188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I501" s="196"/>
      <c r="J501" s="196"/>
    </row>
    <row r="502" s="96" customFormat="true" ht="15.75" hidden="false" customHeight="true" outlineLevel="0" collapsed="false">
      <c r="A502" s="200"/>
      <c r="C502" s="98"/>
      <c r="D502" s="98"/>
      <c r="E502" s="97"/>
      <c r="F502" s="97"/>
      <c r="G502" s="97"/>
      <c r="H502" s="182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212"/>
      <c r="J513" s="195"/>
    </row>
    <row r="514" s="96" customFormat="true" ht="15.75" hidden="false" customHeight="true" outlineLevel="0" collapsed="false">
      <c r="A514" s="200"/>
      <c r="D514" s="98"/>
      <c r="E514" s="97"/>
      <c r="F514" s="97"/>
      <c r="G514" s="97"/>
      <c r="H514" s="238"/>
      <c r="J514" s="97"/>
    </row>
    <row r="515" s="96" customFormat="true" ht="15.75" hidden="false" customHeight="true" outlineLevel="0" collapsed="false">
      <c r="A515" s="191"/>
      <c r="D515" s="98"/>
      <c r="E515" s="97"/>
      <c r="F515" s="97"/>
      <c r="G515" s="97"/>
      <c r="I515" s="191"/>
      <c r="J515" s="199"/>
    </row>
    <row r="516" s="96" customFormat="true" ht="15.75" hidden="false" customHeight="true" outlineLevel="0" collapsed="false">
      <c r="B516" s="191"/>
      <c r="C516" s="191"/>
      <c r="D516" s="192"/>
      <c r="E516" s="191"/>
      <c r="F516" s="191"/>
      <c r="G516" s="191"/>
      <c r="H516" s="191"/>
    </row>
    <row r="517" s="96" customFormat="true" ht="15.75" hidden="false" customHeight="true" outlineLevel="0" collapsed="false"/>
    <row r="518" s="96" customFormat="true" ht="24.75" hidden="false" customHeight="true" outlineLevel="0" collapsed="false">
      <c r="A518" s="88" t="s">
        <v>482</v>
      </c>
      <c r="B518" s="88"/>
      <c r="C518" s="88"/>
      <c r="D518" s="88"/>
      <c r="E518" s="88"/>
      <c r="F518" s="88"/>
      <c r="G518" s="88"/>
      <c r="H518" s="88"/>
      <c r="I518" s="88"/>
      <c r="J518" s="88"/>
    </row>
    <row r="519" s="96" customFormat="true" ht="34.5" hidden="false" customHeight="true" outlineLevel="0" collapsed="false">
      <c r="A519" s="114" t="s">
        <v>319</v>
      </c>
      <c r="B519" s="115" t="s">
        <v>168</v>
      </c>
      <c r="C519" s="115" t="s">
        <v>168</v>
      </c>
      <c r="D519" s="116" t="s">
        <v>483</v>
      </c>
      <c r="E519" s="115" t="s">
        <v>321</v>
      </c>
      <c r="F519" s="116" t="s">
        <v>484</v>
      </c>
      <c r="G519" s="116"/>
      <c r="H519" s="116" t="s">
        <v>484</v>
      </c>
      <c r="I519" s="116" t="s">
        <v>485</v>
      </c>
      <c r="J519" s="117" t="s">
        <v>323</v>
      </c>
      <c r="N519" s="118" t="s">
        <v>168</v>
      </c>
      <c r="O519" s="118" t="s">
        <v>168</v>
      </c>
    </row>
    <row r="520" s="96" customFormat="true" ht="15.75" hidden="false" customHeight="true" outlineLevel="0" collapsed="false">
      <c r="A520" s="120" t="n">
        <f aca="false">IF(C520="","",1)</f>
        <v>1</v>
      </c>
      <c r="B520" s="121" t="str">
        <f aca="false"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 aca="false">IF($D$127=5,O520,IF($D$127=6,O521,IF($D$127=8,O522,IF($D$127=10,O523,IF($D$127=12,O524,IF($D$127=14,O525,IF($D$127=18,O526,IF($D$127=20,O527,IF($D$127=22,O528,)))))))))</f>
        <v>GLASS thk.6 mm (H) (W)</v>
      </c>
      <c r="D520" s="123" t="n">
        <f aca="false">$J$123-215</f>
        <v>2285</v>
      </c>
      <c r="E520" s="120" t="s">
        <v>486</v>
      </c>
      <c r="F520" s="224" t="s">
        <v>487</v>
      </c>
      <c r="G520" s="224"/>
      <c r="H520" s="120" t="s">
        <v>713</v>
      </c>
      <c r="I520" s="225" t="n">
        <f aca="false">(($J$126-185-(113.25*6))/7)-13</f>
        <v>363.5</v>
      </c>
      <c r="J520" s="226" t="n">
        <f aca="false">$J$120*7</f>
        <v>7</v>
      </c>
      <c r="M520" s="96" t="n">
        <f aca="false">ROW()</f>
        <v>520</v>
      </c>
      <c r="N520" s="62" t="s">
        <v>489</v>
      </c>
      <c r="O520" s="62" t="s">
        <v>490</v>
      </c>
    </row>
    <row r="521" s="96" customFormat="true" ht="15.75" hidden="false" customHeight="true" outlineLevel="0" collapsed="false">
      <c r="A521" s="269"/>
      <c r="B521" s="228"/>
      <c r="C521" s="228"/>
      <c r="D521" s="176"/>
      <c r="E521" s="167"/>
      <c r="F521" s="229"/>
      <c r="G521" s="230"/>
      <c r="H521" s="167"/>
      <c r="I521" s="231"/>
      <c r="J521" s="232"/>
      <c r="M521" s="96" t="n">
        <f aca="false">ROW()</f>
        <v>521</v>
      </c>
      <c r="N521" s="62" t="s">
        <v>491</v>
      </c>
      <c r="O521" s="62" t="s">
        <v>492</v>
      </c>
    </row>
    <row r="522" s="96" customFormat="true" ht="15.75" hidden="false" customHeight="true" outlineLevel="0" collapsed="false">
      <c r="A522" s="269"/>
      <c r="B522" s="228"/>
      <c r="C522" s="228"/>
      <c r="D522" s="176"/>
      <c r="E522" s="167"/>
      <c r="F522" s="229"/>
      <c r="G522" s="230"/>
      <c r="H522" s="167"/>
      <c r="I522" s="231"/>
      <c r="J522" s="232"/>
      <c r="M522" s="96" t="n">
        <f aca="false">ROW()</f>
        <v>522</v>
      </c>
      <c r="N522" s="62" t="s">
        <v>493</v>
      </c>
      <c r="O522" s="62" t="s">
        <v>494</v>
      </c>
    </row>
    <row r="523" s="96" customFormat="true" ht="15.75" hidden="false" customHeight="true" outlineLevel="0" collapsed="false">
      <c r="A523" s="130" t="str">
        <f aca="false">IF(B523="","",+""+1)</f>
        <v/>
      </c>
      <c r="B523" s="131"/>
      <c r="C523" s="131"/>
      <c r="D523" s="132"/>
      <c r="E523" s="130"/>
      <c r="F523" s="233"/>
      <c r="G523" s="270"/>
      <c r="H523" s="130"/>
      <c r="I523" s="142"/>
      <c r="J523" s="133"/>
      <c r="M523" s="96" t="n">
        <f aca="false">ROW()</f>
        <v>523</v>
      </c>
      <c r="N523" s="62" t="s">
        <v>495</v>
      </c>
      <c r="O523" s="62" t="s">
        <v>496</v>
      </c>
    </row>
    <row r="524" s="96" customFormat="true" ht="15.75" hidden="false" customHeight="true" outlineLevel="0" collapsed="false">
      <c r="A524" s="136" t="str">
        <f aca="false">IF(B524="","",+A523+1)</f>
        <v/>
      </c>
      <c r="B524" s="135"/>
      <c r="C524" s="135"/>
      <c r="D524" s="139"/>
      <c r="E524" s="136"/>
      <c r="F524" s="236"/>
      <c r="G524" s="237"/>
      <c r="H524" s="136"/>
      <c r="I524" s="180"/>
      <c r="J524" s="140"/>
      <c r="M524" s="96" t="n">
        <f aca="false">ROW()</f>
        <v>524</v>
      </c>
      <c r="N524" s="62" t="s">
        <v>497</v>
      </c>
      <c r="O524" s="62" t="s">
        <v>498</v>
      </c>
    </row>
    <row r="525" s="96" customFormat="true" ht="15.75" hidden="false" customHeight="true" outlineLevel="0" collapsed="false">
      <c r="A525" s="97"/>
      <c r="D525" s="98"/>
      <c r="E525" s="97"/>
      <c r="F525" s="97"/>
      <c r="G525" s="97"/>
      <c r="H525" s="97"/>
      <c r="I525" s="97"/>
      <c r="J525" s="196"/>
      <c r="M525" s="96" t="n">
        <f aca="false">ROW()</f>
        <v>525</v>
      </c>
      <c r="N525" s="62" t="s">
        <v>499</v>
      </c>
      <c r="O525" s="62" t="s">
        <v>500</v>
      </c>
    </row>
    <row r="526" customFormat="false" ht="14.25" hidden="false" customHeight="false" outlineLevel="0" collapsed="false">
      <c r="J526" s="92" t="str">
        <f aca="false">LEFT($J$111,13)&amp;"-05"</f>
        <v>FG-240-7P6L1R-05</v>
      </c>
      <c r="M526" s="96" t="n">
        <f aca="false">ROW()</f>
        <v>526</v>
      </c>
      <c r="N526" s="62" t="s">
        <v>501</v>
      </c>
      <c r="O526" s="62" t="s">
        <v>502</v>
      </c>
    </row>
    <row r="527" customFormat="false" ht="14.25" hidden="false" customHeight="false" outlineLevel="0" collapsed="false">
      <c r="M527" s="96" t="n">
        <f aca="false">ROW()</f>
        <v>527</v>
      </c>
      <c r="N527" s="62" t="s">
        <v>503</v>
      </c>
      <c r="O527" s="62" t="s">
        <v>504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505</v>
      </c>
      <c r="O528" s="62" t="s">
        <v>506</v>
      </c>
    </row>
  </sheetData>
  <mergeCells count="47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7"/>
    <mergeCell ref="H163:H167"/>
    <mergeCell ref="I166:J167"/>
    <mergeCell ref="D168:D169"/>
    <mergeCell ref="H168:H169"/>
    <mergeCell ref="I168:J168"/>
    <mergeCell ref="D170:D171"/>
    <mergeCell ref="H170:H171"/>
    <mergeCell ref="A172:J172"/>
    <mergeCell ref="A213:J213"/>
    <mergeCell ref="C308:E308"/>
    <mergeCell ref="A320:J320"/>
    <mergeCell ref="F330:G330"/>
    <mergeCell ref="F331:G331"/>
    <mergeCell ref="F334:G334"/>
    <mergeCell ref="A427:J427"/>
    <mergeCell ref="A518:J518"/>
    <mergeCell ref="F519:G519"/>
    <mergeCell ref="F520:G520"/>
  </mergeCells>
  <dataValidations count="4">
    <dataValidation allowBlank="true" errorStyle="stop" operator="between" showDropDown="false" showErrorMessage="true" showInputMessage="true" sqref="C206" type="list">
      <formula1>$O$174:$O$192</formula1>
      <formula2>0</formula2>
    </dataValidation>
    <dataValidation allowBlank="true" errorStyle="stop" operator="between" showDropDown="false" showErrorMessage="true" showInputMessage="true" sqref="D123:G123" type="list">
      <formula1>$P$118:$P$127</formula1>
      <formula2>0</formula2>
    </dataValidation>
    <dataValidation allowBlank="true" errorStyle="stop" operator="between" showDropDown="false" showErrorMessage="true" showInputMessage="true" sqref="D127:G127" type="list">
      <formula1>$N$119:$N$127</formula1>
      <formula2>0</formula2>
    </dataValidation>
    <dataValidation allowBlank="true" errorStyle="stop" operator="between" showDropDown="false" showErrorMessage="true" showInputMessage="true" sqref="D129:G129" type="list">
      <formula1>$O$119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528"/>
  <sheetViews>
    <sheetView showFormulas="false" showGridLines="false" showRowColHeaders="true" showZeros="true" rightToLeft="false" tabSelected="false" showOutlineSymbols="true" defaultGridColor="true" view="pageBreakPreview" topLeftCell="A31" colorId="64" zoomScale="75" zoomScaleNormal="75" zoomScalePageLayoutView="75" workbookViewId="0">
      <selection pane="topLeft" activeCell="D123" activeCellId="0" sqref="D123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11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6.67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0.44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727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>
      <c r="G55" s="91"/>
    </row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728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8" hidden="false" customHeight="true" outlineLevel="0" collapsed="false">
      <c r="A118" s="97"/>
      <c r="C118" s="81"/>
      <c r="D118" s="98"/>
      <c r="E118" s="83"/>
      <c r="J118" s="99"/>
      <c r="K118" s="83"/>
      <c r="N118" s="258" t="s">
        <v>288</v>
      </c>
      <c r="O118" s="97" t="s">
        <v>289</v>
      </c>
      <c r="P118" s="102" t="s">
        <v>290</v>
      </c>
    </row>
    <row r="119" s="96" customFormat="true" ht="15" hidden="false" customHeight="true" outlineLevel="0" collapsed="false">
      <c r="A119" s="97"/>
      <c r="C119" s="100" t="s">
        <v>286</v>
      </c>
      <c r="D119" s="101" t="s">
        <v>729</v>
      </c>
      <c r="E119" s="101"/>
      <c r="F119" s="101"/>
      <c r="G119" s="101"/>
      <c r="I119" s="83"/>
      <c r="J119" s="97"/>
      <c r="N119" s="259" t="n">
        <v>5</v>
      </c>
      <c r="O119" s="97" t="s">
        <v>509</v>
      </c>
      <c r="P119" s="106" t="s">
        <v>294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6</v>
      </c>
      <c r="O120" s="97" t="s">
        <v>296</v>
      </c>
      <c r="P120" s="106" t="s">
        <v>297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8</v>
      </c>
      <c r="P121" s="106" t="s">
        <v>299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10</v>
      </c>
      <c r="P122" s="106" t="s">
        <v>303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303</v>
      </c>
      <c r="E123" s="101"/>
      <c r="F123" s="101"/>
      <c r="G123" s="101"/>
      <c r="H123" s="104" t="s">
        <v>302</v>
      </c>
      <c r="I123" s="104"/>
      <c r="J123" s="105" t="n">
        <v>2500</v>
      </c>
      <c r="N123" s="259" t="n">
        <v>12</v>
      </c>
      <c r="P123" s="106" t="s">
        <v>305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14</v>
      </c>
      <c r="P124" s="106" t="s">
        <v>308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18</v>
      </c>
      <c r="P125" s="106" t="s">
        <v>311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5000</v>
      </c>
      <c r="K126" s="110"/>
      <c r="L126" s="110"/>
      <c r="N126" s="259" t="n">
        <v>20</v>
      </c>
      <c r="P126" s="106" t="s">
        <v>313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259" t="n">
        <v>22</v>
      </c>
      <c r="P127" s="106" t="s">
        <v>315</v>
      </c>
    </row>
    <row r="128" s="96" customFormat="true" ht="18.75" hidden="false" customHeight="true" outlineLevel="0" collapsed="false">
      <c r="C128" s="108" t="s">
        <v>314</v>
      </c>
      <c r="I128" s="97"/>
      <c r="J128" s="97"/>
    </row>
    <row r="129" s="96" customFormat="true" ht="15" hidden="false" customHeight="true" outlineLevel="0" collapsed="false">
      <c r="A129" s="89" t="str">
        <f aca="false">A18</f>
        <v>240-7 Panel (7L)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4940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14</v>
      </c>
      <c r="U133" s="127" t="s">
        <v>709</v>
      </c>
      <c r="V133" s="128" t="n">
        <f aca="false">($J$126-185-(113.25*6))/7</f>
        <v>590.785714285714</v>
      </c>
      <c r="W133" s="129" t="n">
        <f aca="false">$J$120*T133</f>
        <v>14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4914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14</v>
      </c>
      <c r="U134" s="130" t="s">
        <v>709</v>
      </c>
      <c r="V134" s="142" t="n">
        <f aca="false">($J$126-185-(113.25*6))/7</f>
        <v>590.785714285714</v>
      </c>
      <c r="W134" s="134" t="n">
        <f aca="false">$J$120*T134</f>
        <v>14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4940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14</v>
      </c>
      <c r="U135" s="136" t="s">
        <v>709</v>
      </c>
      <c r="V135" s="180" t="n">
        <f aca="false">($J$126-185-(113.25*6))/7</f>
        <v>590.785714285714</v>
      </c>
      <c r="W135" s="137" t="n">
        <f aca="false">$J$120*T135</f>
        <v>14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4940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14</v>
      </c>
      <c r="U136" s="127" t="s">
        <v>360</v>
      </c>
      <c r="V136" s="138" t="n">
        <f aca="false">$J$123-242</f>
        <v>2258</v>
      </c>
      <c r="W136" s="129" t="n">
        <f aca="false">$J$120*T136</f>
        <v>14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2500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14</v>
      </c>
      <c r="U137" s="130" t="s">
        <v>360</v>
      </c>
      <c r="V137" s="133" t="n">
        <f aca="false">$J$123-242</f>
        <v>2258</v>
      </c>
      <c r="W137" s="134" t="n">
        <f aca="false">$J$120*T137</f>
        <v>14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2500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14</v>
      </c>
      <c r="U138" s="136" t="s">
        <v>360</v>
      </c>
      <c r="V138" s="140" t="n">
        <f aca="false">$J$123-242</f>
        <v>2258</v>
      </c>
      <c r="W138" s="137" t="n">
        <f aca="false">$J$120*T138</f>
        <v>14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2404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2404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7</v>
      </c>
      <c r="H141" s="130" t="s">
        <v>710</v>
      </c>
      <c r="I141" s="141" t="n">
        <f aca="false">($J$126-60-(7+1)*4)/7</f>
        <v>701.142857142857</v>
      </c>
      <c r="J141" s="134" t="n">
        <f aca="false">$J$120*G141</f>
        <v>7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7</v>
      </c>
      <c r="H142" s="130" t="s">
        <v>710</v>
      </c>
      <c r="I142" s="141" t="n">
        <f aca="false">($J$126-60-(7+1)*4)/7</f>
        <v>701.142857142857</v>
      </c>
      <c r="J142" s="134" t="n">
        <f aca="false">$J$120*G142</f>
        <v>7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10</v>
      </c>
      <c r="H143" s="130" t="s">
        <v>389</v>
      </c>
      <c r="I143" s="133" t="n">
        <f aca="false">$J$123-92</f>
        <v>2408</v>
      </c>
      <c r="J143" s="134" t="n">
        <f aca="false">$J$120*G143</f>
        <v>10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563</v>
      </c>
      <c r="G144" s="130" t="n">
        <v>3</v>
      </c>
      <c r="H144" s="130" t="s">
        <v>389</v>
      </c>
      <c r="I144" s="133" t="n">
        <f aca="false">$J$123-92</f>
        <v>2408</v>
      </c>
      <c r="J144" s="134" t="n">
        <f aca="false">$J$120*G144</f>
        <v>3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531</v>
      </c>
      <c r="C145" s="131" t="s">
        <v>532</v>
      </c>
      <c r="D145" s="132" t="s">
        <v>74</v>
      </c>
      <c r="E145" s="130" t="n">
        <v>1.106</v>
      </c>
      <c r="F145" s="132" t="s">
        <v>533</v>
      </c>
      <c r="G145" s="130" t="n">
        <v>1</v>
      </c>
      <c r="H145" s="130" t="s">
        <v>389</v>
      </c>
      <c r="I145" s="133" t="n">
        <f aca="false">$J$123-92</f>
        <v>2408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6" s="131" t="str">
        <f aca="false">IF($D$127=5,Q133,IF($D$127=6,Q133,IF($D$127=8,Q134,IF($D$127=10,Q134,IF($D$127=12,Q134,IF($D$127=14,Q135,IF($D$127=18,Q135,IF($D$127=20,Q135,IF($D$127=22,Q135,)))))))))</f>
        <v>B24008</v>
      </c>
      <c r="E146" s="131" t="n">
        <f aca="false">IF($D$127=5,R133,IF($D$127=6,R133,IF($D$127=8,R134,IF($D$127=10,R134,IF($D$127=12,R134,IF($D$127=14,R135,IF($D$127=18,R135,IF($D$127=20,R135,IF($D$127=22,R135,)))))))))</f>
        <v>0.231</v>
      </c>
      <c r="F146" s="131" t="str">
        <f aca="false">IF($D$127=5,S133,IF($D$127=6,S133,IF($D$127=8,S134,IF($D$127=10,S134,IF($D$127=12,S134,IF($D$127=14,S135,IF($D$127=18,S135,IF($D$127=20,S135,IF($D$127=22,S135,)))))))))</f>
        <v>B24008-001</v>
      </c>
      <c r="G146" s="130" t="n">
        <f aca="false">IF($D$127=5,T133,IF($D$127=6,T133,IF($D$127=8,T134,IF($D$127=10,T134,IF($D$127=12,T134,IF($D$127=14,T135,IF($D$127=18,T135,IF($D$127=20,T135,IF($D$127=22,T135,)))))))))</f>
        <v>14</v>
      </c>
      <c r="H146" s="130" t="str">
        <f aca="false">IF($D$127=5,U133,IF($D$127=6,U133,IF($D$127=8,U134,IF($D$127=10,U134,IF($D$127=12,U134,IF($D$127=14,U135,IF($D$127=18,U135,IF($D$127=20,U135,IF($D$127=22,U135,)))))))))</f>
        <v>(W-185-(113.25 × 6))/7</v>
      </c>
      <c r="I146" s="141" t="n">
        <f aca="false">IF($D$127=5,V133,IF($D$127=6,V133,IF($D$127=8,V134,IF($D$127=10,V134,IF($D$127=12,V134,IF($D$127=14,V135,IF($D$127=18,V135,IF($D$127=20,V135,IF($D$127=22,V135,)))))))))</f>
        <v>590.785714285714</v>
      </c>
      <c r="J146" s="134" t="n">
        <f aca="false">$J$120*G146</f>
        <v>14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7" s="131" t="str">
        <f aca="false">IF($D$127=5,Q136,IF($D$127=6,Q136,IF($D$127=8,Q137,IF($D$127=10,Q137,IF($D$127=12,Q137,IF($D$127=14,Q138,IF($D$127=18,Q138,IF($D$127=20,Q138,IF($D$127=22,Q138,)))))))))</f>
        <v>B24008</v>
      </c>
      <c r="E147" s="131" t="n">
        <f aca="false">IF($D$127=5,R136,IF($D$127=6,R136,IF($D$127=8,R137,IF($D$127=10,R137,IF($D$127=12,R137,IF($D$127=14,R138,IF($D$127=18,R138,IF($D$127=20,R138,IF($D$127=22,R138,)))))))))</f>
        <v>0.231</v>
      </c>
      <c r="F147" s="131" t="str">
        <f aca="false">IF($D$127=5,S136,IF($D$127=6,S136,IF($D$127=8,S137,IF($D$127=10,S137,IF($D$127=12,S137,IF($D$127=14,S138,IF($D$127=18,S138,IF($D$127=20,S138,IF($D$127=22,S138,)))))))))</f>
        <v>B24008-002</v>
      </c>
      <c r="G147" s="130" t="n">
        <f aca="false">IF($D$127=5,T136,IF($D$127=6,T136,IF($D$127=8,T137,IF($D$127=10,T137,IF($D$127=12,T137,IF($D$127=14,T138,IF($D$127=18,T138,IF($D$127=20,T138,IF($D$127=22,T138,)))))))))</f>
        <v>14</v>
      </c>
      <c r="H147" s="130" t="str">
        <f aca="false">IF($D$127=5,U136,IF($D$127=6,U136,IF($D$127=8,U137,IF($D$127=10,U137,IF($D$127=12,U137,IF($D$127=14,U138,IF($D$127=18,U138,IF($D$127=20,U138,IF($D$127=22,U138,)))))))))</f>
        <v>H-242</v>
      </c>
      <c r="I147" s="133" t="n">
        <f aca="false">IF($D$127=5,V136,IF($D$127=6,V136,IF($D$127=8,V137,IF($D$127=10,V137,IF($D$127=12,V137,IF($D$127=14,V138,IF($D$127=18,V138,IF($D$127=20,V138,IF($D$127=22,V138,)))))))))</f>
        <v>2258</v>
      </c>
      <c r="J147" s="134" t="n">
        <f aca="false">$J$120*G147</f>
        <v>14</v>
      </c>
    </row>
    <row r="148" s="96" customFormat="true" ht="18" hidden="false" customHeight="true" outlineLevel="0" collapsed="false">
      <c r="A148" s="130" t="str">
        <f aca="false">IF(B148="","",+A147+1)</f>
        <v/>
      </c>
      <c r="B148" s="131"/>
      <c r="C148" s="131"/>
      <c r="D148" s="132"/>
      <c r="E148" s="130"/>
      <c r="F148" s="132"/>
      <c r="G148" s="130"/>
      <c r="H148" s="130"/>
      <c r="I148" s="133"/>
      <c r="J148" s="134"/>
    </row>
    <row r="149" s="96" customFormat="true" ht="18" hidden="false" customHeight="true" outlineLevel="0" collapsed="false">
      <c r="A149" s="130" t="str">
        <f aca="false">IF(B149="","",+A148+1)</f>
        <v/>
      </c>
      <c r="B149" s="131"/>
      <c r="C149" s="131"/>
      <c r="D149" s="132"/>
      <c r="E149" s="130"/>
      <c r="F149" s="132"/>
      <c r="G149" s="130"/>
      <c r="H149" s="130"/>
      <c r="I149" s="133"/>
      <c r="J149" s="134"/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33"/>
      <c r="J150" s="134"/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33"/>
      <c r="J151" s="134"/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4940</v>
      </c>
      <c r="G155" s="155" t="n">
        <f aca="false">VLOOKUP(C155,$C$133:$J$153,8,0)</f>
        <v>1</v>
      </c>
      <c r="H155" s="264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VLOOKUP(C156,$C$133:$I$153,7,0)</f>
        <v>4914</v>
      </c>
      <c r="G156" s="155" t="n">
        <f aca="false">VLOOKUP(C156,$C$133:$J$153,8,0)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VLOOKUP(C157,$C$133:$I$153,7,0)</f>
        <v>4940</v>
      </c>
      <c r="G157" s="155" t="n">
        <f aca="false">VLOOKUP(C157,$C$133:$J$153,8,0)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VLOOKUP(C158,$C$133:$I$153,7,0)</f>
        <v>4940</v>
      </c>
      <c r="G158" s="155" t="n">
        <f aca="false">VLOOKUP(C158,$C$133:$J$153,8,0)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VLOOKUP(C159,$C$133:$I$153,7,0)</f>
        <v>2500</v>
      </c>
      <c r="G159" s="155" t="n">
        <f aca="false">VLOOKUP(C159,$C$133:$J$153,8,0)</f>
        <v>1</v>
      </c>
      <c r="H159" s="160" t="n">
        <f aca="false">ROUNDUP(((F159*G159)+(F160*G160))/6400,0)</f>
        <v>1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VLOOKUP(C160,$C$133:$I$153,7,0)</f>
        <v>2500</v>
      </c>
      <c r="G160" s="155" t="n">
        <f aca="false">VLOOKUP(C160,$C$133:$J$153,8,0)</f>
        <v>1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VLOOKUP(C161,$C$133:$I$153,7,0)</f>
        <v>2404</v>
      </c>
      <c r="G161" s="155" t="n">
        <f aca="false">VLOOKUP(C161,$C$133:$J$153,8,0)</f>
        <v>1</v>
      </c>
      <c r="H161" s="160" t="n">
        <f aca="false">ROUNDUP(((F161*G161)+(F162*G162))/6400,0)</f>
        <v>1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155" t="n">
        <f aca="false">VLOOKUP(C162,$C$133:$H$153,3,0)</f>
        <v>0.235</v>
      </c>
      <c r="F162" s="263" t="n">
        <f aca="false">VLOOKUP(C162,$C$133:$I$153,7,0)</f>
        <v>2404</v>
      </c>
      <c r="G162" s="155" t="n">
        <f aca="false">VLOOKUP(C162,$C$133:$J$153,8,0)</f>
        <v>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155" t="n">
        <f aca="false">VLOOKUP(C163,$C$133:$H$153,3,0)</f>
        <v>1.106</v>
      </c>
      <c r="F163" s="267" t="n">
        <f aca="false">VLOOKUP(C163,$C$133:$I$153,7,0)</f>
        <v>701.142857142857</v>
      </c>
      <c r="G163" s="155" t="n">
        <f aca="false">VLOOKUP(C163,$C$133:$J$153,8,0)</f>
        <v>7</v>
      </c>
      <c r="H163" s="160" t="n">
        <f aca="false">ROUNDUP(((F163*G163)+(F164*G164)+(F165*G165)+(F166*G166)+(F167*G167))/6400,0)</f>
        <v>7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155" t="n">
        <f aca="false">VLOOKUP(C164,$C$133:$H$153,3,0)</f>
        <v>1.106</v>
      </c>
      <c r="F164" s="267" t="n">
        <f aca="false">VLOOKUP(C164,$C$133:$I$153,7,0)</f>
        <v>701.142857142857</v>
      </c>
      <c r="G164" s="155" t="n">
        <f aca="false">VLOOKUP(C164,$C$133:$J$153,8,0)</f>
        <v>7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155" t="n">
        <f aca="false">VLOOKUP(C165,$C$133:$H$153,3,0)</f>
        <v>1.106</v>
      </c>
      <c r="F165" s="263" t="n">
        <f aca="false">VLOOKUP(C165,$C$133:$I$153,7,0)</f>
        <v>2408</v>
      </c>
      <c r="G165" s="155" t="n">
        <f aca="false">VLOOKUP(C165,$C$133:$J$153,8,0)</f>
        <v>10</v>
      </c>
      <c r="H165" s="160"/>
      <c r="I165" s="161"/>
      <c r="J165" s="161"/>
    </row>
    <row r="166" s="96" customFormat="true" ht="13.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155" t="n">
        <f aca="false">VLOOKUP(C166,$C$133:$H$153,3,0)</f>
        <v>1.106</v>
      </c>
      <c r="F166" s="263" t="n">
        <f aca="false">VLOOKUP(C166,$C$133:$I$153,7,0)</f>
        <v>2408</v>
      </c>
      <c r="G166" s="155" t="n">
        <f aca="false">VLOOKUP(C166,$C$133:$J$153,8,0)</f>
        <v>3</v>
      </c>
      <c r="H166" s="160"/>
      <c r="I166" s="161"/>
      <c r="J166" s="161"/>
    </row>
    <row r="167" s="96" customFormat="true" ht="15" hidden="false" customHeight="true" outlineLevel="1" collapsed="false">
      <c r="A167" s="158" t="n">
        <f aca="false">IF(B167="","",+A166+1)</f>
        <v>13</v>
      </c>
      <c r="B167" s="153" t="str">
        <f aca="false">B145</f>
        <v>เสากุญแจมือจับ</v>
      </c>
      <c r="C167" s="153" t="str">
        <f aca="false">C145</f>
        <v>SASH (Ver) LOCK HANDLE</v>
      </c>
      <c r="D167" s="159"/>
      <c r="E167" s="155" t="n">
        <f aca="false">VLOOKUP(C167,$C$133:$H$153,3,0)</f>
        <v>1.106</v>
      </c>
      <c r="F167" s="263" t="n">
        <f aca="false">VLOOKUP(C167,$C$133:$I$153,7,0)</f>
        <v>2408</v>
      </c>
      <c r="G167" s="155" t="n">
        <f aca="false">VLOOKUP(C167,$C$133:$J$153,8,0)</f>
        <v>1</v>
      </c>
      <c r="H167" s="160"/>
      <c r="I167" s="161"/>
      <c r="J167" s="161"/>
    </row>
    <row r="168" s="96" customFormat="true" ht="13.5" hidden="false" customHeight="true" outlineLevel="1" collapsed="false">
      <c r="A168" s="158" t="n">
        <f aca="false">IF(B168="","",+A167+1)</f>
        <v>14</v>
      </c>
      <c r="B168" s="153" t="str">
        <f aca="false">B146</f>
        <v>5-6mm คิ้วตบกระจกแนวนอน</v>
      </c>
      <c r="C168" s="153" t="str">
        <f aca="false">C146</f>
        <v>5-6mm GLAZING BEAD HORIZONTAL</v>
      </c>
      <c r="D168" s="159" t="str">
        <f aca="false">VLOOKUP(C168,$C$133:$H$153,2,0)</f>
        <v>B24008</v>
      </c>
      <c r="E168" s="155" t="n">
        <f aca="false">VLOOKUP(C168,$C$133:$H$153,3,0)</f>
        <v>0.231</v>
      </c>
      <c r="F168" s="267" t="n">
        <f aca="false">VLOOKUP(C168,$C$133:$I$153,7,0)</f>
        <v>590.785714285714</v>
      </c>
      <c r="G168" s="155" t="n">
        <f aca="false">VLOOKUP(C168,$C$133:$J$153,8,0)</f>
        <v>14</v>
      </c>
      <c r="H168" s="160" t="n">
        <f aca="false">ROUNDUP(((F168*G168)+(F169*G169))/6400,0)</f>
        <v>7</v>
      </c>
      <c r="I168" s="265"/>
      <c r="J168" s="265"/>
    </row>
    <row r="169" s="96" customFormat="true" ht="15" hidden="false" customHeight="true" outlineLevel="1" collapsed="false">
      <c r="A169" s="158" t="n">
        <f aca="false">IF(B169="","",+A168+1)</f>
        <v>15</v>
      </c>
      <c r="B169" s="153" t="str">
        <f aca="false">B147</f>
        <v>5-6mm คิ้วตบกระจกแนวตั้ง</v>
      </c>
      <c r="C169" s="153" t="str">
        <f aca="false">C147</f>
        <v>5-6mm GLAZING BEAD VERTICAL</v>
      </c>
      <c r="D169" s="159"/>
      <c r="E169" s="155" t="n">
        <f aca="false">VLOOKUP(C169,$C$133:$H$153,3,0)</f>
        <v>0.231</v>
      </c>
      <c r="F169" s="263" t="n">
        <f aca="false">VLOOKUP(C169,$C$133:$I$153,7,0)</f>
        <v>2258</v>
      </c>
      <c r="G169" s="155" t="n">
        <f aca="false">VLOOKUP(C169,$C$133:$J$153,8,0)</f>
        <v>14</v>
      </c>
      <c r="H169" s="160"/>
      <c r="I169" s="196"/>
      <c r="J169" s="196"/>
    </row>
    <row r="170" s="96" customFormat="true" ht="13.5" hidden="false" customHeight="true" outlineLevel="1" collapsed="false">
      <c r="A170" s="158" t="str">
        <f aca="false">IF(B170="","",+A169+1)</f>
        <v/>
      </c>
      <c r="B170" s="153" t="n">
        <f aca="false">B148</f>
        <v>0</v>
      </c>
      <c r="C170" s="153" t="n">
        <f aca="false">C148</f>
        <v>0</v>
      </c>
      <c r="D170" s="163" t="str">
        <f aca="false">IFERROR(VLOOKUP(C170,$C$133:$H$153,2,0),"")</f>
        <v/>
      </c>
      <c r="E170" s="155" t="str">
        <f aca="false">IFERROR(VLOOKUP(C170,$C$133:$H$153,3,0),"")</f>
        <v/>
      </c>
      <c r="F170" s="263" t="str">
        <f aca="false">IFERROR(VLOOKUP(C170,$C$133:$I$153,7,0),"")</f>
        <v/>
      </c>
      <c r="G170" s="155" t="str">
        <f aca="false">IFERROR(VLOOKUP(C170,$C$133:$J$153,8,0),"")</f>
        <v/>
      </c>
      <c r="H170" s="160" t="str">
        <f aca="false">IFERROR(ROUNDUP(((F170*G170)+(F171*G171))/6400,0),"")</f>
        <v/>
      </c>
      <c r="I170" s="196"/>
      <c r="J170" s="196"/>
    </row>
    <row r="171" s="96" customFormat="true" ht="14.25" hidden="false" customHeight="false" outlineLevel="1" collapsed="false">
      <c r="A171" s="158" t="str">
        <f aca="false">IF(B171="","",+A170+1)</f>
        <v/>
      </c>
      <c r="B171" s="153" t="n">
        <f aca="false">B149</f>
        <v>0</v>
      </c>
      <c r="C171" s="153" t="n">
        <f aca="false">C149</f>
        <v>0</v>
      </c>
      <c r="D171" s="163"/>
      <c r="E171" s="155" t="str">
        <f aca="false">IFERROR(VLOOKUP(C171,$C$133:$H$153,3,0),"")</f>
        <v/>
      </c>
      <c r="F171" s="263" t="str">
        <f aca="false">IFERROR(VLOOKUP(C171,$C$133:$I$153,7,0),"")</f>
        <v/>
      </c>
      <c r="G171" s="155" t="str">
        <f aca="false">IFERROR(VLOOKUP(C171,$C$133:$J$153,8,0),"")</f>
        <v/>
      </c>
      <c r="H171" s="160"/>
      <c r="I171" s="196"/>
      <c r="J171" s="196"/>
    </row>
    <row r="172" s="96" customFormat="true" ht="24.75" hidden="false" customHeight="true" outlineLevel="0" collapsed="false">
      <c r="A172" s="113" t="s">
        <v>396</v>
      </c>
      <c r="B172" s="113"/>
      <c r="C172" s="113"/>
      <c r="D172" s="113"/>
      <c r="E172" s="113"/>
      <c r="F172" s="113"/>
      <c r="G172" s="113"/>
      <c r="H172" s="113"/>
      <c r="I172" s="113"/>
      <c r="J172" s="113"/>
    </row>
    <row r="173" s="96" customFormat="true" ht="34.5" hidden="false" customHeight="true" outlineLevel="0" collapsed="false">
      <c r="A173" s="114" t="s">
        <v>319</v>
      </c>
      <c r="B173" s="115" t="s">
        <v>320</v>
      </c>
      <c r="C173" s="115" t="s">
        <v>168</v>
      </c>
      <c r="D173" s="115" t="s">
        <v>397</v>
      </c>
      <c r="E173" s="115" t="s">
        <v>321</v>
      </c>
      <c r="F173" s="116" t="s">
        <v>398</v>
      </c>
      <c r="G173" s="115" t="s">
        <v>399</v>
      </c>
      <c r="H173" s="116" t="s">
        <v>400</v>
      </c>
      <c r="I173" s="116" t="s">
        <v>401</v>
      </c>
      <c r="J173" s="117" t="s">
        <v>402</v>
      </c>
      <c r="N173" s="107" t="s">
        <v>288</v>
      </c>
      <c r="O173" s="165" t="s">
        <v>320</v>
      </c>
      <c r="P173" s="165" t="s">
        <v>168</v>
      </c>
      <c r="Q173" s="165" t="s">
        <v>397</v>
      </c>
      <c r="R173" s="165" t="s">
        <v>321</v>
      </c>
      <c r="S173" s="165" t="s">
        <v>398</v>
      </c>
      <c r="T173" s="165" t="s">
        <v>399</v>
      </c>
      <c r="U173" s="165" t="s">
        <v>400</v>
      </c>
      <c r="V173" s="165" t="s">
        <v>401</v>
      </c>
      <c r="W173" s="165" t="s">
        <v>402</v>
      </c>
    </row>
    <row r="174" s="96" customFormat="true" ht="18" hidden="false" customHeight="true" outlineLevel="0" collapsed="false">
      <c r="A174" s="166" t="n">
        <f aca="false">IF(B174="","",1)</f>
        <v>1</v>
      </c>
      <c r="B174" s="131" t="s">
        <v>410</v>
      </c>
      <c r="C174" s="131" t="s">
        <v>411</v>
      </c>
      <c r="D174" s="132" t="s">
        <v>267</v>
      </c>
      <c r="E174" s="130"/>
      <c r="F174" s="130" t="s">
        <v>267</v>
      </c>
      <c r="G174" s="130" t="s">
        <v>405</v>
      </c>
      <c r="H174" s="130" t="n">
        <v>14</v>
      </c>
      <c r="I174" s="133"/>
      <c r="J174" s="134" t="n">
        <f aca="false">$J$120*H174</f>
        <v>14</v>
      </c>
      <c r="N174" s="107" t="s">
        <v>406</v>
      </c>
      <c r="O174" s="55" t="s">
        <v>407</v>
      </c>
      <c r="P174" s="62" t="s">
        <v>408</v>
      </c>
      <c r="Q174" s="55" t="s">
        <v>227</v>
      </c>
      <c r="R174" s="158"/>
      <c r="S174" s="158" t="s">
        <v>227</v>
      </c>
      <c r="T174" s="158" t="s">
        <v>409</v>
      </c>
      <c r="U174" s="168" t="n">
        <f aca="false">((($I$141*$G$141)+($I$142*$G$142)+($I$143*$G$143)+($I$144*$G$144)+($I$145*$G$145))/1000)*$J$120</f>
        <v>43.528</v>
      </c>
      <c r="V174" s="168" t="n">
        <v>100</v>
      </c>
      <c r="W174" s="169" t="str">
        <f aca="false">IFERROR(ROUNDUP(("")/100,0),"")</f>
        <v/>
      </c>
    </row>
    <row r="175" s="96" customFormat="true" ht="18" hidden="false" customHeight="true" outlineLevel="0" collapsed="false">
      <c r="A175" s="170" t="n">
        <f aca="false">IF(B175="","",+A174+1)</f>
        <v>2</v>
      </c>
      <c r="B175" s="131" t="s">
        <v>415</v>
      </c>
      <c r="C175" s="131" t="s">
        <v>416</v>
      </c>
      <c r="D175" s="132" t="s">
        <v>222</v>
      </c>
      <c r="E175" s="130"/>
      <c r="F175" s="130" t="s">
        <v>222</v>
      </c>
      <c r="G175" s="130" t="s">
        <v>405</v>
      </c>
      <c r="H175" s="130" t="n">
        <v>2</v>
      </c>
      <c r="I175" s="133"/>
      <c r="J175" s="134" t="n">
        <f aca="false">$J$120*H175</f>
        <v>2</v>
      </c>
      <c r="N175" s="107" t="s">
        <v>412</v>
      </c>
      <c r="O175" s="55" t="s">
        <v>413</v>
      </c>
      <c r="P175" s="62" t="s">
        <v>414</v>
      </c>
      <c r="Q175" s="55" t="s">
        <v>234</v>
      </c>
      <c r="R175" s="158"/>
      <c r="S175" s="158" t="s">
        <v>234</v>
      </c>
      <c r="T175" s="158" t="s">
        <v>409</v>
      </c>
      <c r="U175" s="168" t="n">
        <f aca="false">((($I$141*$G$141)+($I$142*$G$142)+($I$143*$G$143)+($I$144*$G$144)+($I$145*$G$145))/1000)*$J$120</f>
        <v>43.528</v>
      </c>
      <c r="V175" s="168" t="n">
        <v>100</v>
      </c>
      <c r="W175" s="169" t="str">
        <f aca="false">IFERROR(ROUNDUP(("")/100,0),"")</f>
        <v/>
      </c>
    </row>
    <row r="176" s="96" customFormat="true" ht="18" hidden="false" customHeight="true" outlineLevel="0" collapsed="false">
      <c r="A176" s="170" t="n">
        <f aca="false">IF(B176="","",+A175+1)</f>
        <v>3</v>
      </c>
      <c r="B176" s="131" t="s">
        <v>420</v>
      </c>
      <c r="C176" s="131" t="s">
        <v>421</v>
      </c>
      <c r="D176" s="132" t="s">
        <v>225</v>
      </c>
      <c r="E176" s="130"/>
      <c r="F176" s="130" t="s">
        <v>225</v>
      </c>
      <c r="G176" s="130" t="s">
        <v>405</v>
      </c>
      <c r="H176" s="130" t="n">
        <v>2</v>
      </c>
      <c r="I176" s="133"/>
      <c r="J176" s="134" t="n">
        <f aca="false">$J$120*H176</f>
        <v>2</v>
      </c>
      <c r="N176" s="107" t="s">
        <v>417</v>
      </c>
      <c r="O176" s="62" t="s">
        <v>418</v>
      </c>
      <c r="P176" s="62" t="s">
        <v>419</v>
      </c>
      <c r="Q176" s="55" t="s">
        <v>236</v>
      </c>
      <c r="R176" s="158"/>
      <c r="S176" s="158" t="s">
        <v>236</v>
      </c>
      <c r="T176" s="158" t="s">
        <v>409</v>
      </c>
      <c r="U176" s="168" t="n">
        <f aca="false">((($I$141*$G$141)+($I$142*$G$142)+($I$143*$G$143)+($I$144*$G$144)+($I$145*$G$145))/1000)*$J$120</f>
        <v>43.528</v>
      </c>
      <c r="V176" s="168" t="n">
        <v>100</v>
      </c>
      <c r="W176" s="169" t="str">
        <f aca="false">IFERROR(ROUNDUP(("")/100,0),"")</f>
        <v/>
      </c>
    </row>
    <row r="177" s="96" customFormat="true" ht="18" hidden="false" customHeight="true" outlineLevel="0" collapsed="false">
      <c r="A177" s="170" t="n">
        <f aca="false">IF(B177="","",+A176+1)</f>
        <v>4</v>
      </c>
      <c r="B177" s="131" t="s">
        <v>425</v>
      </c>
      <c r="C177" s="131" t="s">
        <v>426</v>
      </c>
      <c r="D177" s="132" t="n">
        <v>9</v>
      </c>
      <c r="E177" s="130"/>
      <c r="F177" s="130" t="n">
        <v>9</v>
      </c>
      <c r="G177" s="130" t="s">
        <v>405</v>
      </c>
      <c r="H177" s="130" t="n">
        <v>8</v>
      </c>
      <c r="I177" s="133"/>
      <c r="J177" s="134" t="n">
        <f aca="false">$J$120*H177</f>
        <v>8</v>
      </c>
      <c r="N177" s="107" t="s">
        <v>422</v>
      </c>
      <c r="O177" s="62" t="s">
        <v>423</v>
      </c>
      <c r="P177" s="62" t="s">
        <v>424</v>
      </c>
      <c r="Q177" s="55" t="s">
        <v>238</v>
      </c>
      <c r="R177" s="158"/>
      <c r="S177" s="158" t="s">
        <v>238</v>
      </c>
      <c r="T177" s="158" t="s">
        <v>409</v>
      </c>
      <c r="U177" s="168" t="n">
        <f aca="false">((($I$141*$G$141)+($I$142*$G$142)+($I$143*$G$143)+($I$144*$G$144)+($I$145*$G$145))/1000)*$J$120</f>
        <v>43.528</v>
      </c>
      <c r="V177" s="168" t="n">
        <v>100</v>
      </c>
      <c r="W177" s="169" t="str">
        <f aca="false">IFERROR(ROUNDUP(("")/100,0),"")</f>
        <v/>
      </c>
    </row>
    <row r="178" s="96" customFormat="true" ht="18" hidden="false" customHeight="true" outlineLevel="0" collapsed="false">
      <c r="A178" s="170" t="n">
        <f aca="false">IF(B178="","",+A177+1)</f>
        <v>5</v>
      </c>
      <c r="B178" s="131" t="s">
        <v>430</v>
      </c>
      <c r="C178" s="131" t="s">
        <v>431</v>
      </c>
      <c r="D178" s="132" t="n">
        <v>9</v>
      </c>
      <c r="E178" s="130"/>
      <c r="F178" s="130" t="n">
        <v>9</v>
      </c>
      <c r="G178" s="130" t="s">
        <v>405</v>
      </c>
      <c r="H178" s="130" t="n">
        <v>110</v>
      </c>
      <c r="I178" s="133"/>
      <c r="J178" s="134" t="n">
        <f aca="false">$J$120*H178</f>
        <v>110</v>
      </c>
      <c r="N178" s="107" t="s">
        <v>427</v>
      </c>
      <c r="O178" s="62" t="s">
        <v>428</v>
      </c>
      <c r="P178" s="62" t="s">
        <v>429</v>
      </c>
      <c r="Q178" s="55" t="s">
        <v>240</v>
      </c>
      <c r="R178" s="158"/>
      <c r="S178" s="158" t="s">
        <v>240</v>
      </c>
      <c r="T178" s="158" t="s">
        <v>409</v>
      </c>
      <c r="U178" s="168" t="n">
        <f aca="false">((($I$141*$G$141)+($I$142*$G$142)+($I$143*$G$143)+($I$144*$G$144)+($I$145*$G$145))/1000)*$J$120</f>
        <v>43.528</v>
      </c>
      <c r="V178" s="168" t="n">
        <v>100</v>
      </c>
      <c r="W178" s="169" t="n">
        <f aca="false">ROUNDUP((U178)/100,0)</f>
        <v>1</v>
      </c>
    </row>
    <row r="179" s="96" customFormat="true" ht="18" hidden="false" customHeight="true" outlineLevel="0" collapsed="false">
      <c r="A179" s="170" t="n">
        <f aca="false">IF(B179="","",+A178+1)</f>
        <v>6</v>
      </c>
      <c r="B179" s="131" t="s">
        <v>603</v>
      </c>
      <c r="C179" s="131" t="s">
        <v>438</v>
      </c>
      <c r="D179" s="132" t="s">
        <v>4</v>
      </c>
      <c r="E179" s="130"/>
      <c r="F179" s="130" t="s">
        <v>4</v>
      </c>
      <c r="G179" s="130" t="s">
        <v>434</v>
      </c>
      <c r="H179" s="130" t="n">
        <v>2</v>
      </c>
      <c r="I179" s="133"/>
      <c r="J179" s="134" t="n">
        <f aca="false">$J$120*H179</f>
        <v>2</v>
      </c>
    </row>
    <row r="180" s="96" customFormat="true" ht="18" hidden="false" customHeight="true" outlineLevel="0" collapsed="false">
      <c r="A180" s="170" t="n">
        <f aca="false">IF(B180="","",+A179+1)</f>
        <v>7</v>
      </c>
      <c r="B180" s="131" t="s">
        <v>556</v>
      </c>
      <c r="C180" s="131" t="s">
        <v>557</v>
      </c>
      <c r="D180" s="132" t="s">
        <v>5</v>
      </c>
      <c r="E180" s="130"/>
      <c r="F180" s="130" t="s">
        <v>5</v>
      </c>
      <c r="G180" s="130" t="s">
        <v>434</v>
      </c>
      <c r="H180" s="130" t="n">
        <v>1</v>
      </c>
      <c r="I180" s="133"/>
      <c r="J180" s="134" t="n">
        <f aca="false">$J$120*H180</f>
        <v>1</v>
      </c>
    </row>
    <row r="181" s="96" customFormat="true" ht="18" hidden="false" customHeight="true" outlineLevel="0" collapsed="false">
      <c r="A181" s="170" t="n">
        <f aca="false">IF(B181="","",+A180+1)</f>
        <v>8</v>
      </c>
      <c r="B181" s="131" t="s">
        <v>432</v>
      </c>
      <c r="C181" s="131" t="s">
        <v>433</v>
      </c>
      <c r="D181" s="132" t="s">
        <v>6</v>
      </c>
      <c r="E181" s="130"/>
      <c r="F181" s="130" t="s">
        <v>6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9</v>
      </c>
      <c r="B182" s="131" t="s">
        <v>554</v>
      </c>
      <c r="C182" s="131" t="s">
        <v>555</v>
      </c>
      <c r="D182" s="132" t="s">
        <v>11</v>
      </c>
      <c r="E182" s="130"/>
      <c r="F182" s="130" t="s">
        <v>11</v>
      </c>
      <c r="G182" s="130" t="s">
        <v>434</v>
      </c>
      <c r="H182" s="130" t="n">
        <v>3</v>
      </c>
      <c r="I182" s="142"/>
      <c r="J182" s="134" t="n">
        <f aca="false">$J$120*H182</f>
        <v>3</v>
      </c>
    </row>
    <row r="183" s="96" customFormat="true" ht="18" hidden="false" customHeight="true" outlineLevel="0" collapsed="false">
      <c r="A183" s="170" t="n">
        <f aca="false">IF(B183="","",+A182+1)</f>
        <v>10</v>
      </c>
      <c r="B183" s="131" t="s">
        <v>439</v>
      </c>
      <c r="C183" s="131" t="s">
        <v>440</v>
      </c>
      <c r="D183" s="132" t="s">
        <v>12</v>
      </c>
      <c r="E183" s="130"/>
      <c r="F183" s="130" t="s">
        <v>12</v>
      </c>
      <c r="G183" s="130" t="s">
        <v>434</v>
      </c>
      <c r="H183" s="130" t="n">
        <v>3</v>
      </c>
      <c r="I183" s="142"/>
      <c r="J183" s="134" t="n">
        <f aca="false">$J$120*H183</f>
        <v>3</v>
      </c>
      <c r="Q183" s="172"/>
      <c r="R183" s="172"/>
      <c r="S183" s="172"/>
      <c r="T183" s="97"/>
      <c r="U183" s="97"/>
      <c r="V183" s="97"/>
    </row>
    <row r="184" s="96" customFormat="true" ht="18" hidden="false" customHeight="true" outlineLevel="0" collapsed="false">
      <c r="A184" s="170" t="n">
        <f aca="false">IF(B184="","",+A183+1)</f>
        <v>11</v>
      </c>
      <c r="B184" s="131" t="s">
        <v>540</v>
      </c>
      <c r="C184" s="131" t="s">
        <v>541</v>
      </c>
      <c r="D184" s="132" t="s">
        <v>542</v>
      </c>
      <c r="E184" s="130"/>
      <c r="F184" s="130" t="s">
        <v>542</v>
      </c>
      <c r="G184" s="130" t="s">
        <v>434</v>
      </c>
      <c r="H184" s="130" t="n">
        <v>1</v>
      </c>
      <c r="I184" s="133"/>
      <c r="J184" s="134" t="n">
        <f aca="false">$J$120*H184</f>
        <v>1</v>
      </c>
      <c r="N184" s="107" t="s">
        <v>289</v>
      </c>
      <c r="O184" s="165" t="s">
        <v>320</v>
      </c>
      <c r="P184" s="165" t="s">
        <v>168</v>
      </c>
      <c r="Q184" s="165" t="s">
        <v>397</v>
      </c>
      <c r="R184" s="165" t="s">
        <v>321</v>
      </c>
      <c r="S184" s="165" t="s">
        <v>398</v>
      </c>
      <c r="T184" s="165" t="s">
        <v>399</v>
      </c>
      <c r="U184" s="165" t="s">
        <v>400</v>
      </c>
      <c r="V184" s="165" t="s">
        <v>401</v>
      </c>
      <c r="W184" s="165" t="s">
        <v>402</v>
      </c>
    </row>
    <row r="185" s="96" customFormat="true" ht="18" hidden="false" customHeight="true" outlineLevel="0" collapsed="false">
      <c r="A185" s="170" t="n">
        <f aca="false">IF(B185="","",+A184+1)</f>
        <v>12</v>
      </c>
      <c r="B185" s="131" t="s">
        <v>441</v>
      </c>
      <c r="C185" s="131" t="s">
        <v>442</v>
      </c>
      <c r="D185" s="132" t="s">
        <v>274</v>
      </c>
      <c r="E185" s="130"/>
      <c r="F185" s="130" t="s">
        <v>274</v>
      </c>
      <c r="G185" s="130" t="s">
        <v>405</v>
      </c>
      <c r="H185" s="130" t="n">
        <v>6</v>
      </c>
      <c r="I185" s="133"/>
      <c r="J185" s="134" t="n">
        <f aca="false">$J$120*H185</f>
        <v>6</v>
      </c>
      <c r="N185" s="107" t="s">
        <v>445</v>
      </c>
      <c r="O185" s="62" t="s">
        <v>446</v>
      </c>
      <c r="P185" s="62" t="s">
        <v>447</v>
      </c>
      <c r="Q185" s="55" t="s">
        <v>230</v>
      </c>
      <c r="R185" s="158"/>
      <c r="S185" s="158" t="s">
        <v>230</v>
      </c>
      <c r="T185" s="158" t="s">
        <v>409</v>
      </c>
      <c r="U185" s="168" t="n">
        <f aca="false">((($I$134*$G$134)+($I$136*$G$136)+($I$139*$G$139))/1000)*$J$120</f>
        <v>12.258</v>
      </c>
      <c r="V185" s="168" t="n">
        <v>300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13</v>
      </c>
      <c r="B186" s="131" t="s">
        <v>443</v>
      </c>
      <c r="C186" s="131" t="s">
        <v>444</v>
      </c>
      <c r="D186" s="132" t="s">
        <v>272</v>
      </c>
      <c r="E186" s="130"/>
      <c r="F186" s="130" t="s">
        <v>272</v>
      </c>
      <c r="G186" s="130" t="s">
        <v>405</v>
      </c>
      <c r="H186" s="130" t="n">
        <v>1</v>
      </c>
      <c r="I186" s="133"/>
      <c r="J186" s="134" t="n">
        <f aca="false">$J$120*H186</f>
        <v>1</v>
      </c>
      <c r="N186" s="107" t="s">
        <v>448</v>
      </c>
      <c r="O186" s="62" t="s">
        <v>449</v>
      </c>
      <c r="P186" s="62" t="s">
        <v>450</v>
      </c>
      <c r="Q186" s="55" t="s">
        <v>451</v>
      </c>
      <c r="R186" s="158"/>
      <c r="S186" s="158" t="s">
        <v>451</v>
      </c>
      <c r="T186" s="158" t="s">
        <v>409</v>
      </c>
      <c r="U186" s="168" t="n">
        <f aca="false">((($I$134*$G$134)+($I$136*$G$136)+($I$139*$G$139))/1000)*$J$120</f>
        <v>12.258</v>
      </c>
      <c r="V186" s="168" t="n">
        <v>100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14</v>
      </c>
      <c r="B187" s="131" t="s">
        <v>403</v>
      </c>
      <c r="C187" s="131" t="s">
        <v>404</v>
      </c>
      <c r="D187" s="132" t="s">
        <v>276</v>
      </c>
      <c r="E187" s="130"/>
      <c r="F187" s="130" t="s">
        <v>276</v>
      </c>
      <c r="G187" s="130" t="s">
        <v>405</v>
      </c>
      <c r="H187" s="130" t="n">
        <v>3</v>
      </c>
      <c r="I187" s="133"/>
      <c r="J187" s="134" t="n">
        <f aca="false">$J$120*H187</f>
        <v>3</v>
      </c>
      <c r="N187" s="107" t="s">
        <v>445</v>
      </c>
      <c r="O187" s="62" t="s">
        <v>452</v>
      </c>
      <c r="P187" s="62" t="s">
        <v>453</v>
      </c>
      <c r="Q187" s="55" t="s">
        <v>232</v>
      </c>
      <c r="R187" s="158"/>
      <c r="S187" s="158" t="s">
        <v>232</v>
      </c>
      <c r="T187" s="158" t="s">
        <v>409</v>
      </c>
      <c r="U187" s="168" t="n">
        <f aca="false">((($I$141*$G$141*2)+($I$143*$G$143*2)+(($I$144*($G$144-1))*2))/1000)*$J$120</f>
        <v>67.608</v>
      </c>
      <c r="V187" s="168" t="n">
        <v>350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15</v>
      </c>
      <c r="B188" s="131" t="s">
        <v>580</v>
      </c>
      <c r="C188" s="131" t="s">
        <v>581</v>
      </c>
      <c r="D188" s="132" t="s">
        <v>582</v>
      </c>
      <c r="E188" s="130"/>
      <c r="F188" s="130" t="s">
        <v>582</v>
      </c>
      <c r="G188" s="130" t="s">
        <v>409</v>
      </c>
      <c r="H188" s="173" t="n">
        <f aca="false">((($I$148*$G$148)+($I$149*$G$149))/1000)*$J$120</f>
        <v>0</v>
      </c>
      <c r="I188" s="174" t="n">
        <v>100</v>
      </c>
      <c r="J188" s="175" t="n">
        <f aca="false">ROUNDUP((H188)/100,0)</f>
        <v>0</v>
      </c>
      <c r="N188" s="107" t="s">
        <v>448</v>
      </c>
      <c r="O188" s="62" t="s">
        <v>454</v>
      </c>
      <c r="P188" s="62" t="s">
        <v>455</v>
      </c>
      <c r="Q188" s="55" t="s">
        <v>456</v>
      </c>
      <c r="R188" s="158"/>
      <c r="S188" s="158" t="s">
        <v>456</v>
      </c>
      <c r="T188" s="158" t="s">
        <v>409</v>
      </c>
      <c r="U188" s="168" t="n">
        <f aca="false">((($I$141*$G$141*2)+($I$143*$G$143*2)+(($I$144*($G$144-1))*2))/1000)*$J$120</f>
        <v>67.608</v>
      </c>
      <c r="V188" s="168" t="n">
        <v>100</v>
      </c>
      <c r="W188" s="169" t="n">
        <f aca="false">ROUNDUP((U188)/V188,0)</f>
        <v>1</v>
      </c>
    </row>
    <row r="189" s="96" customFormat="true" ht="18" hidden="false" customHeight="true" outlineLevel="0" collapsed="false">
      <c r="A189" s="170" t="n">
        <f aca="false">IF(B189="","",+A188+1)</f>
        <v>16</v>
      </c>
      <c r="B189" s="131" t="s">
        <v>583</v>
      </c>
      <c r="C189" s="131" t="s">
        <v>584</v>
      </c>
      <c r="D189" s="132" t="s">
        <v>585</v>
      </c>
      <c r="E189" s="130"/>
      <c r="F189" s="130" t="s">
        <v>585</v>
      </c>
      <c r="G189" s="130" t="s">
        <v>409</v>
      </c>
      <c r="H189" s="173" t="n">
        <f aca="false">((($I$144*$G$144)+($I$145*$G$145))/1000)*$J$120</f>
        <v>9.632</v>
      </c>
      <c r="I189" s="174" t="n">
        <v>100</v>
      </c>
      <c r="J189" s="175" t="n">
        <f aca="false">ROUNDUP((H189)/100,0)</f>
        <v>1</v>
      </c>
    </row>
    <row r="190" s="96" customFormat="true" ht="18" hidden="false" customHeight="true" outlineLevel="0" collapsed="false">
      <c r="A190" s="170" t="n">
        <f aca="false">IF(B190="","",+A189+1)</f>
        <v>17</v>
      </c>
      <c r="B190" s="132" t="str">
        <f aca="false">IF($D$129="Standard",O185,IF($D$129="Soumdproof",O186,))</f>
        <v>ยางเฟรมกันน้ำ (ธรรมดา)</v>
      </c>
      <c r="C190" s="132" t="str">
        <f aca="false">IF($D$129="Standard",P185,IF($D$129="Soumdproof",P186,))</f>
        <v>FRAME SEAL (Standard)</v>
      </c>
      <c r="D190" s="132" t="str">
        <f aca="false">IF($D$129="Standard",Q185,IF($D$129="Soumdproof",Q186,))</f>
        <v>02-026</v>
      </c>
      <c r="E190" s="132" t="n">
        <f aca="false">IF($D$129="Standard",R185,IF($D$129="Soumdproof",R186,))</f>
        <v>0</v>
      </c>
      <c r="F190" s="130" t="str">
        <f aca="false">IF($D$129="Standard",S185,IF($D$129="Soumdproof",S186,))</f>
        <v>02-026</v>
      </c>
      <c r="G190" s="130" t="str">
        <f aca="false">IF($D$129="Standard",T185,IF($D$129="Soumdproof",T186,))</f>
        <v>M</v>
      </c>
      <c r="H190" s="173" t="n">
        <f aca="false">IF($D$129="Standard",U185,IF($D$129="Soumdproof",U186,))</f>
        <v>12.258</v>
      </c>
      <c r="I190" s="174" t="n">
        <f aca="false">IF($D$129="Standard",V185,IF($D$129="Soumdproof",V186,))</f>
        <v>300</v>
      </c>
      <c r="J190" s="175" t="n">
        <f aca="false">ROUNDUP((H190)/100,0)</f>
        <v>1</v>
      </c>
    </row>
    <row r="191" s="96" customFormat="true" ht="18" hidden="false" customHeight="true" outlineLevel="0" collapsed="false">
      <c r="A191" s="170" t="n">
        <f aca="false">IF(B191="","",+A190+1)</f>
        <v>18</v>
      </c>
      <c r="B191" s="132" t="str">
        <f aca="false">IF($D$129="Standard",O187,IF($D$129="Soumdproof",O188,))</f>
        <v>ยางแซชกันน้ำ (ธรรมดา)</v>
      </c>
      <c r="C191" s="132" t="str">
        <f aca="false">IF($D$129="Standard",P187,IF($D$129="Soumdproof",P188,))</f>
        <v>SASH SEAL FOAM (Standard)</v>
      </c>
      <c r="D191" s="132" t="str">
        <f aca="false">IF($D$129="Standard",Q187,IF($D$129="Soumdproof",Q188,))</f>
        <v>02-031</v>
      </c>
      <c r="E191" s="132" t="n">
        <f aca="false">IF($D$129="Standard",R187,IF($D$129="Soumdproof",R188,))</f>
        <v>0</v>
      </c>
      <c r="F191" s="130" t="str">
        <f aca="false">IF($D$129="Standard",S187,IF($D$129="Soumdproof",S188,))</f>
        <v>02-031</v>
      </c>
      <c r="G191" s="130" t="str">
        <f aca="false">IF($D$129="Standard",T187,IF($D$129="Soumdproof",T188,))</f>
        <v>M</v>
      </c>
      <c r="H191" s="173" t="n">
        <f aca="false">IF($D$129="Standard",U187,IF($D$129="Soumdproof",U188,))</f>
        <v>67.608</v>
      </c>
      <c r="I191" s="174" t="n">
        <f aca="false">IF($D$129="Standard",V187,IF($D$129="Soumdproof",V188,))</f>
        <v>350</v>
      </c>
      <c r="J191" s="175" t="n">
        <f aca="false">ROUNDUP((H191)/100,0)</f>
        <v>1</v>
      </c>
    </row>
    <row r="192" s="96" customFormat="true" ht="18" hidden="false" customHeight="true" outlineLevel="0" collapsed="false">
      <c r="A192" s="170" t="n">
        <f aca="false">IF(B192="","",+A191+1)</f>
        <v>19</v>
      </c>
      <c r="B192" s="176" t="str">
        <f aca="false">IF($D$127=5,$O$176,IF($D$127=6,$O$177,IF($D$127=8,$O$178,IF($D$127=10,$O$176,IF($D$127=12,$O$176,IF($D$127=14,$O$178,IF($D$127=18,$O$176,IF($D$127=20,$O$177,IF($D$127=22,"")))))))))</f>
        <v>6,20 mm ยางอัดกระจก</v>
      </c>
      <c r="C192" s="176" t="str">
        <f aca="false">IF($D$127=5,$P$176,IF($D$127=6,$P$177,IF($D$127=8,$P$178,IF($D$127=10,$P$176,IF($D$127=12,$P$176,IF($D$127=14,$P$178,IF($D$127=18,$P$176,IF($D$127=20,$P$177,IF($D$127=22,"")))))))))</f>
        <v>6,20 mm ROLL IN WEDGE</v>
      </c>
      <c r="D192" s="176" t="str">
        <f aca="false">IF($D$127=5,$Q$176,IF($D$127=6,$Q$177,IF($D$127=8,$Q$178,IF($D$127=10,$Q$176,IF($D$127=12,$Q$176,IF($D$127=14,$Q$178,IF($D$127=18,$Q$176,IF($D$127=20,$Q$177,IF($D$127=22,"")))))))))</f>
        <v>02-034</v>
      </c>
      <c r="E192" s="176" t="n">
        <f aca="false">IF($D$129=5,R181,IF($D$129=6,R182,IF($D$129=8,R183,IF($D$129=10,R181,IF($D$129=12,R181,IF($D$129=14,R183,IF($D$129=18,R181,IF($D$129=20,R182,IF($D$129=22,"",)))))))))</f>
        <v>0</v>
      </c>
      <c r="F192" s="167" t="str">
        <f aca="false">IF($D$127=5,$S$176,IF($D$127=6,$S$177,IF($D$127=8,$S$178,IF($D$127=10,$S$176,IF($D$127=12,$S$176,IF($D$127=14,$S$178,IF($D$127=18,$S$176,IF($D$127=20,$S$177,IF($D$127=22,"")))))))))</f>
        <v>02-034</v>
      </c>
      <c r="G192" s="167" t="str">
        <f aca="false">IF($D$127=5,$T$176,IF($D$127=6,$T$177,IF($D$127=8,$T$178,IF($D$127=10,$T$176,IF($D$127=12,$T$176,IF($D$127=14,$T$178,IF($D$127=18,$T$176,IF($D$127=20,$T$177,IF($D$127=22,"")))))))))</f>
        <v>M</v>
      </c>
      <c r="H192" s="173" t="n">
        <f aca="false">IF($D$127=5,$U$176,IF($D$127=6,$U$177,IF($D$127=8,$U$178,IF($D$127=10,$U$176*2,IF($D$127=12,$U$176,IF($D$127=14,$U$178*2,IF($D$127=18,$U$176,IF($D$127=20,$U$177,IF($D$127=22,"")))))))))</f>
        <v>43.528</v>
      </c>
      <c r="I192" s="174" t="n">
        <f aca="false">IF($D$127=5,$V$176,IF($D$127=6,$V$177,IF($D$127=8,$V$178,IF($D$127=10,$V$176,IF($D$127=12,$V$176,IF($D$127=14,$V$178,IF($D$127=18,$V$176,IF($D$127=20,$V$177,IF($D$127=22,"")))))))))</f>
        <v>100</v>
      </c>
      <c r="J192" s="177" t="n">
        <f aca="false">ROUNDUP((H192)/100,0)</f>
        <v>1</v>
      </c>
    </row>
    <row r="193" s="96" customFormat="true" ht="18" hidden="false" customHeight="true" outlineLevel="0" collapsed="false">
      <c r="A193" s="170" t="n">
        <f aca="false">IF(B193="","",+A192+1)</f>
        <v>20</v>
      </c>
      <c r="B193" s="176" t="str">
        <f aca="false">IF($D$127=5,$O$174,IF($D$127=6,$O$174,IF($D$127=8,$O$176,IF($D$127=10,"",IF($D$127=12,$O$175,IF($D$127=14,"",IF($D$127=18,$O$174,IF($D$127=20,$O$175,IF($D$127=22,"",)))))))))</f>
        <v>5,6,18 mm ยางรองกระจก</v>
      </c>
      <c r="C193" s="176" t="str">
        <f aca="false">IF($D$127=5,$P$174,IF($D$127=6,$P$174,IF($D$127=8,$P$176,IF($D$127=10,"",IF($D$127=12,$P$175,IF($D$127=14,"",IF($D$127=18,$P$174,IF($D$127=20,$P$175,IF($D$127=22,"",)))))))))</f>
        <v>5,6,18 mm CAPTIVE WEDGE</v>
      </c>
      <c r="D193" s="176" t="str">
        <f aca="false">IF($D$127=5,$Q$174,IF($D$127=6,$Q$174,IF($D$127=8,$Q$176,IF($D$127=10,"",IF($D$127=12,$Q$175,IF($D$127=14,"",IF($D$127=18,$Q$174,IF($D$127=20,$Q$175,IF($D$127=22,"",)))))))))</f>
        <v>02-022</v>
      </c>
      <c r="E193" s="176" t="n">
        <f aca="false">IF($D$129=5,R179,IF($D$129=6,R179,IF($D$129=8,R181,IF($D$129=10,"",IF($D$129=12,R180,IF($D$129=14,"",IF($D$129=18,R179,IF($D$129=20,R180,IF($D$129=22,"",)))))))))</f>
        <v>0</v>
      </c>
      <c r="F193" s="167" t="str">
        <f aca="false">IF($D$127=5,$S$174,IF($D$127=6,$S$174,IF($D$127=8,$S$176,IF($D$127=10,"",IF($D$127=12,$S$175,IF($D$127=14,"",IF($D$127=18,$S$174,IF($D$127=20,$S$175,IF($D$127=22,"",)))))))))</f>
        <v>02-022</v>
      </c>
      <c r="G193" s="167" t="str">
        <f aca="false">IF($D$127=5,$T$174,IF($D$127=6,$T$174,IF($D$127=8,$T$176,IF($D$127=10,"",IF($D$127=12,$T$175,IF($D$127=14,"",IF($D$127=18,$T$174,IF($D$127=20,$T$175,IF($D$127=22,"",)))))))))</f>
        <v>M</v>
      </c>
      <c r="H193" s="173" t="n">
        <f aca="false">IF($D$127=5,$U$174,IF($D$127=6,$U$174,IF($D$127=8,$U$176,IF($D$127=10,"",IF($D$127=12,$U$175,IF($D$127=14,"",IF($D$127=18,$U$174,IF($D$127=20,$U$175,IF($D$127=22,"")))))))))</f>
        <v>43.528</v>
      </c>
      <c r="I193" s="174" t="n">
        <f aca="false">IF($D$127=5,$V$174,IF($D$127=6,$V$174,IF($D$127=8,$V$176,IF($D$127=10,"",IF($D$127=12,$V$175,IF($D$127=14,"",IF($D$127=18,$V$174,IF($D$127=20,$V$175,IF($D$127=22,"",)))))))))</f>
        <v>100</v>
      </c>
      <c r="J193" s="177" t="n">
        <f aca="false">ROUNDUP((H193)/100,0)</f>
        <v>1</v>
      </c>
    </row>
    <row r="194" customFormat="false" ht="18" hidden="false" customHeight="true" outlineLevel="0" collapsed="false">
      <c r="A194" s="170" t="str">
        <f aca="false">IF(B194="","",+A193+1)</f>
        <v/>
      </c>
      <c r="B194" s="131"/>
      <c r="C194" s="131"/>
      <c r="D194" s="132"/>
      <c r="E194" s="130"/>
      <c r="F194" s="130"/>
      <c r="G194" s="130"/>
      <c r="H194" s="130"/>
      <c r="I194" s="133"/>
      <c r="J194" s="134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</row>
    <row r="195" s="96" customFormat="true" ht="18" hidden="false" customHeight="true" outlineLevel="0" collapsed="false">
      <c r="A195" s="170" t="str">
        <f aca="false">IF(B195="","",+A194+1)</f>
        <v/>
      </c>
      <c r="B195" s="131"/>
      <c r="C195" s="131"/>
      <c r="D195" s="132"/>
      <c r="E195" s="130"/>
      <c r="F195" s="130"/>
      <c r="G195" s="130"/>
      <c r="H195" s="130"/>
      <c r="I195" s="133"/>
      <c r="J195" s="134" t="n">
        <f aca="false">$J$120*H195</f>
        <v>0</v>
      </c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30"/>
      <c r="I196" s="133"/>
      <c r="J196" s="134" t="n">
        <f aca="false">$J$120*H196</f>
        <v>0</v>
      </c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$J$120*H197</f>
        <v>0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$J$120*H198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$J$120*H204</f>
        <v>0</v>
      </c>
    </row>
    <row r="205" s="96" customFormat="true" ht="18" hidden="false" customHeight="true" outlineLevel="0" collapsed="false">
      <c r="A205" s="179" t="str">
        <f aca="false">IF(B205="","",+""+1)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$J$120*H205</f>
        <v>0</v>
      </c>
    </row>
    <row r="206" s="96" customFormat="true" ht="18" hidden="false" customHeight="true" outlineLevel="0" collapsed="false">
      <c r="A206" s="200"/>
      <c r="B206" s="98"/>
      <c r="D206" s="98"/>
      <c r="E206" s="97"/>
      <c r="F206" s="98"/>
      <c r="G206" s="98"/>
      <c r="H206" s="98"/>
      <c r="I206" s="196"/>
      <c r="J206" s="196"/>
    </row>
    <row r="207" customFormat="false" ht="18" hidden="false" customHeight="true" outlineLevel="0" collapsed="false">
      <c r="A207" s="97"/>
      <c r="J207" s="92" t="str">
        <f aca="false">LEFT($J$111,11)&amp;"-02"</f>
        <v>FG-240-7P7L-02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516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4940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517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4914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519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4940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190"/>
      <c r="H252" s="97"/>
      <c r="I252" s="196"/>
      <c r="J252" s="196"/>
    </row>
    <row r="253" s="96" customFormat="true" ht="15.75" hidden="false" customHeight="true" outlineLevel="0" collapsed="false">
      <c r="A253" s="97"/>
      <c r="D253" s="98"/>
      <c r="E253" s="97"/>
      <c r="F253" s="97"/>
      <c r="G253" s="97"/>
      <c r="H253" s="97"/>
      <c r="I253" s="196"/>
      <c r="J253" s="196"/>
    </row>
    <row r="254" s="96" customFormat="true" ht="15.75" hidden="false" customHeight="true" outlineLevel="0" collapsed="false">
      <c r="A254" s="191"/>
      <c r="B254" s="191"/>
      <c r="D254" s="192"/>
      <c r="E254" s="191"/>
      <c r="F254" s="191"/>
      <c r="G254" s="97"/>
      <c r="H254" s="97"/>
      <c r="I254" s="196"/>
      <c r="J254" s="196"/>
    </row>
    <row r="255" s="96" customFormat="true" ht="15.75" hidden="false" customHeight="true" outlineLevel="0" collapsed="false">
      <c r="A255" s="190"/>
      <c r="B255" s="190"/>
      <c r="C255" s="184" t="s">
        <v>520</v>
      </c>
      <c r="D255" s="194"/>
      <c r="E255" s="190"/>
      <c r="F255" s="189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459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1" t="s">
        <v>460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5" t="n">
        <f aca="false">$I$136</f>
        <v>4940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C259" s="187" t="n">
        <f aca="false">$J$136</f>
        <v>1</v>
      </c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C263" s="98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D264" s="98"/>
      <c r="E264" s="97"/>
      <c r="F264" s="97"/>
      <c r="G264" s="97"/>
      <c r="I264" s="196"/>
      <c r="J264" s="196"/>
    </row>
    <row r="265" s="96" customFormat="true" ht="15.75" hidden="false" customHeight="true" outlineLevel="0" collapsed="false">
      <c r="A265" s="200"/>
      <c r="C265" s="184" t="s">
        <v>586</v>
      </c>
      <c r="D265" s="98"/>
      <c r="E265" s="97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522</v>
      </c>
      <c r="D266" s="181"/>
      <c r="E266" s="181"/>
      <c r="F266" s="97"/>
      <c r="G266" s="97"/>
      <c r="H266" s="97"/>
      <c r="I266" s="196"/>
      <c r="J266" s="196"/>
    </row>
    <row r="267" s="96" customFormat="true" ht="15.75" hidden="false" customHeight="true" outlineLevel="0" collapsed="false">
      <c r="A267" s="200"/>
      <c r="C267" s="181" t="s">
        <v>468</v>
      </c>
      <c r="D267" s="181"/>
      <c r="E267" s="181"/>
      <c r="F267" s="97"/>
      <c r="G267" s="97"/>
      <c r="H267" s="97"/>
      <c r="J267" s="97"/>
    </row>
    <row r="268" s="96" customFormat="true" ht="15.75" hidden="false" customHeight="true" outlineLevel="0" collapsed="false">
      <c r="A268" s="200"/>
      <c r="C268" s="185" t="n">
        <f aca="false">$I$137</f>
        <v>2500</v>
      </c>
      <c r="D268" s="98"/>
      <c r="E268" s="97"/>
      <c r="F268" s="97"/>
      <c r="J268" s="97"/>
    </row>
    <row r="269" s="96" customFormat="true" ht="15.75" hidden="false" customHeight="true" outlineLevel="0" collapsed="false">
      <c r="A269" s="200"/>
      <c r="C269" s="187" t="n">
        <f aca="false">$J$137+$J$138</f>
        <v>2</v>
      </c>
      <c r="D269" s="98"/>
      <c r="E269" s="97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4"/>
      <c r="E271" s="184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H272" s="97"/>
      <c r="J272" s="97"/>
    </row>
    <row r="273" s="96" customFormat="true" ht="15.75" hidden="false" customHeight="true" outlineLevel="0" collapsed="false">
      <c r="A273" s="200"/>
      <c r="D273" s="181"/>
      <c r="E273" s="181"/>
      <c r="F273" s="97"/>
      <c r="G273" s="97"/>
      <c r="H273" s="97"/>
      <c r="J273" s="97"/>
    </row>
    <row r="274" s="96" customFormat="true" ht="15.75" hidden="false" customHeight="true" outlineLevel="0" collapsed="false">
      <c r="A274" s="200"/>
      <c r="D274" s="181"/>
      <c r="E274" s="181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D275" s="98"/>
      <c r="E275" s="97"/>
      <c r="F275" s="97"/>
      <c r="G275" s="97"/>
      <c r="I275" s="196"/>
      <c r="J275" s="196"/>
    </row>
    <row r="276" s="96" customFormat="true" ht="15.75" hidden="false" customHeight="true" outlineLevel="0" collapsed="false">
      <c r="A276" s="200"/>
      <c r="C276" s="184" t="s">
        <v>523</v>
      </c>
      <c r="D276" s="201"/>
      <c r="E276" s="196"/>
      <c r="F276" s="97"/>
      <c r="G276" s="97"/>
      <c r="I276" s="196"/>
      <c r="J276" s="196"/>
    </row>
    <row r="277" s="96" customFormat="true" ht="15.75" hidden="false" customHeight="true" outlineLevel="0" collapsed="false">
      <c r="A277" s="200"/>
      <c r="C277" s="181" t="s">
        <v>470</v>
      </c>
      <c r="D277" s="181"/>
      <c r="E277" s="181"/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1" t="s">
        <v>471</v>
      </c>
      <c r="D278" s="181"/>
      <c r="E278" s="181"/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C279" s="185" t="n">
        <f aca="false">$I$139</f>
        <v>2404</v>
      </c>
      <c r="F279" s="97"/>
      <c r="G279" s="97"/>
      <c r="I279" s="97"/>
      <c r="J279" s="196"/>
    </row>
    <row r="280" s="96" customFormat="true" ht="15.75" hidden="false" customHeight="true" outlineLevel="0" collapsed="false">
      <c r="A280" s="200"/>
      <c r="C280" s="187" t="n">
        <f aca="false">$J$139+$J$140</f>
        <v>2</v>
      </c>
      <c r="F280" s="97"/>
      <c r="G280" s="97"/>
      <c r="I280" s="97"/>
      <c r="J280" s="196"/>
    </row>
    <row r="281" s="96" customFormat="true" ht="15.75" hidden="false" customHeight="true" outlineLevel="0" collapsed="false">
      <c r="A281" s="200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D282" s="98"/>
      <c r="E282" s="97"/>
      <c r="F282" s="97"/>
      <c r="G282" s="97"/>
      <c r="H282" s="97"/>
      <c r="J282" s="97"/>
    </row>
    <row r="283" s="96" customFormat="true" ht="15.75" hidden="false" customHeight="true" outlineLevel="0" collapsed="false">
      <c r="A283" s="200"/>
      <c r="F283" s="97"/>
      <c r="G283" s="97"/>
      <c r="H283" s="97"/>
      <c r="J283" s="97"/>
    </row>
    <row r="284" s="96" customFormat="true" ht="15.75" hidden="false" customHeight="true" outlineLevel="0" collapsed="false">
      <c r="A284" s="200"/>
      <c r="F284" s="97"/>
      <c r="G284" s="97"/>
      <c r="H284" s="97"/>
      <c r="I284" s="201"/>
      <c r="J284" s="196"/>
    </row>
    <row r="285" s="96" customFormat="true" ht="15.75" hidden="false" customHeight="true" outlineLevel="0" collapsed="false">
      <c r="A285" s="200"/>
      <c r="C285" s="184" t="s">
        <v>524</v>
      </c>
      <c r="F285" s="97"/>
      <c r="G285" s="97"/>
      <c r="H285" s="97"/>
      <c r="I285" s="97"/>
      <c r="J285" s="196"/>
    </row>
    <row r="286" s="96" customFormat="true" ht="15.75" hidden="false" customHeight="true" outlineLevel="0" collapsed="false">
      <c r="A286" s="200"/>
      <c r="C286" s="83" t="s">
        <v>711</v>
      </c>
      <c r="D286" s="98"/>
      <c r="E286" s="97"/>
      <c r="F286" s="97"/>
      <c r="G286" s="97"/>
      <c r="H286" s="97"/>
      <c r="I286" s="196"/>
      <c r="J286" s="196"/>
    </row>
    <row r="287" s="96" customFormat="true" ht="15.75" hidden="false" customHeight="true" outlineLevel="0" collapsed="false">
      <c r="A287" s="200"/>
      <c r="C287" s="181" t="s">
        <v>712</v>
      </c>
      <c r="D287" s="98"/>
      <c r="E287" s="97"/>
      <c r="F287" s="97"/>
      <c r="G287" s="97"/>
      <c r="H287" s="97"/>
      <c r="I287" s="196"/>
      <c r="J287" s="196"/>
    </row>
    <row r="288" s="96" customFormat="true" ht="15.75" hidden="false" customHeight="true" outlineLevel="0" collapsed="false">
      <c r="A288" s="200"/>
      <c r="C288" s="181" t="s">
        <v>475</v>
      </c>
      <c r="D288" s="181"/>
      <c r="E288" s="181"/>
      <c r="F288" s="97"/>
      <c r="G288" s="97"/>
      <c r="I288" s="196"/>
      <c r="J288" s="196"/>
    </row>
    <row r="289" s="202" customFormat="true" ht="15.75" hidden="false" customHeight="true" outlineLevel="0" collapsed="false">
      <c r="A289" s="200"/>
      <c r="B289" s="96"/>
      <c r="C289" s="181" t="s">
        <v>476</v>
      </c>
      <c r="D289" s="181"/>
      <c r="E289" s="181"/>
      <c r="F289" s="97"/>
      <c r="G289" s="97"/>
      <c r="H289" s="96"/>
      <c r="I289" s="97"/>
      <c r="J289" s="97"/>
    </row>
    <row r="290" s="96" customFormat="true" ht="15.75" hidden="false" customHeight="true" outlineLevel="0" collapsed="false">
      <c r="A290" s="200"/>
      <c r="C290" s="185" t="n">
        <f aca="false">$I$141</f>
        <v>701.142857142857</v>
      </c>
      <c r="F290" s="97"/>
      <c r="G290" s="97"/>
      <c r="I290" s="191"/>
      <c r="J290" s="199"/>
    </row>
    <row r="291" s="96" customFormat="true" ht="15.75" hidden="false" customHeight="true" outlineLevel="0" collapsed="false">
      <c r="A291" s="200"/>
      <c r="C291" s="187" t="n">
        <f aca="false">$J$141+$J$142</f>
        <v>14</v>
      </c>
      <c r="D291" s="98"/>
      <c r="E291" s="97"/>
      <c r="F291" s="97"/>
      <c r="G291" s="97"/>
      <c r="H291" s="98"/>
      <c r="I291" s="189"/>
      <c r="J291" s="190"/>
    </row>
    <row r="292" s="96" customFormat="true" ht="15.75" hidden="false" customHeight="true" outlineLevel="0" collapsed="false">
      <c r="A292" s="200"/>
      <c r="C292" s="185" t="n">
        <f aca="false">$I$143</f>
        <v>2408</v>
      </c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C293" s="187" t="n">
        <f aca="false">$J$143+$J$144+$J$145</f>
        <v>14</v>
      </c>
      <c r="D293" s="98"/>
      <c r="E293" s="97"/>
      <c r="F293" s="97"/>
      <c r="G293" s="97"/>
      <c r="H293" s="97"/>
      <c r="I293" s="196"/>
      <c r="J293" s="196"/>
    </row>
    <row r="294" s="96" customFormat="true" ht="15.75" hidden="false" customHeight="true" outlineLevel="0" collapsed="false">
      <c r="A294" s="200"/>
      <c r="D294" s="98"/>
      <c r="E294" s="97"/>
      <c r="F294" s="97"/>
      <c r="G294" s="97"/>
      <c r="H294" s="97"/>
      <c r="I294" s="196"/>
      <c r="J294" s="196"/>
    </row>
    <row r="295" s="96" customFormat="true" ht="15.75" hidden="false" customHeight="true" outlineLevel="0" collapsed="false">
      <c r="A295" s="200"/>
      <c r="D295" s="98"/>
      <c r="E295" s="97"/>
      <c r="F295" s="97"/>
      <c r="G295" s="97"/>
      <c r="H295" s="97"/>
      <c r="I295" s="97"/>
      <c r="J295" s="196"/>
    </row>
    <row r="296" s="96" customFormat="true" ht="15.75" hidden="false" customHeight="true" outlineLevel="0" collapsed="false">
      <c r="A296" s="200"/>
      <c r="C296" s="202"/>
      <c r="D296" s="98"/>
      <c r="E296" s="97"/>
      <c r="F296" s="97"/>
      <c r="G296" s="97"/>
      <c r="H296" s="97"/>
      <c r="I296" s="97"/>
      <c r="J296" s="196"/>
    </row>
    <row r="297" s="96" customFormat="true" ht="15.75" hidden="false" customHeight="true" outlineLevel="0" collapsed="false">
      <c r="A297" s="200"/>
      <c r="C297" s="184" t="s">
        <v>525</v>
      </c>
      <c r="D297" s="98"/>
      <c r="E297" s="97"/>
      <c r="F297" s="97"/>
      <c r="G297" s="97"/>
      <c r="H297" s="97"/>
      <c r="I297" s="97"/>
      <c r="J297" s="196"/>
    </row>
    <row r="298" s="96" customFormat="true" ht="15.75" hidden="false" customHeight="true" outlineLevel="0" collapsed="false">
      <c r="A298" s="200"/>
      <c r="C298" s="83" t="s">
        <v>711</v>
      </c>
      <c r="D298" s="98"/>
      <c r="E298" s="97"/>
      <c r="F298" s="97"/>
      <c r="G298" s="191"/>
      <c r="H298" s="191"/>
      <c r="I298" s="97"/>
      <c r="J298" s="196"/>
    </row>
    <row r="299" s="96" customFormat="true" ht="15.75" hidden="false" customHeight="true" outlineLevel="0" collapsed="false">
      <c r="A299" s="200"/>
      <c r="C299" s="181" t="s">
        <v>712</v>
      </c>
      <c r="D299" s="181"/>
      <c r="E299" s="181"/>
      <c r="F299" s="97"/>
      <c r="G299" s="190"/>
      <c r="H299" s="189"/>
      <c r="I299" s="97"/>
      <c r="J299" s="196"/>
    </row>
    <row r="300" s="96" customFormat="true" ht="15.75" hidden="false" customHeight="true" outlineLevel="0" collapsed="false">
      <c r="A300" s="107"/>
      <c r="C300" s="181" t="s">
        <v>478</v>
      </c>
      <c r="D300" s="181"/>
      <c r="E300" s="181"/>
      <c r="F300" s="97"/>
      <c r="G300" s="97"/>
      <c r="H300" s="97"/>
      <c r="I300" s="97"/>
      <c r="J300" s="196"/>
    </row>
    <row r="301" s="96" customFormat="true" ht="15.75" hidden="false" customHeight="true" outlineLevel="0" collapsed="false">
      <c r="A301" s="191"/>
      <c r="B301" s="191"/>
      <c r="C301" s="181" t="s">
        <v>479</v>
      </c>
      <c r="D301" s="203"/>
      <c r="E301" s="204"/>
      <c r="F301" s="191"/>
      <c r="G301" s="97"/>
      <c r="H301" s="97"/>
      <c r="I301" s="97"/>
      <c r="J301" s="196"/>
    </row>
    <row r="302" s="96" customFormat="true" ht="15.75" hidden="false" customHeight="true" outlineLevel="0" collapsed="false">
      <c r="A302" s="190"/>
      <c r="B302" s="190"/>
      <c r="C302" s="185" t="n">
        <f aca="false">$I$146</f>
        <v>590.785714285714</v>
      </c>
      <c r="D302" s="205"/>
      <c r="E302" s="206"/>
      <c r="F302" s="189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7" t="n">
        <f aca="false">$J$146</f>
        <v>14</v>
      </c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C304" s="185" t="n">
        <f aca="false">$I$147</f>
        <v>2258</v>
      </c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C305" s="187" t="n">
        <f aca="false">$J$147</f>
        <v>14</v>
      </c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D306" s="98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4"/>
      <c r="D307" s="98"/>
      <c r="E307" s="97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181"/>
      <c r="D308" s="181"/>
      <c r="E308" s="181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249"/>
      <c r="D309" s="249"/>
      <c r="E309" s="249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5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C311" s="187"/>
      <c r="D311" s="181"/>
      <c r="E311" s="181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LEFT($J$111,11)&amp;"-03"</f>
        <v>FG-240-7P7L-03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A316" s="97"/>
      <c r="B316" s="49"/>
      <c r="C316" s="49"/>
      <c r="D316" s="207"/>
      <c r="E316" s="200"/>
      <c r="F316" s="200"/>
      <c r="G316" s="200"/>
      <c r="H316" s="200"/>
      <c r="I316" s="208"/>
      <c r="J316" s="77" t="str">
        <f aca="false">$J$2</f>
        <v>HOMELIFE</v>
      </c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240-7 Panel (7L)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195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91"/>
      <c r="D405" s="98"/>
      <c r="E405" s="97"/>
      <c r="F405" s="97"/>
      <c r="G405" s="97"/>
      <c r="H405" s="97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LEFT($J$111,11)&amp;"-04"</f>
        <v>FG-240-7P7L-04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77" t="str">
        <f aca="false">$J$2</f>
        <v>HOMELIFE</v>
      </c>
      <c r="K423" s="78"/>
      <c r="L423" s="78"/>
      <c r="M423" s="79"/>
      <c r="N423" s="79"/>
    </row>
    <row r="424" customFormat="false" ht="24.75" hidden="false" customHeight="true" outlineLevel="0" collapsed="false">
      <c r="A424" s="97"/>
      <c r="B424" s="96"/>
      <c r="C424" s="96"/>
      <c r="D424" s="98"/>
      <c r="E424" s="97"/>
      <c r="F424" s="97"/>
      <c r="G424" s="97"/>
      <c r="H424" s="97"/>
      <c r="I424" s="97"/>
      <c r="J424" s="80" t="str">
        <f aca="false">$J$3</f>
        <v>Fabricators Guide</v>
      </c>
      <c r="K424" s="78"/>
      <c r="L424" s="78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$J$4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240-7 Panel (7L)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191"/>
      <c r="C442" s="212"/>
      <c r="D442" s="98"/>
      <c r="E442" s="97"/>
      <c r="F442" s="97"/>
      <c r="H442" s="191"/>
      <c r="I442" s="191"/>
      <c r="J442" s="199"/>
    </row>
    <row r="443" s="96" customFormat="true" ht="15.75" hidden="false" customHeight="true" outlineLevel="0" collapsed="false">
      <c r="A443" s="190"/>
      <c r="C443" s="191"/>
      <c r="D443" s="192"/>
      <c r="E443" s="191"/>
      <c r="F443" s="191"/>
      <c r="H443" s="191"/>
      <c r="I443" s="191"/>
      <c r="J443" s="199"/>
    </row>
    <row r="444" s="96" customFormat="true" ht="34.5" hidden="false" customHeight="true" outlineLevel="0" collapsed="false">
      <c r="A444" s="97"/>
      <c r="C444" s="98"/>
      <c r="D444" s="194"/>
      <c r="E444" s="190"/>
      <c r="F444" s="189"/>
      <c r="H444" s="191"/>
      <c r="I444" s="196"/>
      <c r="J444" s="196"/>
    </row>
    <row r="445" customFormat="false" ht="15" hidden="false" customHeight="true" outlineLevel="0" collapsed="false">
      <c r="B445" s="211"/>
      <c r="C445" s="98"/>
      <c r="D445" s="98"/>
      <c r="E445" s="97"/>
      <c r="F445" s="98"/>
      <c r="G445" s="97"/>
      <c r="H445" s="97"/>
    </row>
    <row r="450" s="96" customFormat="true" ht="15.75" hidden="false" customHeight="true" outlineLevel="0" collapsed="false">
      <c r="A450" s="97"/>
      <c r="D450" s="73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191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97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196"/>
      <c r="J457" s="196"/>
    </row>
    <row r="458" s="96" customFormat="true" ht="15.7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195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202" customFormat="true" ht="15.75" hidden="false" customHeight="true" outlineLevel="0" collapsed="false">
      <c r="A477" s="97"/>
      <c r="B477" s="96"/>
      <c r="C477" s="96"/>
      <c r="D477" s="98"/>
      <c r="E477" s="97"/>
      <c r="F477" s="97"/>
      <c r="G477" s="97"/>
      <c r="H477" s="97"/>
      <c r="I477" s="97"/>
      <c r="J477" s="97"/>
    </row>
    <row r="478" s="96" customFormat="true" ht="15.75" hidden="false" customHeight="true" outlineLevel="0" collapsed="false">
      <c r="A478" s="191"/>
      <c r="D478" s="98"/>
      <c r="E478" s="97"/>
      <c r="F478" s="97"/>
      <c r="G478" s="97"/>
      <c r="H478" s="97"/>
      <c r="I478" s="191"/>
      <c r="J478" s="199"/>
    </row>
    <row r="479" s="96" customFormat="true" ht="15.75" hidden="false" customHeight="true" outlineLevel="0" collapsed="false">
      <c r="A479" s="190"/>
      <c r="B479" s="191"/>
      <c r="C479" s="191"/>
      <c r="D479" s="192"/>
      <c r="E479" s="191"/>
      <c r="F479" s="191"/>
      <c r="G479" s="191"/>
      <c r="H479" s="191"/>
      <c r="I479" s="189"/>
      <c r="J479" s="190"/>
    </row>
    <row r="480" s="96" customFormat="true" ht="15.75" hidden="false" customHeight="true" outlineLevel="0" collapsed="false">
      <c r="A480" s="200"/>
      <c r="B480" s="190"/>
      <c r="C480" s="191"/>
      <c r="D480" s="194"/>
      <c r="E480" s="190"/>
      <c r="F480" s="189"/>
      <c r="G480" s="190"/>
      <c r="H480" s="189"/>
      <c r="I480" s="196"/>
      <c r="J480" s="196"/>
    </row>
    <row r="481" s="96" customFormat="true" ht="15.75" hidden="false" customHeight="true" outlineLevel="0" collapsed="false">
      <c r="A481" s="200"/>
      <c r="C481" s="182"/>
      <c r="D481" s="98"/>
      <c r="E481" s="97"/>
      <c r="F481" s="97"/>
      <c r="G481" s="97"/>
      <c r="H481" s="182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C487" s="98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182"/>
      <c r="J499" s="97"/>
    </row>
    <row r="500" s="96" customFormat="true" ht="15.75" hidden="false" customHeight="true" outlineLevel="0" collapsed="false">
      <c r="A500" s="200"/>
      <c r="C500" s="188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I501" s="196"/>
      <c r="J501" s="196"/>
    </row>
    <row r="502" s="96" customFormat="true" ht="15.75" hidden="false" customHeight="true" outlineLevel="0" collapsed="false">
      <c r="A502" s="200"/>
      <c r="C502" s="98"/>
      <c r="D502" s="98"/>
      <c r="E502" s="97"/>
      <c r="F502" s="97"/>
      <c r="G502" s="97"/>
      <c r="H502" s="182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212"/>
      <c r="J513" s="195"/>
    </row>
    <row r="514" s="96" customFormat="true" ht="15.75" hidden="false" customHeight="true" outlineLevel="0" collapsed="false">
      <c r="A514" s="200"/>
      <c r="D514" s="98"/>
      <c r="E514" s="97"/>
      <c r="F514" s="97"/>
      <c r="G514" s="97"/>
      <c r="H514" s="238"/>
      <c r="J514" s="97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B516" s="191"/>
      <c r="C516" s="191"/>
      <c r="D516" s="192"/>
      <c r="E516" s="191"/>
      <c r="F516" s="191"/>
      <c r="G516" s="191"/>
      <c r="H516" s="191"/>
    </row>
    <row r="517" s="96" customFormat="true" ht="15.75" hidden="false" customHeight="true" outlineLevel="0" collapsed="false"/>
    <row r="518" s="96" customFormat="true" ht="24.75" hidden="false" customHeight="true" outlineLevel="0" collapsed="false">
      <c r="A518" s="88" t="s">
        <v>482</v>
      </c>
      <c r="B518" s="88"/>
      <c r="C518" s="88"/>
      <c r="D518" s="88"/>
      <c r="E518" s="88"/>
      <c r="F518" s="88"/>
      <c r="G518" s="88"/>
      <c r="H518" s="88"/>
      <c r="I518" s="88"/>
      <c r="J518" s="88"/>
    </row>
    <row r="519" s="96" customFormat="true" ht="34.5" hidden="false" customHeight="true" outlineLevel="0" collapsed="false">
      <c r="A519" s="114" t="s">
        <v>319</v>
      </c>
      <c r="B519" s="115" t="s">
        <v>168</v>
      </c>
      <c r="C519" s="115" t="s">
        <v>168</v>
      </c>
      <c r="D519" s="116" t="s">
        <v>483</v>
      </c>
      <c r="E519" s="115" t="s">
        <v>321</v>
      </c>
      <c r="F519" s="239" t="s">
        <v>484</v>
      </c>
      <c r="G519" s="240"/>
      <c r="H519" s="116" t="s">
        <v>484</v>
      </c>
      <c r="I519" s="116" t="s">
        <v>485</v>
      </c>
      <c r="J519" s="117" t="s">
        <v>323</v>
      </c>
      <c r="N519" s="118" t="s">
        <v>168</v>
      </c>
      <c r="O519" s="118" t="s">
        <v>168</v>
      </c>
    </row>
    <row r="520" s="96" customFormat="true" ht="15.75" hidden="false" customHeight="true" outlineLevel="0" collapsed="false">
      <c r="A520" s="120" t="n">
        <f aca="false">IF(C520="","",1)</f>
        <v>1</v>
      </c>
      <c r="B520" s="121" t="str">
        <f aca="false"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 aca="false">IF($D$127=5,O520,IF($D$127=6,O521,IF($D$127=8,O522,IF($D$127=10,O523,IF($D$127=12,O524,IF($D$127=14,O525,IF($D$127=18,O526,IF($D$127=20,O527,IF($D$127=22,O528,)))))))))</f>
        <v>GLASS thk.6 mm (H) (W)</v>
      </c>
      <c r="D520" s="123" t="n">
        <f aca="false">$J$123-215</f>
        <v>2285</v>
      </c>
      <c r="E520" s="120" t="s">
        <v>486</v>
      </c>
      <c r="F520" s="224" t="s">
        <v>487</v>
      </c>
      <c r="G520" s="224"/>
      <c r="H520" s="120" t="s">
        <v>713</v>
      </c>
      <c r="I520" s="225" t="n">
        <f aca="false">(($J$126-185-(113.25*6))/7)-13</f>
        <v>577.785714285714</v>
      </c>
      <c r="J520" s="226" t="n">
        <f aca="false">$J$120*7</f>
        <v>7</v>
      </c>
      <c r="M520" s="96" t="n">
        <f aca="false">ROW()</f>
        <v>520</v>
      </c>
      <c r="N520" s="62" t="s">
        <v>489</v>
      </c>
      <c r="O520" s="62" t="s">
        <v>490</v>
      </c>
    </row>
    <row r="521" s="96" customFormat="true" ht="15.75" hidden="false" customHeight="true" outlineLevel="0" collapsed="false">
      <c r="A521" s="269"/>
      <c r="B521" s="228"/>
      <c r="C521" s="228"/>
      <c r="D521" s="176"/>
      <c r="E521" s="167"/>
      <c r="F521" s="229"/>
      <c r="G521" s="230"/>
      <c r="H521" s="167"/>
      <c r="I521" s="231"/>
      <c r="J521" s="232"/>
      <c r="M521" s="96" t="n">
        <f aca="false">ROW()</f>
        <v>521</v>
      </c>
      <c r="N521" s="62" t="s">
        <v>491</v>
      </c>
      <c r="O521" s="62" t="s">
        <v>492</v>
      </c>
    </row>
    <row r="522" s="96" customFormat="true" ht="15.75" hidden="false" customHeight="true" outlineLevel="0" collapsed="false">
      <c r="A522" s="269"/>
      <c r="B522" s="228"/>
      <c r="C522" s="228"/>
      <c r="D522" s="176"/>
      <c r="E522" s="167"/>
      <c r="F522" s="229"/>
      <c r="G522" s="230"/>
      <c r="H522" s="167"/>
      <c r="I522" s="231"/>
      <c r="J522" s="232"/>
      <c r="M522" s="96" t="n">
        <f aca="false">ROW()</f>
        <v>522</v>
      </c>
      <c r="N522" s="62" t="s">
        <v>493</v>
      </c>
      <c r="O522" s="62" t="s">
        <v>494</v>
      </c>
    </row>
    <row r="523" s="96" customFormat="true" ht="15.75" hidden="false" customHeight="true" outlineLevel="0" collapsed="false">
      <c r="A523" s="130" t="str">
        <f aca="false">IF(B523="","",+""+1)</f>
        <v/>
      </c>
      <c r="B523" s="131"/>
      <c r="C523" s="131"/>
      <c r="D523" s="132"/>
      <c r="E523" s="130"/>
      <c r="F523" s="233"/>
      <c r="G523" s="270"/>
      <c r="H523" s="130"/>
      <c r="I523" s="142"/>
      <c r="J523" s="133"/>
      <c r="M523" s="96" t="n">
        <f aca="false">ROW()</f>
        <v>523</v>
      </c>
      <c r="N523" s="62" t="s">
        <v>495</v>
      </c>
      <c r="O523" s="62" t="s">
        <v>496</v>
      </c>
    </row>
    <row r="524" s="96" customFormat="true" ht="15.75" hidden="false" customHeight="true" outlineLevel="0" collapsed="false">
      <c r="A524" s="136" t="str">
        <f aca="false">IF(B524="","",+A523+1)</f>
        <v/>
      </c>
      <c r="B524" s="135"/>
      <c r="C524" s="135"/>
      <c r="D524" s="139"/>
      <c r="E524" s="136"/>
      <c r="F524" s="236"/>
      <c r="G524" s="237"/>
      <c r="H524" s="136"/>
      <c r="I524" s="180"/>
      <c r="J524" s="140"/>
      <c r="M524" s="96" t="n">
        <f aca="false">ROW()</f>
        <v>524</v>
      </c>
      <c r="N524" s="62" t="s">
        <v>497</v>
      </c>
      <c r="O524" s="62" t="s">
        <v>498</v>
      </c>
    </row>
    <row r="525" s="96" customFormat="true" ht="15.75" hidden="false" customHeight="true" outlineLevel="0" collapsed="false">
      <c r="A525" s="97"/>
      <c r="D525" s="98"/>
      <c r="E525" s="97"/>
      <c r="F525" s="97"/>
      <c r="G525" s="97"/>
      <c r="H525" s="97"/>
      <c r="I525" s="97"/>
      <c r="J525" s="196"/>
      <c r="M525" s="96" t="n">
        <f aca="false">ROW()</f>
        <v>525</v>
      </c>
      <c r="N525" s="62" t="s">
        <v>499</v>
      </c>
      <c r="O525" s="62" t="s">
        <v>500</v>
      </c>
    </row>
    <row r="526" customFormat="false" ht="14.25" hidden="false" customHeight="false" outlineLevel="0" collapsed="false">
      <c r="J526" s="92" t="str">
        <f aca="false">LEFT($J$111,11)&amp;"-05"</f>
        <v>FG-240-7P7L-05</v>
      </c>
      <c r="M526" s="96" t="n">
        <f aca="false">ROW()</f>
        <v>526</v>
      </c>
      <c r="N526" s="62" t="s">
        <v>501</v>
      </c>
      <c r="O526" s="62" t="s">
        <v>502</v>
      </c>
    </row>
    <row r="527" customFormat="false" ht="14.25" hidden="false" customHeight="false" outlineLevel="0" collapsed="false">
      <c r="M527" s="96" t="n">
        <f aca="false">ROW()</f>
        <v>527</v>
      </c>
      <c r="N527" s="62" t="s">
        <v>503</v>
      </c>
      <c r="O527" s="62" t="s">
        <v>504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505</v>
      </c>
      <c r="O528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7"/>
    <mergeCell ref="H163:H167"/>
    <mergeCell ref="I166:J167"/>
    <mergeCell ref="D168:D169"/>
    <mergeCell ref="H168:H169"/>
    <mergeCell ref="I168:J168"/>
    <mergeCell ref="D170:D171"/>
    <mergeCell ref="H170:H171"/>
    <mergeCell ref="A172:J172"/>
    <mergeCell ref="A213:J213"/>
    <mergeCell ref="C309:E309"/>
    <mergeCell ref="A320:J320"/>
    <mergeCell ref="F330:G330"/>
    <mergeCell ref="F331:G331"/>
    <mergeCell ref="F334:G334"/>
    <mergeCell ref="A427:J427"/>
    <mergeCell ref="A518:J518"/>
    <mergeCell ref="F520:G520"/>
  </mergeCells>
  <dataValidations count="4">
    <dataValidation allowBlank="true" errorStyle="stop" operator="between" showDropDown="false" showErrorMessage="true" showInputMessage="true" sqref="C206" type="list">
      <formula1>$O$174:$O$192</formula1>
      <formula2>0</formula2>
    </dataValidation>
    <dataValidation allowBlank="true" errorStyle="stop" operator="between" showDropDown="false" showErrorMessage="true" showInputMessage="true" sqref="D123:G123" type="list">
      <formula1>$P$118:$P$127</formula1>
      <formula2>0</formula2>
    </dataValidation>
    <dataValidation allowBlank="true" errorStyle="stop" operator="between" showDropDown="false" showErrorMessage="true" showInputMessage="true" sqref="D127:G127" type="list">
      <formula1>$N$119:$N$127</formula1>
      <formula2>0</formula2>
    </dataValidation>
    <dataValidation allowBlank="true" errorStyle="stop" operator="between" showDropDown="false" showErrorMessage="true" showInputMessage="true" sqref="D129:G129" type="list">
      <formula1>$O$119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528"/>
  <sheetViews>
    <sheetView showFormulas="false" showGridLines="false" showRowColHeaders="true" showZeros="true" rightToLeft="false" tabSelected="false" showOutlineSymbols="true" defaultGridColor="true" view="pageBreakPreview" topLeftCell="A1" colorId="64" zoomScale="75" zoomScaleNormal="75" zoomScalePageLayoutView="75" workbookViewId="0">
      <selection pane="topLeft" activeCell="A1" activeCellId="0" sqref="A1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11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6.67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0.44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730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>
      <c r="G55" s="91"/>
    </row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731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8" hidden="false" customHeight="true" outlineLevel="0" collapsed="false">
      <c r="A118" s="97"/>
      <c r="C118" s="81"/>
      <c r="D118" s="98"/>
      <c r="E118" s="83"/>
      <c r="J118" s="99"/>
      <c r="K118" s="83"/>
      <c r="N118" s="258" t="s">
        <v>288</v>
      </c>
      <c r="O118" s="97" t="s">
        <v>289</v>
      </c>
      <c r="P118" s="102" t="s">
        <v>290</v>
      </c>
    </row>
    <row r="119" s="96" customFormat="true" ht="15" hidden="false" customHeight="true" outlineLevel="0" collapsed="false">
      <c r="A119" s="97"/>
      <c r="C119" s="100" t="s">
        <v>286</v>
      </c>
      <c r="D119" s="101"/>
      <c r="E119" s="101"/>
      <c r="F119" s="101"/>
      <c r="G119" s="101"/>
      <c r="I119" s="83"/>
      <c r="J119" s="97"/>
      <c r="N119" s="259" t="n">
        <v>5</v>
      </c>
      <c r="O119" s="97" t="s">
        <v>509</v>
      </c>
      <c r="P119" s="106" t="s">
        <v>294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6</v>
      </c>
      <c r="O120" s="97" t="s">
        <v>296</v>
      </c>
      <c r="P120" s="106" t="s">
        <v>297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8</v>
      </c>
      <c r="P121" s="106" t="s">
        <v>299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10</v>
      </c>
      <c r="P122" s="106" t="s">
        <v>303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2900</v>
      </c>
      <c r="N123" s="259" t="n">
        <v>12</v>
      </c>
      <c r="P123" s="106" t="s">
        <v>305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14</v>
      </c>
      <c r="P124" s="106" t="s">
        <v>308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18</v>
      </c>
      <c r="P125" s="106" t="s">
        <v>311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5000</v>
      </c>
      <c r="K126" s="110"/>
      <c r="L126" s="110"/>
      <c r="N126" s="259" t="n">
        <v>20</v>
      </c>
      <c r="P126" s="106" t="s">
        <v>313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8</v>
      </c>
      <c r="E127" s="111"/>
      <c r="F127" s="111"/>
      <c r="G127" s="111"/>
      <c r="H127" s="104"/>
      <c r="I127" s="104"/>
      <c r="J127" s="105"/>
      <c r="N127" s="259" t="n">
        <v>22</v>
      </c>
      <c r="P127" s="106" t="s">
        <v>315</v>
      </c>
    </row>
    <row r="128" s="96" customFormat="true" ht="18.75" hidden="false" customHeight="true" outlineLevel="0" collapsed="false">
      <c r="C128" s="108" t="s">
        <v>314</v>
      </c>
      <c r="I128" s="97"/>
      <c r="J128" s="97"/>
    </row>
    <row r="129" s="96" customFormat="true" ht="15" hidden="false" customHeight="true" outlineLevel="0" collapsed="false">
      <c r="A129" s="89" t="str">
        <f aca="false">A18</f>
        <v>240-7 Panel (7R)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4940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14</v>
      </c>
      <c r="U133" s="127" t="s">
        <v>709</v>
      </c>
      <c r="V133" s="128" t="n">
        <f aca="false">($J$126-185-(113.25*6))/7</f>
        <v>590.785714285714</v>
      </c>
      <c r="W133" s="129" t="n">
        <f aca="false">$J$120*T133</f>
        <v>14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4914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14</v>
      </c>
      <c r="U134" s="130" t="s">
        <v>709</v>
      </c>
      <c r="V134" s="142" t="n">
        <f aca="false">($J$126-185-(113.25*6))/7</f>
        <v>590.785714285714</v>
      </c>
      <c r="W134" s="134" t="n">
        <f aca="false">$J$120*T134</f>
        <v>14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4940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14</v>
      </c>
      <c r="U135" s="136" t="s">
        <v>709</v>
      </c>
      <c r="V135" s="180" t="n">
        <f aca="false">($J$126-185-(113.25*6))/7</f>
        <v>590.785714285714</v>
      </c>
      <c r="W135" s="137" t="n">
        <f aca="false">$J$120*T135</f>
        <v>14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4940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14</v>
      </c>
      <c r="U136" s="127" t="s">
        <v>360</v>
      </c>
      <c r="V136" s="138" t="n">
        <f aca="false">$J$123-242</f>
        <v>2658</v>
      </c>
      <c r="W136" s="129" t="n">
        <f aca="false">$J$120*T136</f>
        <v>14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2900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14</v>
      </c>
      <c r="U137" s="130" t="s">
        <v>360</v>
      </c>
      <c r="V137" s="133" t="n">
        <f aca="false">$J$123-242</f>
        <v>2658</v>
      </c>
      <c r="W137" s="134" t="n">
        <f aca="false">$J$120*T137</f>
        <v>14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2900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14</v>
      </c>
      <c r="U138" s="136" t="s">
        <v>360</v>
      </c>
      <c r="V138" s="140" t="n">
        <f aca="false">$J$123-242</f>
        <v>2658</v>
      </c>
      <c r="W138" s="137" t="n">
        <f aca="false">$J$120*T138</f>
        <v>14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2804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2804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7</v>
      </c>
      <c r="H141" s="130" t="s">
        <v>710</v>
      </c>
      <c r="I141" s="141" t="n">
        <f aca="false">($J$126-60-(7+1)*4)/7</f>
        <v>701.142857142857</v>
      </c>
      <c r="J141" s="134" t="n">
        <f aca="false">$J$120*G141</f>
        <v>7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7</v>
      </c>
      <c r="H142" s="130" t="s">
        <v>710</v>
      </c>
      <c r="I142" s="141" t="n">
        <f aca="false">($J$126-60-(7+1)*4)/7</f>
        <v>701.142857142857</v>
      </c>
      <c r="J142" s="134" t="n">
        <f aca="false">$J$120*G142</f>
        <v>7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10</v>
      </c>
      <c r="H143" s="130" t="s">
        <v>389</v>
      </c>
      <c r="I143" s="133" t="n">
        <f aca="false">$J$123-92</f>
        <v>2808</v>
      </c>
      <c r="J143" s="134" t="n">
        <f aca="false">$J$120*G143</f>
        <v>10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563</v>
      </c>
      <c r="G144" s="130" t="n">
        <v>3</v>
      </c>
      <c r="H144" s="130" t="s">
        <v>389</v>
      </c>
      <c r="I144" s="133" t="n">
        <f aca="false">$J$123-92</f>
        <v>2808</v>
      </c>
      <c r="J144" s="134" t="n">
        <f aca="false">$J$120*G144</f>
        <v>3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531</v>
      </c>
      <c r="C145" s="131" t="s">
        <v>532</v>
      </c>
      <c r="D145" s="132" t="s">
        <v>74</v>
      </c>
      <c r="E145" s="130" t="n">
        <v>1.106</v>
      </c>
      <c r="F145" s="132" t="s">
        <v>533</v>
      </c>
      <c r="G145" s="130" t="n">
        <v>1</v>
      </c>
      <c r="H145" s="130" t="s">
        <v>389</v>
      </c>
      <c r="I145" s="133" t="n">
        <f aca="false">$J$123-92</f>
        <v>2808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tr">
        <f aca="false">IF($D$127=5,O133,IF($D$127=6,O133,IF($D$127=8,O134,IF($D$127=10,O134,IF($D$127=12,O134,IF($D$127=14,O135,IF($D$127=18,O135,IF($D$127=20,O135,IF($D$127=22,O135,)))))))))</f>
        <v>8-12mm คิ้วตบกระจกแนวนอน</v>
      </c>
      <c r="C146" s="131" t="str">
        <f aca="false">IF($D$127=5,P133,IF($D$127=6,P133,IF($D$127=8,P134,IF($D$127=10,P134,IF($D$127=12,P134,IF($D$127=14,P135,IF($D$127=18,P135,IF($D$127=20,P135,IF($D$127=22,P135,)))))))))</f>
        <v>8-12mm GLAZING BEAD HORIZONTAL</v>
      </c>
      <c r="D146" s="131" t="str">
        <f aca="false">IF($D$127=5,Q133,IF($D$127=6,Q133,IF($D$127=8,Q134,IF($D$127=10,Q134,IF($D$127=12,Q134,IF($D$127=14,Q135,IF($D$127=18,Q135,IF($D$127=20,Q135,IF($D$127=22,Q135,)))))))))</f>
        <v>B24016</v>
      </c>
      <c r="E146" s="131" t="n">
        <f aca="false">IF($D$127=5,R133,IF($D$127=6,R133,IF($D$127=8,R134,IF($D$127=10,R134,IF($D$127=12,R134,IF($D$127=14,R135,IF($D$127=18,R135,IF($D$127=20,R135,IF($D$127=22,R135,)))))))))</f>
        <v>0.215</v>
      </c>
      <c r="F146" s="131" t="str">
        <f aca="false">IF($D$127=5,S133,IF($D$127=6,S133,IF($D$127=8,S134,IF($D$127=10,S134,IF($D$127=12,S134,IF($D$127=14,S135,IF($D$127=18,S135,IF($D$127=20,S135,IF($D$127=22,S135,)))))))))</f>
        <v>B24016-001</v>
      </c>
      <c r="G146" s="130" t="n">
        <f aca="false">IF($D$127=5,T133,IF($D$127=6,T133,IF($D$127=8,T134,IF($D$127=10,T134,IF($D$127=12,T134,IF($D$127=14,T135,IF($D$127=18,T135,IF($D$127=20,T135,IF($D$127=22,T135,)))))))))</f>
        <v>14</v>
      </c>
      <c r="H146" s="130" t="str">
        <f aca="false">IF($D$127=5,U133,IF($D$127=6,U133,IF($D$127=8,U134,IF($D$127=10,U134,IF($D$127=12,U134,IF($D$127=14,U135,IF($D$127=18,U135,IF($D$127=20,U135,IF($D$127=22,U135,)))))))))</f>
        <v>(W-185-(113.25 × 6))/7</v>
      </c>
      <c r="I146" s="141" t="n">
        <f aca="false">IF($D$127=5,V133,IF($D$127=6,V133,IF($D$127=8,V134,IF($D$127=10,V134,IF($D$127=12,V134,IF($D$127=14,V135,IF($D$127=18,V135,IF($D$127=20,V135,IF($D$127=22,V135,)))))))))</f>
        <v>590.785714285714</v>
      </c>
      <c r="J146" s="134" t="n">
        <f aca="false">$J$120*G146</f>
        <v>14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IF($D$127=5,O136,IF($D$127=6,O136,IF($D$127=8,O137,IF($D$127=10,O137,IF($D$127=12,O137,IF($D$127=14,O138,IF($D$127=18,O138,IF($D$127=20,O138,IF($D$127=22,O138,)))))))))</f>
        <v>8-12mm คิ้วตบกระจกแนวตั้ง</v>
      </c>
      <c r="C147" s="131" t="str">
        <f aca="false">IF($D$127=5,P136,IF($D$127=6,P136,IF($D$127=8,P137,IF($D$127=10,P137,IF($D$127=12,P137,IF($D$127=14,P138,IF($D$127=18,P138,IF($D$127=20,P138,IF($D$127=22,P138,)))))))))</f>
        <v>8-12mm GLAZING BEAD VERTICAL</v>
      </c>
      <c r="D147" s="131" t="str">
        <f aca="false">IF($D$127=5,Q136,IF($D$127=6,Q136,IF($D$127=8,Q137,IF($D$127=10,Q137,IF($D$127=12,Q137,IF($D$127=14,Q138,IF($D$127=18,Q138,IF($D$127=20,Q138,IF($D$127=22,Q138,)))))))))</f>
        <v>B24016</v>
      </c>
      <c r="E147" s="131" t="n">
        <f aca="false">IF($D$127=5,R136,IF($D$127=6,R136,IF($D$127=8,R137,IF($D$127=10,R137,IF($D$127=12,R137,IF($D$127=14,R138,IF($D$127=18,R138,IF($D$127=20,R138,IF($D$127=22,R138,)))))))))</f>
        <v>0.215</v>
      </c>
      <c r="F147" s="131" t="str">
        <f aca="false">IF($D$127=5,S136,IF($D$127=6,S136,IF($D$127=8,S137,IF($D$127=10,S137,IF($D$127=12,S137,IF($D$127=14,S138,IF($D$127=18,S138,IF($D$127=20,S138,IF($D$127=22,S138,)))))))))</f>
        <v>B24016-002</v>
      </c>
      <c r="G147" s="130" t="n">
        <f aca="false">IF($D$127=5,T136,IF($D$127=6,T136,IF($D$127=8,T137,IF($D$127=10,T137,IF($D$127=12,T137,IF($D$127=14,T138,IF($D$127=18,T138,IF($D$127=20,T138,IF($D$127=22,T138,)))))))))</f>
        <v>14</v>
      </c>
      <c r="H147" s="130" t="str">
        <f aca="false">IF($D$127=5,U136,IF($D$127=6,U136,IF($D$127=8,U137,IF($D$127=10,U137,IF($D$127=12,U137,IF($D$127=14,U138,IF($D$127=18,U138,IF($D$127=20,U138,IF($D$127=22,U138,)))))))))</f>
        <v>H-242</v>
      </c>
      <c r="I147" s="133" t="n">
        <f aca="false">IF($D$127=5,V136,IF($D$127=6,V136,IF($D$127=8,V137,IF($D$127=10,V137,IF($D$127=12,V137,IF($D$127=14,V138,IF($D$127=18,V138,IF($D$127=20,V138,IF($D$127=22,V138,)))))))))</f>
        <v>2658</v>
      </c>
      <c r="J147" s="134" t="n">
        <f aca="false">$J$120*G147</f>
        <v>14</v>
      </c>
    </row>
    <row r="148" s="96" customFormat="true" ht="18" hidden="false" customHeight="true" outlineLevel="0" collapsed="false">
      <c r="A148" s="130" t="str">
        <f aca="false">IF(B148="","",+A147+1)</f>
        <v/>
      </c>
      <c r="B148" s="131"/>
      <c r="C148" s="131"/>
      <c r="D148" s="132"/>
      <c r="E148" s="130"/>
      <c r="F148" s="132"/>
      <c r="G148" s="130"/>
      <c r="H148" s="130"/>
      <c r="I148" s="133"/>
      <c r="J148" s="134"/>
    </row>
    <row r="149" s="96" customFormat="true" ht="18" hidden="false" customHeight="true" outlineLevel="0" collapsed="false">
      <c r="A149" s="130" t="str">
        <f aca="false">IF(B149="","",+A148+1)</f>
        <v/>
      </c>
      <c r="B149" s="131"/>
      <c r="C149" s="131"/>
      <c r="D149" s="132"/>
      <c r="E149" s="130"/>
      <c r="F149" s="132"/>
      <c r="G149" s="130"/>
      <c r="H149" s="130"/>
      <c r="I149" s="133"/>
      <c r="J149" s="134"/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33"/>
      <c r="J150" s="134"/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33"/>
      <c r="J151" s="134"/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42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4940</v>
      </c>
      <c r="G155" s="155" t="n">
        <f aca="false">VLOOKUP(C155,$C$133:$J$153,8,0)</f>
        <v>1</v>
      </c>
      <c r="H155" s="264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VLOOKUP(C156,$C$133:$I$153,7,0)</f>
        <v>4914</v>
      </c>
      <c r="G156" s="155" t="n">
        <f aca="false">VLOOKUP(C156,$C$133:$J$153,8,0)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VLOOKUP(C157,$C$133:$I$153,7,0)</f>
        <v>4940</v>
      </c>
      <c r="G157" s="155" t="n">
        <f aca="false">VLOOKUP(C157,$C$133:$J$153,8,0)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VLOOKUP(C158,$C$133:$I$153,7,0)</f>
        <v>4940</v>
      </c>
      <c r="G158" s="155" t="n">
        <f aca="false">VLOOKUP(C158,$C$133:$J$153,8,0)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VLOOKUP(C159,$C$133:$I$153,7,0)</f>
        <v>2900</v>
      </c>
      <c r="G159" s="155" t="n">
        <f aca="false">VLOOKUP(C159,$C$133:$J$153,8,0)</f>
        <v>1</v>
      </c>
      <c r="H159" s="160" t="n">
        <f aca="false">ROUNDUP(((F159*G159)+(F160*G160))/6400,0)</f>
        <v>1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VLOOKUP(C160,$C$133:$I$153,7,0)</f>
        <v>2900</v>
      </c>
      <c r="G160" s="155" t="n">
        <f aca="false">VLOOKUP(C160,$C$133:$J$153,8,0)</f>
        <v>1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VLOOKUP(C161,$C$133:$I$153,7,0)</f>
        <v>2804</v>
      </c>
      <c r="G161" s="155" t="n">
        <f aca="false">VLOOKUP(C161,$C$133:$J$153,8,0)</f>
        <v>1</v>
      </c>
      <c r="H161" s="160" t="n">
        <f aca="false">ROUNDUP(((F161*G161)+(F162*G162))/6400,0)</f>
        <v>1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155" t="n">
        <f aca="false">VLOOKUP(C162,$C$133:$H$153,3,0)</f>
        <v>0.235</v>
      </c>
      <c r="F162" s="263" t="n">
        <f aca="false">VLOOKUP(C162,$C$133:$I$153,7,0)</f>
        <v>2804</v>
      </c>
      <c r="G162" s="155" t="n">
        <f aca="false">VLOOKUP(C162,$C$133:$J$153,8,0)</f>
        <v>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155" t="n">
        <f aca="false">VLOOKUP(C163,$C$133:$H$153,3,0)</f>
        <v>1.106</v>
      </c>
      <c r="F163" s="267" t="n">
        <f aca="false">VLOOKUP(C163,$C$133:$I$153,7,0)</f>
        <v>701.142857142857</v>
      </c>
      <c r="G163" s="155" t="n">
        <f aca="false">VLOOKUP(C163,$C$133:$J$153,8,0)</f>
        <v>7</v>
      </c>
      <c r="H163" s="160" t="n">
        <f aca="false">ROUNDUP(((F163*G163)+(F164*G164)+(F165*G165)+(F166*G166)+(F167*G167))/6400,0)</f>
        <v>8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155" t="n">
        <f aca="false">VLOOKUP(C164,$C$133:$H$153,3,0)</f>
        <v>1.106</v>
      </c>
      <c r="F164" s="267" t="n">
        <f aca="false">VLOOKUP(C164,$C$133:$I$153,7,0)</f>
        <v>701.142857142857</v>
      </c>
      <c r="G164" s="155" t="n">
        <f aca="false">VLOOKUP(C164,$C$133:$J$153,8,0)</f>
        <v>7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155" t="n">
        <f aca="false">VLOOKUP(C165,$C$133:$H$153,3,0)</f>
        <v>1.106</v>
      </c>
      <c r="F165" s="263" t="n">
        <f aca="false">VLOOKUP(C165,$C$133:$I$153,7,0)</f>
        <v>2808</v>
      </c>
      <c r="G165" s="155" t="n">
        <f aca="false">VLOOKUP(C165,$C$133:$J$153,8,0)</f>
        <v>10</v>
      </c>
      <c r="H165" s="160"/>
      <c r="I165" s="161"/>
      <c r="J165" s="161"/>
    </row>
    <row r="166" s="96" customFormat="true" ht="13.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155" t="n">
        <f aca="false">VLOOKUP(C166,$C$133:$H$153,3,0)</f>
        <v>1.106</v>
      </c>
      <c r="F166" s="263" t="n">
        <f aca="false">VLOOKUP(C166,$C$133:$I$153,7,0)</f>
        <v>2808</v>
      </c>
      <c r="G166" s="155" t="n">
        <f aca="false">VLOOKUP(C166,$C$133:$J$153,8,0)</f>
        <v>3</v>
      </c>
      <c r="H166" s="160"/>
      <c r="I166" s="161"/>
      <c r="J166" s="161"/>
    </row>
    <row r="167" s="96" customFormat="true" ht="15" hidden="false" customHeight="true" outlineLevel="1" collapsed="false">
      <c r="A167" s="158" t="n">
        <f aca="false">IF(B167="","",+A166+1)</f>
        <v>13</v>
      </c>
      <c r="B167" s="153" t="str">
        <f aca="false">B145</f>
        <v>เสากุญแจมือจับ</v>
      </c>
      <c r="C167" s="153" t="str">
        <f aca="false">C145</f>
        <v>SASH (Ver) LOCK HANDLE</v>
      </c>
      <c r="D167" s="159"/>
      <c r="E167" s="155" t="n">
        <f aca="false">VLOOKUP(C167,$C$133:$H$153,3,0)</f>
        <v>1.106</v>
      </c>
      <c r="F167" s="263" t="n">
        <f aca="false">VLOOKUP(C167,$C$133:$I$153,7,0)</f>
        <v>2808</v>
      </c>
      <c r="G167" s="155" t="n">
        <f aca="false">VLOOKUP(C167,$C$133:$J$153,8,0)</f>
        <v>1</v>
      </c>
      <c r="H167" s="160"/>
      <c r="I167" s="161"/>
      <c r="J167" s="161"/>
    </row>
    <row r="168" s="96" customFormat="true" ht="13.5" hidden="false" customHeight="true" outlineLevel="1" collapsed="false">
      <c r="A168" s="158" t="n">
        <f aca="false">IF(B168="","",+A167+1)</f>
        <v>14</v>
      </c>
      <c r="B168" s="153" t="str">
        <f aca="false">B146</f>
        <v>8-12mm คิ้วตบกระจกแนวนอน</v>
      </c>
      <c r="C168" s="153" t="str">
        <f aca="false">C146</f>
        <v>8-12mm GLAZING BEAD HORIZONTAL</v>
      </c>
      <c r="D168" s="159" t="str">
        <f aca="false">VLOOKUP(C168,$C$133:$H$153,2,0)</f>
        <v>B24016</v>
      </c>
      <c r="E168" s="155" t="n">
        <f aca="false">VLOOKUP(C168,$C$133:$H$153,3,0)</f>
        <v>0.215</v>
      </c>
      <c r="F168" s="267" t="n">
        <f aca="false">VLOOKUP(C168,$C$133:$I$153,7,0)</f>
        <v>590.785714285714</v>
      </c>
      <c r="G168" s="155" t="n">
        <f aca="false">VLOOKUP(C168,$C$133:$J$153,8,0)</f>
        <v>14</v>
      </c>
      <c r="H168" s="160" t="n">
        <f aca="false">ROUNDUP(((F168*G168)+(F169*G169))/6400,0)</f>
        <v>8</v>
      </c>
      <c r="I168" s="265"/>
      <c r="J168" s="265"/>
    </row>
    <row r="169" s="96" customFormat="true" ht="15" hidden="false" customHeight="true" outlineLevel="1" collapsed="false">
      <c r="A169" s="158" t="n">
        <f aca="false">IF(B169="","",+A168+1)</f>
        <v>15</v>
      </c>
      <c r="B169" s="153" t="str">
        <f aca="false">B147</f>
        <v>8-12mm คิ้วตบกระจกแนวตั้ง</v>
      </c>
      <c r="C169" s="153" t="str">
        <f aca="false">C147</f>
        <v>8-12mm GLAZING BEAD VERTICAL</v>
      </c>
      <c r="D169" s="159"/>
      <c r="E169" s="155" t="n">
        <f aca="false">VLOOKUP(C169,$C$133:$H$153,3,0)</f>
        <v>0.215</v>
      </c>
      <c r="F169" s="263" t="n">
        <f aca="false">VLOOKUP(C169,$C$133:$I$153,7,0)</f>
        <v>2658</v>
      </c>
      <c r="G169" s="155" t="n">
        <f aca="false">VLOOKUP(C169,$C$133:$J$153,8,0)</f>
        <v>14</v>
      </c>
      <c r="H169" s="160"/>
      <c r="I169" s="196"/>
      <c r="J169" s="196"/>
    </row>
    <row r="170" s="96" customFormat="true" ht="13.5" hidden="false" customHeight="true" outlineLevel="1" collapsed="false">
      <c r="A170" s="158" t="str">
        <f aca="false">IF(B170="","",+A169+1)</f>
        <v/>
      </c>
      <c r="B170" s="153" t="n">
        <f aca="false">B148</f>
        <v>0</v>
      </c>
      <c r="C170" s="153" t="n">
        <f aca="false">C148</f>
        <v>0</v>
      </c>
      <c r="D170" s="163" t="str">
        <f aca="false">IFERROR(VLOOKUP(C170,$C$133:$H$153,2,0),"")</f>
        <v/>
      </c>
      <c r="E170" s="155" t="str">
        <f aca="false">IFERROR(VLOOKUP(C170,$C$133:$H$153,3,0),"")</f>
        <v/>
      </c>
      <c r="F170" s="263" t="str">
        <f aca="false">IFERROR(VLOOKUP(C170,$C$133:$I$153,7,0),"")</f>
        <v/>
      </c>
      <c r="G170" s="155" t="str">
        <f aca="false">IFERROR(VLOOKUP(C170,$C$133:$J$153,8,0),"")</f>
        <v/>
      </c>
      <c r="H170" s="160" t="str">
        <f aca="false">IFERROR(ROUNDUP(((F170*G170)+(F171*G171))/6400,0),"")</f>
        <v/>
      </c>
      <c r="I170" s="196"/>
      <c r="J170" s="196"/>
    </row>
    <row r="171" s="96" customFormat="true" ht="14.25" hidden="false" customHeight="false" outlineLevel="1" collapsed="false">
      <c r="A171" s="158" t="str">
        <f aca="false">IF(B171="","",+A170+1)</f>
        <v/>
      </c>
      <c r="B171" s="153" t="n">
        <f aca="false">B149</f>
        <v>0</v>
      </c>
      <c r="C171" s="153" t="n">
        <f aca="false">C149</f>
        <v>0</v>
      </c>
      <c r="D171" s="163"/>
      <c r="E171" s="155" t="str">
        <f aca="false">IFERROR(VLOOKUP(C171,$C$133:$H$153,3,0),"")</f>
        <v/>
      </c>
      <c r="F171" s="263" t="str">
        <f aca="false">IFERROR(VLOOKUP(C171,$C$133:$I$153,7,0),"")</f>
        <v/>
      </c>
      <c r="G171" s="155" t="str">
        <f aca="false">IFERROR(VLOOKUP(C171,$C$133:$J$153,8,0),"")</f>
        <v/>
      </c>
      <c r="H171" s="160"/>
      <c r="I171" s="196"/>
      <c r="J171" s="196"/>
    </row>
    <row r="172" s="96" customFormat="true" ht="24.75" hidden="false" customHeight="true" outlineLevel="0" collapsed="false">
      <c r="A172" s="113" t="s">
        <v>396</v>
      </c>
      <c r="B172" s="113"/>
      <c r="C172" s="113"/>
      <c r="D172" s="113"/>
      <c r="E172" s="113"/>
      <c r="F172" s="113"/>
      <c r="G172" s="113"/>
      <c r="H172" s="113"/>
      <c r="I172" s="113"/>
      <c r="J172" s="113"/>
    </row>
    <row r="173" s="96" customFormat="true" ht="34.5" hidden="false" customHeight="true" outlineLevel="0" collapsed="false">
      <c r="A173" s="114" t="s">
        <v>319</v>
      </c>
      <c r="B173" s="115" t="s">
        <v>320</v>
      </c>
      <c r="C173" s="115" t="s">
        <v>168</v>
      </c>
      <c r="D173" s="115" t="s">
        <v>397</v>
      </c>
      <c r="E173" s="115" t="s">
        <v>321</v>
      </c>
      <c r="F173" s="116" t="s">
        <v>398</v>
      </c>
      <c r="G173" s="115" t="s">
        <v>399</v>
      </c>
      <c r="H173" s="116" t="s">
        <v>400</v>
      </c>
      <c r="I173" s="116" t="s">
        <v>401</v>
      </c>
      <c r="J173" s="117" t="s">
        <v>402</v>
      </c>
      <c r="N173" s="107" t="s">
        <v>288</v>
      </c>
      <c r="O173" s="165" t="s">
        <v>320</v>
      </c>
      <c r="P173" s="165" t="s">
        <v>168</v>
      </c>
      <c r="Q173" s="165" t="s">
        <v>397</v>
      </c>
      <c r="R173" s="165" t="s">
        <v>321</v>
      </c>
      <c r="S173" s="165" t="s">
        <v>398</v>
      </c>
      <c r="T173" s="165" t="s">
        <v>399</v>
      </c>
      <c r="U173" s="165" t="s">
        <v>400</v>
      </c>
      <c r="V173" s="165" t="s">
        <v>401</v>
      </c>
      <c r="W173" s="165" t="s">
        <v>402</v>
      </c>
    </row>
    <row r="174" s="96" customFormat="true" ht="18" hidden="false" customHeight="true" outlineLevel="0" collapsed="false">
      <c r="A174" s="166" t="n">
        <f aca="false">IF(B174="","",1)</f>
        <v>1</v>
      </c>
      <c r="B174" s="131" t="s">
        <v>410</v>
      </c>
      <c r="C174" s="131" t="s">
        <v>411</v>
      </c>
      <c r="D174" s="132" t="s">
        <v>267</v>
      </c>
      <c r="E174" s="130"/>
      <c r="F174" s="130" t="s">
        <v>267</v>
      </c>
      <c r="G174" s="130" t="s">
        <v>405</v>
      </c>
      <c r="H174" s="130" t="n">
        <v>14</v>
      </c>
      <c r="I174" s="133"/>
      <c r="J174" s="134" t="n">
        <f aca="false">$J$120*H174</f>
        <v>14</v>
      </c>
      <c r="N174" s="107" t="s">
        <v>406</v>
      </c>
      <c r="O174" s="55" t="s">
        <v>407</v>
      </c>
      <c r="P174" s="62" t="s">
        <v>408</v>
      </c>
      <c r="Q174" s="55" t="s">
        <v>227</v>
      </c>
      <c r="R174" s="158"/>
      <c r="S174" s="158" t="s">
        <v>227</v>
      </c>
      <c r="T174" s="158" t="s">
        <v>409</v>
      </c>
      <c r="U174" s="168" t="n">
        <f aca="false">((($I$141*$G$141)+($I$142*$G$142)+($I$143*$G$143)+($I$144*$G$144)+($I$145*$G$145))/1000)*$J$120</f>
        <v>49.128</v>
      </c>
      <c r="V174" s="168" t="n">
        <v>100</v>
      </c>
      <c r="W174" s="169" t="str">
        <f aca="false">IFERROR(ROUNDUP(("")/100,0),"")</f>
        <v/>
      </c>
    </row>
    <row r="175" s="96" customFormat="true" ht="18" hidden="false" customHeight="true" outlineLevel="0" collapsed="false">
      <c r="A175" s="170" t="n">
        <f aca="false">IF(B175="","",+A174+1)</f>
        <v>2</v>
      </c>
      <c r="B175" s="131" t="s">
        <v>415</v>
      </c>
      <c r="C175" s="131" t="s">
        <v>416</v>
      </c>
      <c r="D175" s="132" t="s">
        <v>222</v>
      </c>
      <c r="E175" s="130"/>
      <c r="F175" s="130" t="s">
        <v>222</v>
      </c>
      <c r="G175" s="130" t="s">
        <v>405</v>
      </c>
      <c r="H175" s="130" t="n">
        <v>2</v>
      </c>
      <c r="I175" s="133"/>
      <c r="J175" s="134" t="n">
        <f aca="false">$J$120*H175</f>
        <v>2</v>
      </c>
      <c r="N175" s="107" t="s">
        <v>412</v>
      </c>
      <c r="O175" s="55" t="s">
        <v>413</v>
      </c>
      <c r="P175" s="62" t="s">
        <v>414</v>
      </c>
      <c r="Q175" s="55" t="s">
        <v>234</v>
      </c>
      <c r="R175" s="158"/>
      <c r="S175" s="158" t="s">
        <v>234</v>
      </c>
      <c r="T175" s="158" t="s">
        <v>409</v>
      </c>
      <c r="U175" s="168" t="n">
        <f aca="false">((($I$141*$G$141)+($I$142*$G$142)+($I$143*$G$143)+($I$144*$G$144)+($I$145*$G$145))/1000)*$J$120</f>
        <v>49.128</v>
      </c>
      <c r="V175" s="168" t="n">
        <v>100</v>
      </c>
      <c r="W175" s="169" t="str">
        <f aca="false">IFERROR(ROUNDUP(("")/100,0),"")</f>
        <v/>
      </c>
    </row>
    <row r="176" s="96" customFormat="true" ht="18" hidden="false" customHeight="true" outlineLevel="0" collapsed="false">
      <c r="A176" s="170" t="n">
        <f aca="false">IF(B176="","",+A175+1)</f>
        <v>3</v>
      </c>
      <c r="B176" s="131" t="s">
        <v>420</v>
      </c>
      <c r="C176" s="131" t="s">
        <v>421</v>
      </c>
      <c r="D176" s="132" t="s">
        <v>225</v>
      </c>
      <c r="E176" s="130"/>
      <c r="F176" s="130" t="s">
        <v>225</v>
      </c>
      <c r="G176" s="130" t="s">
        <v>405</v>
      </c>
      <c r="H176" s="130" t="n">
        <v>2</v>
      </c>
      <c r="I176" s="133"/>
      <c r="J176" s="134" t="n">
        <f aca="false">$J$120*H176</f>
        <v>2</v>
      </c>
      <c r="N176" s="107" t="s">
        <v>417</v>
      </c>
      <c r="O176" s="62" t="s">
        <v>418</v>
      </c>
      <c r="P176" s="62" t="s">
        <v>419</v>
      </c>
      <c r="Q176" s="55" t="s">
        <v>236</v>
      </c>
      <c r="R176" s="158"/>
      <c r="S176" s="158" t="s">
        <v>236</v>
      </c>
      <c r="T176" s="158" t="s">
        <v>409</v>
      </c>
      <c r="U176" s="168" t="n">
        <f aca="false">((($I$141*$G$141)+($I$142*$G$142)+($I$143*$G$143)+($I$144*$G$144)+($I$145*$G$145))/1000)*$J$120</f>
        <v>49.128</v>
      </c>
      <c r="V176" s="168" t="n">
        <v>100</v>
      </c>
      <c r="W176" s="169" t="str">
        <f aca="false">IFERROR(ROUNDUP(("")/100,0),"")</f>
        <v/>
      </c>
    </row>
    <row r="177" s="96" customFormat="true" ht="18" hidden="false" customHeight="true" outlineLevel="0" collapsed="false">
      <c r="A177" s="170" t="n">
        <f aca="false">IF(B177="","",+A176+1)</f>
        <v>4</v>
      </c>
      <c r="B177" s="131" t="s">
        <v>425</v>
      </c>
      <c r="C177" s="131" t="s">
        <v>426</v>
      </c>
      <c r="D177" s="132" t="n">
        <v>9</v>
      </c>
      <c r="E177" s="130"/>
      <c r="F177" s="130" t="n">
        <v>9</v>
      </c>
      <c r="G177" s="130" t="s">
        <v>405</v>
      </c>
      <c r="H177" s="130" t="n">
        <v>8</v>
      </c>
      <c r="I177" s="133"/>
      <c r="J177" s="134" t="n">
        <f aca="false">$J$120*H177</f>
        <v>8</v>
      </c>
      <c r="N177" s="107" t="s">
        <v>422</v>
      </c>
      <c r="O177" s="62" t="s">
        <v>423</v>
      </c>
      <c r="P177" s="62" t="s">
        <v>424</v>
      </c>
      <c r="Q177" s="55" t="s">
        <v>238</v>
      </c>
      <c r="R177" s="158"/>
      <c r="S177" s="158" t="s">
        <v>238</v>
      </c>
      <c r="T177" s="158" t="s">
        <v>409</v>
      </c>
      <c r="U177" s="168" t="n">
        <f aca="false">((($I$141*$G$141)+($I$142*$G$142)+($I$143*$G$143)+($I$144*$G$144)+($I$145*$G$145))/1000)*$J$120</f>
        <v>49.128</v>
      </c>
      <c r="V177" s="168" t="n">
        <v>100</v>
      </c>
      <c r="W177" s="169" t="str">
        <f aca="false">IFERROR(ROUNDUP(("")/100,0),"")</f>
        <v/>
      </c>
    </row>
    <row r="178" s="96" customFormat="true" ht="18" hidden="false" customHeight="true" outlineLevel="0" collapsed="false">
      <c r="A178" s="170" t="n">
        <f aca="false">IF(B178="","",+A177+1)</f>
        <v>5</v>
      </c>
      <c r="B178" s="131" t="s">
        <v>430</v>
      </c>
      <c r="C178" s="131" t="s">
        <v>431</v>
      </c>
      <c r="D178" s="132" t="n">
        <v>9</v>
      </c>
      <c r="E178" s="130"/>
      <c r="F178" s="130" t="n">
        <v>9</v>
      </c>
      <c r="G178" s="130" t="s">
        <v>405</v>
      </c>
      <c r="H178" s="130" t="n">
        <v>110</v>
      </c>
      <c r="I178" s="133"/>
      <c r="J178" s="134" t="n">
        <f aca="false">$J$120*H178</f>
        <v>110</v>
      </c>
      <c r="N178" s="107" t="s">
        <v>427</v>
      </c>
      <c r="O178" s="62" t="s">
        <v>428</v>
      </c>
      <c r="P178" s="62" t="s">
        <v>429</v>
      </c>
      <c r="Q178" s="55" t="s">
        <v>240</v>
      </c>
      <c r="R178" s="158"/>
      <c r="S178" s="158" t="s">
        <v>240</v>
      </c>
      <c r="T178" s="158" t="s">
        <v>409</v>
      </c>
      <c r="U178" s="168" t="n">
        <f aca="false">((($I$141*$G$141)+($I$142*$G$142)+($I$143*$G$143)+($I$144*$G$144)+($I$145*$G$145))/1000)*$J$120</f>
        <v>49.128</v>
      </c>
      <c r="V178" s="168" t="n">
        <v>100</v>
      </c>
      <c r="W178" s="169" t="n">
        <f aca="false">ROUNDUP((U178)/100,0)</f>
        <v>1</v>
      </c>
    </row>
    <row r="179" s="96" customFormat="true" ht="18" hidden="false" customHeight="true" outlineLevel="0" collapsed="false">
      <c r="A179" s="170" t="n">
        <f aca="false">IF(B179="","",+A178+1)</f>
        <v>6</v>
      </c>
      <c r="B179" s="131" t="s">
        <v>603</v>
      </c>
      <c r="C179" s="131" t="s">
        <v>438</v>
      </c>
      <c r="D179" s="132" t="s">
        <v>4</v>
      </c>
      <c r="E179" s="130"/>
      <c r="F179" s="130" t="s">
        <v>4</v>
      </c>
      <c r="G179" s="130" t="s">
        <v>434</v>
      </c>
      <c r="H179" s="130" t="n">
        <v>2</v>
      </c>
      <c r="I179" s="133"/>
      <c r="J179" s="134" t="n">
        <f aca="false">$J$120*H179</f>
        <v>2</v>
      </c>
    </row>
    <row r="180" s="96" customFormat="true" ht="18" hidden="false" customHeight="true" outlineLevel="0" collapsed="false">
      <c r="A180" s="170" t="n">
        <f aca="false">IF(B180="","",+A179+1)</f>
        <v>7</v>
      </c>
      <c r="B180" s="131" t="s">
        <v>556</v>
      </c>
      <c r="C180" s="131" t="s">
        <v>557</v>
      </c>
      <c r="D180" s="132" t="s">
        <v>5</v>
      </c>
      <c r="E180" s="130"/>
      <c r="F180" s="130" t="s">
        <v>5</v>
      </c>
      <c r="G180" s="130" t="s">
        <v>434</v>
      </c>
      <c r="H180" s="130" t="n">
        <v>1</v>
      </c>
      <c r="I180" s="133"/>
      <c r="J180" s="134" t="n">
        <f aca="false">$J$120*H180</f>
        <v>1</v>
      </c>
    </row>
    <row r="181" s="96" customFormat="true" ht="18" hidden="false" customHeight="true" outlineLevel="0" collapsed="false">
      <c r="A181" s="170" t="n">
        <f aca="false">IF(B181="","",+A180+1)</f>
        <v>8</v>
      </c>
      <c r="B181" s="131" t="s">
        <v>512</v>
      </c>
      <c r="C181" s="131" t="s">
        <v>513</v>
      </c>
      <c r="D181" s="132" t="s">
        <v>7</v>
      </c>
      <c r="E181" s="130"/>
      <c r="F181" s="130" t="s">
        <v>7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9</v>
      </c>
      <c r="B182" s="131" t="s">
        <v>554</v>
      </c>
      <c r="C182" s="131" t="s">
        <v>555</v>
      </c>
      <c r="D182" s="132" t="s">
        <v>11</v>
      </c>
      <c r="E182" s="130"/>
      <c r="F182" s="130" t="s">
        <v>11</v>
      </c>
      <c r="G182" s="130" t="s">
        <v>434</v>
      </c>
      <c r="H182" s="130" t="n">
        <v>3</v>
      </c>
      <c r="I182" s="142"/>
      <c r="J182" s="134" t="n">
        <f aca="false">$J$120*H182</f>
        <v>3</v>
      </c>
    </row>
    <row r="183" s="96" customFormat="true" ht="18" hidden="false" customHeight="true" outlineLevel="0" collapsed="false">
      <c r="A183" s="170" t="n">
        <f aca="false">IF(B183="","",+A182+1)</f>
        <v>10</v>
      </c>
      <c r="B183" s="131" t="s">
        <v>439</v>
      </c>
      <c r="C183" s="131" t="s">
        <v>440</v>
      </c>
      <c r="D183" s="132" t="s">
        <v>12</v>
      </c>
      <c r="E183" s="130"/>
      <c r="F183" s="130" t="s">
        <v>12</v>
      </c>
      <c r="G183" s="130" t="s">
        <v>434</v>
      </c>
      <c r="H183" s="130" t="n">
        <v>3</v>
      </c>
      <c r="I183" s="142"/>
      <c r="J183" s="134" t="n">
        <f aca="false">$J$120*H183</f>
        <v>3</v>
      </c>
      <c r="Q183" s="172"/>
      <c r="R183" s="172"/>
      <c r="S183" s="172"/>
      <c r="T183" s="97"/>
      <c r="U183" s="97"/>
      <c r="V183" s="97"/>
    </row>
    <row r="184" s="96" customFormat="true" ht="18" hidden="false" customHeight="true" outlineLevel="0" collapsed="false">
      <c r="A184" s="170" t="n">
        <f aca="false">IF(B184="","",+A183+1)</f>
        <v>11</v>
      </c>
      <c r="B184" s="131" t="s">
        <v>540</v>
      </c>
      <c r="C184" s="131" t="s">
        <v>541</v>
      </c>
      <c r="D184" s="132" t="s">
        <v>542</v>
      </c>
      <c r="E184" s="130"/>
      <c r="F184" s="130" t="s">
        <v>542</v>
      </c>
      <c r="G184" s="130" t="s">
        <v>434</v>
      </c>
      <c r="H184" s="130" t="n">
        <v>1</v>
      </c>
      <c r="I184" s="133"/>
      <c r="J184" s="134" t="n">
        <f aca="false">$J$120*H184</f>
        <v>1</v>
      </c>
      <c r="N184" s="107" t="s">
        <v>289</v>
      </c>
      <c r="O184" s="165" t="s">
        <v>320</v>
      </c>
      <c r="P184" s="165" t="s">
        <v>168</v>
      </c>
      <c r="Q184" s="165" t="s">
        <v>397</v>
      </c>
      <c r="R184" s="165" t="s">
        <v>321</v>
      </c>
      <c r="S184" s="165" t="s">
        <v>398</v>
      </c>
      <c r="T184" s="165" t="s">
        <v>399</v>
      </c>
      <c r="U184" s="165" t="s">
        <v>400</v>
      </c>
      <c r="V184" s="165" t="s">
        <v>401</v>
      </c>
      <c r="W184" s="165" t="s">
        <v>402</v>
      </c>
    </row>
    <row r="185" s="96" customFormat="true" ht="18" hidden="false" customHeight="true" outlineLevel="0" collapsed="false">
      <c r="A185" s="170" t="n">
        <f aca="false">IF(B185="","",+A184+1)</f>
        <v>12</v>
      </c>
      <c r="B185" s="131" t="s">
        <v>441</v>
      </c>
      <c r="C185" s="131" t="s">
        <v>442</v>
      </c>
      <c r="D185" s="132" t="s">
        <v>274</v>
      </c>
      <c r="E185" s="130"/>
      <c r="F185" s="130" t="s">
        <v>274</v>
      </c>
      <c r="G185" s="130" t="s">
        <v>405</v>
      </c>
      <c r="H185" s="130" t="n">
        <v>6</v>
      </c>
      <c r="I185" s="133"/>
      <c r="J185" s="134" t="n">
        <f aca="false">$J$120*H185</f>
        <v>6</v>
      </c>
      <c r="N185" s="107" t="s">
        <v>445</v>
      </c>
      <c r="O185" s="62" t="s">
        <v>446</v>
      </c>
      <c r="P185" s="62" t="s">
        <v>447</v>
      </c>
      <c r="Q185" s="55" t="s">
        <v>230</v>
      </c>
      <c r="R185" s="158"/>
      <c r="S185" s="158" t="s">
        <v>230</v>
      </c>
      <c r="T185" s="158" t="s">
        <v>409</v>
      </c>
      <c r="U185" s="168" t="n">
        <f aca="false">((($I$134*$G$134)+($I$136*$G$136)+($I$139*$G$139))/1000)*$J$120</f>
        <v>12.658</v>
      </c>
      <c r="V185" s="168" t="n">
        <v>300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13</v>
      </c>
      <c r="B186" s="131" t="s">
        <v>443</v>
      </c>
      <c r="C186" s="131" t="s">
        <v>444</v>
      </c>
      <c r="D186" s="132" t="s">
        <v>272</v>
      </c>
      <c r="E186" s="130"/>
      <c r="F186" s="130" t="s">
        <v>272</v>
      </c>
      <c r="G186" s="130" t="s">
        <v>405</v>
      </c>
      <c r="H186" s="130" t="n">
        <v>1</v>
      </c>
      <c r="I186" s="133"/>
      <c r="J186" s="134" t="n">
        <f aca="false">$J$120*H186</f>
        <v>1</v>
      </c>
      <c r="N186" s="107" t="s">
        <v>448</v>
      </c>
      <c r="O186" s="62" t="s">
        <v>449</v>
      </c>
      <c r="P186" s="62" t="s">
        <v>450</v>
      </c>
      <c r="Q186" s="55" t="s">
        <v>451</v>
      </c>
      <c r="R186" s="158"/>
      <c r="S186" s="158" t="s">
        <v>451</v>
      </c>
      <c r="T186" s="158" t="s">
        <v>409</v>
      </c>
      <c r="U186" s="168" t="n">
        <f aca="false">((($I$134*$G$134)+($I$136*$G$136)+($I$139*$G$139))/1000)*$J$120</f>
        <v>12.658</v>
      </c>
      <c r="V186" s="168" t="n">
        <v>100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14</v>
      </c>
      <c r="B187" s="131" t="s">
        <v>403</v>
      </c>
      <c r="C187" s="131" t="s">
        <v>404</v>
      </c>
      <c r="D187" s="132" t="s">
        <v>276</v>
      </c>
      <c r="E187" s="130"/>
      <c r="F187" s="130" t="s">
        <v>276</v>
      </c>
      <c r="G187" s="130" t="s">
        <v>405</v>
      </c>
      <c r="H187" s="130" t="n">
        <v>3</v>
      </c>
      <c r="I187" s="133"/>
      <c r="J187" s="134" t="n">
        <f aca="false">$J$120*H187</f>
        <v>3</v>
      </c>
      <c r="N187" s="107" t="s">
        <v>445</v>
      </c>
      <c r="O187" s="62" t="s">
        <v>452</v>
      </c>
      <c r="P187" s="62" t="s">
        <v>453</v>
      </c>
      <c r="Q187" s="55" t="s">
        <v>232</v>
      </c>
      <c r="R187" s="158"/>
      <c r="S187" s="158" t="s">
        <v>232</v>
      </c>
      <c r="T187" s="158" t="s">
        <v>409</v>
      </c>
      <c r="U187" s="168" t="n">
        <f aca="false">((($I$141*$G$141*2)+($I$143*$G$143*2)+(($I$144*($G$144-1))*2))/1000)*$J$120</f>
        <v>77.208</v>
      </c>
      <c r="V187" s="168" t="n">
        <v>350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15</v>
      </c>
      <c r="B188" s="131" t="s">
        <v>580</v>
      </c>
      <c r="C188" s="131" t="s">
        <v>581</v>
      </c>
      <c r="D188" s="132" t="s">
        <v>582</v>
      </c>
      <c r="E188" s="130"/>
      <c r="F188" s="130" t="s">
        <v>582</v>
      </c>
      <c r="G188" s="130" t="s">
        <v>409</v>
      </c>
      <c r="H188" s="173" t="n">
        <f aca="false">((($I$148*$G$148)+($I$149*$G$149))/1000)*$J$120</f>
        <v>0</v>
      </c>
      <c r="I188" s="174" t="n">
        <v>100</v>
      </c>
      <c r="J188" s="175" t="n">
        <f aca="false">ROUNDUP((H188)/100,0)</f>
        <v>0</v>
      </c>
      <c r="N188" s="107" t="s">
        <v>448</v>
      </c>
      <c r="O188" s="62" t="s">
        <v>454</v>
      </c>
      <c r="P188" s="62" t="s">
        <v>455</v>
      </c>
      <c r="Q188" s="55" t="s">
        <v>456</v>
      </c>
      <c r="R188" s="158"/>
      <c r="S188" s="158" t="s">
        <v>456</v>
      </c>
      <c r="T188" s="158" t="s">
        <v>409</v>
      </c>
      <c r="U188" s="168" t="n">
        <f aca="false">((($I$141*$G$141*2)+($I$143*$G$143*2)+(($I$144*($G$144-1))*2))/1000)*$J$120</f>
        <v>77.208</v>
      </c>
      <c r="V188" s="168" t="n">
        <v>100</v>
      </c>
      <c r="W188" s="169" t="n">
        <f aca="false">ROUNDUP((U188)/V188,0)</f>
        <v>1</v>
      </c>
    </row>
    <row r="189" s="96" customFormat="true" ht="18" hidden="false" customHeight="true" outlineLevel="0" collapsed="false">
      <c r="A189" s="170" t="n">
        <f aca="false">IF(B189="","",+A188+1)</f>
        <v>16</v>
      </c>
      <c r="B189" s="131" t="s">
        <v>583</v>
      </c>
      <c r="C189" s="131" t="s">
        <v>584</v>
      </c>
      <c r="D189" s="132" t="s">
        <v>585</v>
      </c>
      <c r="E189" s="130"/>
      <c r="F189" s="130" t="s">
        <v>585</v>
      </c>
      <c r="G189" s="130" t="s">
        <v>409</v>
      </c>
      <c r="H189" s="173" t="n">
        <f aca="false">((($I$144*$G$144)+($I$145*$G$145))/1000)*$J$120</f>
        <v>11.232</v>
      </c>
      <c r="I189" s="174" t="n">
        <v>100</v>
      </c>
      <c r="J189" s="175" t="n">
        <f aca="false">ROUNDUP((H189)/100,0)</f>
        <v>1</v>
      </c>
    </row>
    <row r="190" s="96" customFormat="true" ht="18" hidden="false" customHeight="true" outlineLevel="0" collapsed="false">
      <c r="A190" s="170" t="n">
        <f aca="false">IF(B190="","",+A189+1)</f>
        <v>17</v>
      </c>
      <c r="B190" s="132" t="str">
        <f aca="false">IF($D$129="Standard",O185,IF($D$129="Soumdproof",O186,))</f>
        <v>ยางเฟรมกันน้ำ (ธรรมดา)</v>
      </c>
      <c r="C190" s="132" t="str">
        <f aca="false">IF($D$129="Standard",P185,IF($D$129="Soumdproof",P186,))</f>
        <v>FRAME SEAL (Standard)</v>
      </c>
      <c r="D190" s="132" t="str">
        <f aca="false">IF($D$129="Standard",Q185,IF($D$129="Soumdproof",Q186,))</f>
        <v>02-026</v>
      </c>
      <c r="E190" s="132" t="n">
        <f aca="false">IF($D$129="Standard",R185,IF($D$129="Soumdproof",R186,))</f>
        <v>0</v>
      </c>
      <c r="F190" s="130" t="str">
        <f aca="false">IF($D$129="Standard",S185,IF($D$129="Soumdproof",S186,))</f>
        <v>02-026</v>
      </c>
      <c r="G190" s="130" t="str">
        <f aca="false">IF($D$129="Standard",T185,IF($D$129="Soumdproof",T186,))</f>
        <v>M</v>
      </c>
      <c r="H190" s="173" t="n">
        <f aca="false">IF($D$129="Standard",U185,IF($D$129="Soumdproof",U186,))</f>
        <v>12.658</v>
      </c>
      <c r="I190" s="174" t="n">
        <f aca="false">IF($D$129="Standard",V185,IF($D$129="Soumdproof",V186,))</f>
        <v>300</v>
      </c>
      <c r="J190" s="175" t="n">
        <f aca="false">ROUNDUP((H190)/100,0)</f>
        <v>1</v>
      </c>
    </row>
    <row r="191" s="96" customFormat="true" ht="18" hidden="false" customHeight="true" outlineLevel="0" collapsed="false">
      <c r="A191" s="170" t="n">
        <f aca="false">IF(B191="","",+A190+1)</f>
        <v>18</v>
      </c>
      <c r="B191" s="132" t="str">
        <f aca="false">IF($D$129="Standard",O187,IF($D$129="Soumdproof",O188,))</f>
        <v>ยางแซชกันน้ำ (ธรรมดา)</v>
      </c>
      <c r="C191" s="132" t="str">
        <f aca="false">IF($D$129="Standard",P187,IF($D$129="Soumdproof",P188,))</f>
        <v>SASH SEAL FOAM (Standard)</v>
      </c>
      <c r="D191" s="132" t="str">
        <f aca="false">IF($D$129="Standard",Q187,IF($D$129="Soumdproof",Q188,))</f>
        <v>02-031</v>
      </c>
      <c r="E191" s="132" t="n">
        <f aca="false">IF($D$129="Standard",R187,IF($D$129="Soumdproof",R188,))</f>
        <v>0</v>
      </c>
      <c r="F191" s="130" t="str">
        <f aca="false">IF($D$129="Standard",S187,IF($D$129="Soumdproof",S188,))</f>
        <v>02-031</v>
      </c>
      <c r="G191" s="130" t="str">
        <f aca="false">IF($D$129="Standard",T187,IF($D$129="Soumdproof",T188,))</f>
        <v>M</v>
      </c>
      <c r="H191" s="173" t="n">
        <f aca="false">IF($D$129="Standard",U187,IF($D$129="Soumdproof",U188,))</f>
        <v>77.208</v>
      </c>
      <c r="I191" s="174" t="n">
        <f aca="false">IF($D$129="Standard",V187,IF($D$129="Soumdproof",V188,))</f>
        <v>350</v>
      </c>
      <c r="J191" s="175" t="n">
        <f aca="false">ROUNDUP((H191)/100,0)</f>
        <v>1</v>
      </c>
    </row>
    <row r="192" s="96" customFormat="true" ht="18" hidden="false" customHeight="true" outlineLevel="0" collapsed="false">
      <c r="A192" s="170" t="n">
        <f aca="false">IF(B192="","",+A191+1)</f>
        <v>19</v>
      </c>
      <c r="B192" s="176" t="str">
        <f aca="false">IF($D$127=5,$O$176,IF($D$127=6,$O$177,IF($D$127=8,$O$178,IF($D$127=10,$O$176,IF($D$127=12,$O$176,IF($D$127=14,$O$178,IF($D$127=18,$O$176,IF($D$127=20,$O$177,IF($D$127=22,"")))))))))</f>
        <v>8,14 mm ยางอัดกระจก</v>
      </c>
      <c r="C192" s="176" t="str">
        <f aca="false">IF($D$127=5,$P$176,IF($D$127=6,$P$177,IF($D$127=8,$P$178,IF($D$127=10,$P$176,IF($D$127=12,$P$176,IF($D$127=14,$P$178,IF($D$127=18,$P$176,IF($D$127=20,$P$177,IF($D$127=22,"")))))))))</f>
        <v>8,14 mm ROLL IN WEDGE</v>
      </c>
      <c r="D192" s="176" t="str">
        <f aca="false">IF($D$127=5,$Q$176,IF($D$127=6,$Q$177,IF($D$127=8,$Q$178,IF($D$127=10,$Q$176,IF($D$127=12,$Q$176,IF($D$127=14,$Q$178,IF($D$127=18,$Q$176,IF($D$127=20,$Q$177,IF($D$127=22,"")))))))))</f>
        <v>02-045</v>
      </c>
      <c r="E192" s="176" t="n">
        <f aca="false">IF($D$129=5,R181,IF($D$129=6,R182,IF($D$129=8,R183,IF($D$129=10,R181,IF($D$129=12,R181,IF($D$129=14,R183,IF($D$129=18,R181,IF($D$129=20,R182,IF($D$129=22,"",)))))))))</f>
        <v>0</v>
      </c>
      <c r="F192" s="167" t="str">
        <f aca="false">IF($D$127=5,$S$176,IF($D$127=6,$S$177,IF($D$127=8,$S$178,IF($D$127=10,$S$176,IF($D$127=12,$S$176,IF($D$127=14,$S$178,IF($D$127=18,$S$176,IF($D$127=20,$S$177,IF($D$127=22,"")))))))))</f>
        <v>02-045</v>
      </c>
      <c r="G192" s="167" t="str">
        <f aca="false">IF($D$127=5,$T$176,IF($D$127=6,$T$177,IF($D$127=8,$T$178,IF($D$127=10,$T$176,IF($D$127=12,$T$176,IF($D$127=14,$T$178,IF($D$127=18,$T$176,IF($D$127=20,$T$177,IF($D$127=22,"")))))))))</f>
        <v>M</v>
      </c>
      <c r="H192" s="173" t="n">
        <f aca="false">IF($D$127=5,$U$176,IF($D$127=6,$U$177,IF($D$127=8,$U$178,IF($D$127=10,$U$176*2,IF($D$127=12,$U$176,IF($D$127=14,$U$178*2,IF($D$127=18,$U$176,IF($D$127=20,$U$177,IF($D$127=22,"")))))))))</f>
        <v>49.128</v>
      </c>
      <c r="I192" s="174" t="n">
        <f aca="false">IF($D$127=5,$V$176,IF($D$127=6,$V$177,IF($D$127=8,$V$178,IF($D$127=10,$V$176,IF($D$127=12,$V$176,IF($D$127=14,$V$178,IF($D$127=18,$V$176,IF($D$127=20,$V$177,IF($D$127=22,"")))))))))</f>
        <v>100</v>
      </c>
      <c r="J192" s="177" t="n">
        <f aca="false">ROUNDUP((H192)/100,0)</f>
        <v>1</v>
      </c>
    </row>
    <row r="193" s="96" customFormat="true" ht="18" hidden="false" customHeight="true" outlineLevel="0" collapsed="false">
      <c r="A193" s="170" t="n">
        <f aca="false">IF(B193="","",+A192+1)</f>
        <v>20</v>
      </c>
      <c r="B193" s="176" t="str">
        <f aca="false">IF($D$127=5,$O$174,IF($D$127=6,$O$174,IF($D$127=8,$O$176,IF($D$127=10,"",IF($D$127=12,$O$175,IF($D$127=14,"",IF($D$127=18,$O$174,IF($D$127=20,$O$175,IF($D$127=22,"",)))))))))</f>
        <v>5,8,10,12,18 mmยางอัดกระจก</v>
      </c>
      <c r="C193" s="176" t="str">
        <f aca="false">IF($D$127=5,$P$174,IF($D$127=6,$P$174,IF($D$127=8,$P$176,IF($D$127=10,"",IF($D$127=12,$P$175,IF($D$127=14,"",IF($D$127=18,$P$174,IF($D$127=20,$P$175,IF($D$127=22,"",)))))))))</f>
        <v>5,8,10,12,18 mm ROLL IN WEDGE</v>
      </c>
      <c r="D193" s="176" t="str">
        <f aca="false">IF($D$127=5,$Q$174,IF($D$127=6,$Q$174,IF($D$127=8,$Q$176,IF($D$127=10,"",IF($D$127=12,$Q$175,IF($D$127=14,"",IF($D$127=18,$Q$174,IF($D$127=20,$Q$175,IF($D$127=22,"",)))))))))</f>
        <v>02-033</v>
      </c>
      <c r="E193" s="176" t="n">
        <f aca="false">IF($D$129=5,R179,IF($D$129=6,R179,IF($D$129=8,R181,IF($D$129=10,"",IF($D$129=12,R180,IF($D$129=14,"",IF($D$129=18,R179,IF($D$129=20,R180,IF($D$129=22,"",)))))))))</f>
        <v>0</v>
      </c>
      <c r="F193" s="167" t="str">
        <f aca="false">IF($D$127=5,$S$174,IF($D$127=6,$S$174,IF($D$127=8,$S$176,IF($D$127=10,"",IF($D$127=12,$S$175,IF($D$127=14,"",IF($D$127=18,$S$174,IF($D$127=20,$S$175,IF($D$127=22,"",)))))))))</f>
        <v>02-033</v>
      </c>
      <c r="G193" s="167" t="str">
        <f aca="false">IF($D$127=5,$T$174,IF($D$127=6,$T$174,IF($D$127=8,$T$176,IF($D$127=10,"",IF($D$127=12,$T$175,IF($D$127=14,"",IF($D$127=18,$T$174,IF($D$127=20,$T$175,IF($D$127=22,"",)))))))))</f>
        <v>M</v>
      </c>
      <c r="H193" s="173" t="n">
        <f aca="false">IF($D$127=5,$U$174,IF($D$127=6,$U$174,IF($D$127=8,$U$176,IF($D$127=10,"",IF($D$127=12,$U$175,IF($D$127=14,"",IF($D$127=18,$U$174,IF($D$127=20,$U$175,IF($D$127=22,"")))))))))</f>
        <v>49.128</v>
      </c>
      <c r="I193" s="174" t="n">
        <f aca="false">IF($D$127=5,$V$174,IF($D$127=6,$V$174,IF($D$127=8,$V$176,IF($D$127=10,"",IF($D$127=12,$V$175,IF($D$127=14,"",IF($D$127=18,$V$174,IF($D$127=20,$V$175,IF($D$127=22,"",)))))))))</f>
        <v>100</v>
      </c>
      <c r="J193" s="177" t="n">
        <f aca="false">ROUNDUP((H193)/100,0)</f>
        <v>1</v>
      </c>
    </row>
    <row r="194" customFormat="false" ht="18" hidden="false" customHeight="true" outlineLevel="0" collapsed="false">
      <c r="A194" s="170" t="str">
        <f aca="false">IF(B194="","",+A193+1)</f>
        <v/>
      </c>
      <c r="B194" s="131"/>
      <c r="C194" s="131"/>
      <c r="D194" s="132"/>
      <c r="E194" s="130"/>
      <c r="F194" s="130"/>
      <c r="G194" s="130"/>
      <c r="H194" s="130"/>
      <c r="I194" s="133"/>
      <c r="J194" s="134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</row>
    <row r="195" s="96" customFormat="true" ht="18" hidden="false" customHeight="true" outlineLevel="0" collapsed="false">
      <c r="A195" s="170" t="str">
        <f aca="false">IF(B195="","",+A194+1)</f>
        <v/>
      </c>
      <c r="B195" s="131"/>
      <c r="C195" s="131"/>
      <c r="D195" s="132"/>
      <c r="E195" s="130"/>
      <c r="F195" s="130"/>
      <c r="G195" s="130"/>
      <c r="H195" s="130"/>
      <c r="I195" s="133"/>
      <c r="J195" s="134" t="n">
        <f aca="false">$J$120*H195</f>
        <v>0</v>
      </c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30"/>
      <c r="I196" s="133"/>
      <c r="J196" s="134" t="n">
        <f aca="false">$J$120*H196</f>
        <v>0</v>
      </c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$J$120*H197</f>
        <v>0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$J$120*H198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$J$120*H204</f>
        <v>0</v>
      </c>
    </row>
    <row r="205" s="96" customFormat="true" ht="18" hidden="false" customHeight="true" outlineLevel="0" collapsed="false">
      <c r="A205" s="179" t="str">
        <f aca="false">IF(B205="","",+""+1)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$J$120*H205</f>
        <v>0</v>
      </c>
    </row>
    <row r="206" s="96" customFormat="true" ht="18" hidden="false" customHeight="true" outlineLevel="0" collapsed="false">
      <c r="A206" s="200"/>
      <c r="B206" s="98"/>
      <c r="D206" s="98"/>
      <c r="E206" s="97"/>
      <c r="F206" s="98"/>
      <c r="G206" s="98"/>
      <c r="H206" s="98"/>
      <c r="I206" s="196"/>
      <c r="J206" s="196"/>
    </row>
    <row r="207" customFormat="false" ht="18" hidden="false" customHeight="true" outlineLevel="0" collapsed="false">
      <c r="A207" s="97"/>
      <c r="J207" s="92" t="str">
        <f aca="false">LEFT($J$111,11)&amp;"-02"</f>
        <v>FG-240-7P7R-02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516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4940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517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4914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519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4940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190"/>
      <c r="H252" s="97"/>
      <c r="I252" s="196"/>
      <c r="J252" s="196"/>
    </row>
    <row r="253" s="96" customFormat="true" ht="15.75" hidden="false" customHeight="true" outlineLevel="0" collapsed="false">
      <c r="A253" s="97"/>
      <c r="D253" s="98"/>
      <c r="E253" s="97"/>
      <c r="F253" s="97"/>
      <c r="G253" s="97"/>
      <c r="H253" s="97"/>
      <c r="I253" s="196"/>
      <c r="J253" s="196"/>
    </row>
    <row r="254" s="96" customFormat="true" ht="15.75" hidden="false" customHeight="true" outlineLevel="0" collapsed="false">
      <c r="A254" s="191"/>
      <c r="B254" s="191"/>
      <c r="D254" s="192"/>
      <c r="E254" s="191"/>
      <c r="F254" s="191"/>
      <c r="G254" s="97"/>
      <c r="H254" s="97"/>
      <c r="I254" s="196"/>
      <c r="J254" s="196"/>
    </row>
    <row r="255" s="96" customFormat="true" ht="15.75" hidden="false" customHeight="true" outlineLevel="0" collapsed="false">
      <c r="A255" s="190"/>
      <c r="B255" s="190"/>
      <c r="C255" s="184" t="s">
        <v>520</v>
      </c>
      <c r="D255" s="194"/>
      <c r="E255" s="190"/>
      <c r="F255" s="189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459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1" t="s">
        <v>460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5" t="n">
        <f aca="false">$I$136</f>
        <v>4940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C259" s="187" t="n">
        <f aca="false">$J$136</f>
        <v>1</v>
      </c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C263" s="98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D264" s="98"/>
      <c r="E264" s="97"/>
      <c r="F264" s="97"/>
      <c r="G264" s="97"/>
      <c r="I264" s="196"/>
      <c r="J264" s="196"/>
    </row>
    <row r="265" s="96" customFormat="true" ht="15.75" hidden="false" customHeight="true" outlineLevel="0" collapsed="false">
      <c r="A265" s="200"/>
      <c r="C265" s="184" t="s">
        <v>586</v>
      </c>
      <c r="D265" s="98"/>
      <c r="E265" s="97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522</v>
      </c>
      <c r="D266" s="181"/>
      <c r="E266" s="181"/>
      <c r="F266" s="97"/>
      <c r="G266" s="97"/>
      <c r="H266" s="97"/>
      <c r="I266" s="196"/>
      <c r="J266" s="196"/>
    </row>
    <row r="267" s="96" customFormat="true" ht="15.75" hidden="false" customHeight="true" outlineLevel="0" collapsed="false">
      <c r="A267" s="200"/>
      <c r="C267" s="181" t="s">
        <v>468</v>
      </c>
      <c r="D267" s="181"/>
      <c r="E267" s="181"/>
      <c r="F267" s="97"/>
      <c r="G267" s="97"/>
      <c r="H267" s="97"/>
      <c r="J267" s="97"/>
    </row>
    <row r="268" s="96" customFormat="true" ht="15.75" hidden="false" customHeight="true" outlineLevel="0" collapsed="false">
      <c r="A268" s="200"/>
      <c r="C268" s="185" t="n">
        <f aca="false">$I$137</f>
        <v>2900</v>
      </c>
      <c r="D268" s="98"/>
      <c r="E268" s="97"/>
      <c r="F268" s="97"/>
      <c r="J268" s="97"/>
    </row>
    <row r="269" s="96" customFormat="true" ht="15.75" hidden="false" customHeight="true" outlineLevel="0" collapsed="false">
      <c r="A269" s="200"/>
      <c r="C269" s="187" t="n">
        <f aca="false">$J$137+$J$138</f>
        <v>2</v>
      </c>
      <c r="D269" s="98"/>
      <c r="E269" s="97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4"/>
      <c r="E271" s="184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H272" s="97"/>
      <c r="J272" s="97"/>
    </row>
    <row r="273" s="96" customFormat="true" ht="15.75" hidden="false" customHeight="true" outlineLevel="0" collapsed="false">
      <c r="A273" s="200"/>
      <c r="D273" s="181"/>
      <c r="E273" s="181"/>
      <c r="F273" s="97"/>
      <c r="G273" s="97"/>
      <c r="H273" s="97"/>
      <c r="J273" s="97"/>
    </row>
    <row r="274" s="96" customFormat="true" ht="15.75" hidden="false" customHeight="true" outlineLevel="0" collapsed="false">
      <c r="A274" s="200"/>
      <c r="D274" s="181"/>
      <c r="E274" s="181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D275" s="98"/>
      <c r="E275" s="97"/>
      <c r="F275" s="97"/>
      <c r="G275" s="97"/>
      <c r="I275" s="196"/>
      <c r="J275" s="196"/>
    </row>
    <row r="276" s="96" customFormat="true" ht="15.75" hidden="false" customHeight="true" outlineLevel="0" collapsed="false">
      <c r="A276" s="200"/>
      <c r="C276" s="184" t="s">
        <v>523</v>
      </c>
      <c r="D276" s="201"/>
      <c r="E276" s="196"/>
      <c r="F276" s="97"/>
      <c r="G276" s="97"/>
      <c r="I276" s="196"/>
      <c r="J276" s="196"/>
    </row>
    <row r="277" s="96" customFormat="true" ht="15.75" hidden="false" customHeight="true" outlineLevel="0" collapsed="false">
      <c r="A277" s="200"/>
      <c r="C277" s="181" t="s">
        <v>470</v>
      </c>
      <c r="D277" s="181"/>
      <c r="E277" s="181"/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1" t="s">
        <v>471</v>
      </c>
      <c r="D278" s="181"/>
      <c r="E278" s="181"/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C279" s="185" t="n">
        <f aca="false">$I$139</f>
        <v>2804</v>
      </c>
      <c r="F279" s="97"/>
      <c r="G279" s="97"/>
      <c r="I279" s="97"/>
      <c r="J279" s="196"/>
    </row>
    <row r="280" s="96" customFormat="true" ht="15.75" hidden="false" customHeight="true" outlineLevel="0" collapsed="false">
      <c r="A280" s="200"/>
      <c r="C280" s="187" t="n">
        <f aca="false">$J$139+$J$140</f>
        <v>2</v>
      </c>
      <c r="F280" s="97"/>
      <c r="G280" s="97"/>
      <c r="I280" s="97"/>
      <c r="J280" s="196"/>
    </row>
    <row r="281" s="96" customFormat="true" ht="15.75" hidden="false" customHeight="true" outlineLevel="0" collapsed="false">
      <c r="A281" s="200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D282" s="98"/>
      <c r="E282" s="97"/>
      <c r="F282" s="97"/>
      <c r="G282" s="97"/>
      <c r="H282" s="97"/>
      <c r="J282" s="97"/>
    </row>
    <row r="283" s="96" customFormat="true" ht="15.75" hidden="false" customHeight="true" outlineLevel="0" collapsed="false">
      <c r="A283" s="200"/>
      <c r="F283" s="97"/>
      <c r="G283" s="97"/>
      <c r="H283" s="97"/>
      <c r="J283" s="97"/>
    </row>
    <row r="284" s="96" customFormat="true" ht="15.75" hidden="false" customHeight="true" outlineLevel="0" collapsed="false">
      <c r="A284" s="200"/>
      <c r="F284" s="97"/>
      <c r="G284" s="97"/>
      <c r="H284" s="97"/>
      <c r="I284" s="201"/>
      <c r="J284" s="196"/>
    </row>
    <row r="285" s="96" customFormat="true" ht="15.75" hidden="false" customHeight="true" outlineLevel="0" collapsed="false">
      <c r="A285" s="200"/>
      <c r="C285" s="184" t="s">
        <v>524</v>
      </c>
      <c r="F285" s="97"/>
      <c r="G285" s="97"/>
      <c r="H285" s="97"/>
      <c r="I285" s="97"/>
      <c r="J285" s="196"/>
    </row>
    <row r="286" s="96" customFormat="true" ht="15.75" hidden="false" customHeight="true" outlineLevel="0" collapsed="false">
      <c r="A286" s="200"/>
      <c r="C286" s="83" t="s">
        <v>711</v>
      </c>
      <c r="D286" s="98"/>
      <c r="E286" s="97"/>
      <c r="F286" s="97"/>
      <c r="G286" s="97"/>
      <c r="H286" s="97"/>
      <c r="I286" s="196"/>
      <c r="J286" s="196"/>
    </row>
    <row r="287" s="96" customFormat="true" ht="15.75" hidden="false" customHeight="true" outlineLevel="0" collapsed="false">
      <c r="A287" s="200"/>
      <c r="C287" s="181" t="s">
        <v>712</v>
      </c>
      <c r="D287" s="98"/>
      <c r="E287" s="97"/>
      <c r="F287" s="97"/>
      <c r="G287" s="97"/>
      <c r="H287" s="97"/>
      <c r="I287" s="196"/>
      <c r="J287" s="196"/>
    </row>
    <row r="288" s="96" customFormat="true" ht="15.75" hidden="false" customHeight="true" outlineLevel="0" collapsed="false">
      <c r="A288" s="200"/>
      <c r="C288" s="181" t="s">
        <v>475</v>
      </c>
      <c r="D288" s="181"/>
      <c r="E288" s="181"/>
      <c r="F288" s="97"/>
      <c r="G288" s="97"/>
      <c r="I288" s="196"/>
      <c r="J288" s="196"/>
    </row>
    <row r="289" s="202" customFormat="true" ht="15.75" hidden="false" customHeight="true" outlineLevel="0" collapsed="false">
      <c r="A289" s="200"/>
      <c r="B289" s="96"/>
      <c r="C289" s="181" t="s">
        <v>476</v>
      </c>
      <c r="D289" s="181"/>
      <c r="E289" s="181"/>
      <c r="F289" s="97"/>
      <c r="G289" s="97"/>
      <c r="H289" s="96"/>
      <c r="I289" s="97"/>
      <c r="J289" s="97"/>
    </row>
    <row r="290" s="96" customFormat="true" ht="15.75" hidden="false" customHeight="true" outlineLevel="0" collapsed="false">
      <c r="A290" s="200"/>
      <c r="C290" s="185" t="n">
        <f aca="false">$I$141</f>
        <v>701.142857142857</v>
      </c>
      <c r="F290" s="97"/>
      <c r="G290" s="97"/>
      <c r="I290" s="191"/>
      <c r="J290" s="199"/>
    </row>
    <row r="291" s="96" customFormat="true" ht="15.75" hidden="false" customHeight="true" outlineLevel="0" collapsed="false">
      <c r="A291" s="200"/>
      <c r="C291" s="187" t="n">
        <f aca="false">$J$141+$J$142</f>
        <v>14</v>
      </c>
      <c r="D291" s="98"/>
      <c r="E291" s="97"/>
      <c r="F291" s="97"/>
      <c r="G291" s="97"/>
      <c r="H291" s="98"/>
      <c r="I291" s="189"/>
      <c r="J291" s="190"/>
    </row>
    <row r="292" s="96" customFormat="true" ht="15.75" hidden="false" customHeight="true" outlineLevel="0" collapsed="false">
      <c r="A292" s="200"/>
      <c r="C292" s="185" t="n">
        <f aca="false">$I$143</f>
        <v>2808</v>
      </c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C293" s="187" t="n">
        <f aca="false">$J$143+$J$144+$J$145</f>
        <v>14</v>
      </c>
      <c r="D293" s="98"/>
      <c r="E293" s="97"/>
      <c r="F293" s="97"/>
      <c r="G293" s="97"/>
      <c r="H293" s="97"/>
      <c r="I293" s="196"/>
      <c r="J293" s="196"/>
    </row>
    <row r="294" s="96" customFormat="true" ht="15.75" hidden="false" customHeight="true" outlineLevel="0" collapsed="false">
      <c r="A294" s="200"/>
      <c r="D294" s="98"/>
      <c r="E294" s="97"/>
      <c r="F294" s="97"/>
      <c r="G294" s="97"/>
      <c r="H294" s="97"/>
      <c r="I294" s="196"/>
      <c r="J294" s="196"/>
    </row>
    <row r="295" s="96" customFormat="true" ht="15.75" hidden="false" customHeight="true" outlineLevel="0" collapsed="false">
      <c r="A295" s="200"/>
      <c r="D295" s="98"/>
      <c r="E295" s="97"/>
      <c r="F295" s="97"/>
      <c r="G295" s="97"/>
      <c r="H295" s="97"/>
      <c r="I295" s="97"/>
      <c r="J295" s="196"/>
    </row>
    <row r="296" s="96" customFormat="true" ht="15.75" hidden="false" customHeight="true" outlineLevel="0" collapsed="false">
      <c r="A296" s="200"/>
      <c r="C296" s="202"/>
      <c r="D296" s="98"/>
      <c r="E296" s="97"/>
      <c r="F296" s="97"/>
      <c r="G296" s="97"/>
      <c r="H296" s="97"/>
      <c r="I296" s="97"/>
      <c r="J296" s="196"/>
    </row>
    <row r="297" s="96" customFormat="true" ht="15.75" hidden="false" customHeight="true" outlineLevel="0" collapsed="false">
      <c r="A297" s="200"/>
      <c r="C297" s="184" t="s">
        <v>525</v>
      </c>
      <c r="D297" s="98"/>
      <c r="E297" s="97"/>
      <c r="F297" s="97"/>
      <c r="G297" s="97"/>
      <c r="H297" s="97"/>
      <c r="I297" s="97"/>
      <c r="J297" s="196"/>
    </row>
    <row r="298" s="96" customFormat="true" ht="15.75" hidden="false" customHeight="true" outlineLevel="0" collapsed="false">
      <c r="A298" s="200"/>
      <c r="C298" s="83" t="s">
        <v>711</v>
      </c>
      <c r="D298" s="98"/>
      <c r="E298" s="97"/>
      <c r="F298" s="97"/>
      <c r="G298" s="191"/>
      <c r="H298" s="191"/>
      <c r="I298" s="97"/>
      <c r="J298" s="196"/>
    </row>
    <row r="299" s="96" customFormat="true" ht="15.75" hidden="false" customHeight="true" outlineLevel="0" collapsed="false">
      <c r="A299" s="200"/>
      <c r="C299" s="181" t="s">
        <v>712</v>
      </c>
      <c r="D299" s="181"/>
      <c r="E299" s="181"/>
      <c r="F299" s="97"/>
      <c r="G299" s="190"/>
      <c r="H299" s="189"/>
      <c r="I299" s="97"/>
      <c r="J299" s="196"/>
    </row>
    <row r="300" s="96" customFormat="true" ht="15.75" hidden="false" customHeight="true" outlineLevel="0" collapsed="false">
      <c r="A300" s="107"/>
      <c r="C300" s="181" t="s">
        <v>478</v>
      </c>
      <c r="D300" s="181"/>
      <c r="E300" s="181"/>
      <c r="F300" s="97"/>
      <c r="G300" s="97"/>
      <c r="H300" s="97"/>
      <c r="I300" s="97"/>
      <c r="J300" s="196"/>
    </row>
    <row r="301" s="96" customFormat="true" ht="15.75" hidden="false" customHeight="true" outlineLevel="0" collapsed="false">
      <c r="A301" s="191"/>
      <c r="B301" s="191"/>
      <c r="C301" s="181" t="s">
        <v>479</v>
      </c>
      <c r="D301" s="203"/>
      <c r="E301" s="204"/>
      <c r="F301" s="191"/>
      <c r="G301" s="97"/>
      <c r="H301" s="97"/>
      <c r="I301" s="97"/>
      <c r="J301" s="196"/>
    </row>
    <row r="302" s="96" customFormat="true" ht="15.75" hidden="false" customHeight="true" outlineLevel="0" collapsed="false">
      <c r="A302" s="190"/>
      <c r="B302" s="190"/>
      <c r="C302" s="185" t="n">
        <f aca="false">$I$146</f>
        <v>590.785714285714</v>
      </c>
      <c r="D302" s="205"/>
      <c r="E302" s="206"/>
      <c r="F302" s="189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7" t="n">
        <f aca="false">$J$146</f>
        <v>14</v>
      </c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C304" s="185" t="n">
        <f aca="false">$I$147</f>
        <v>2658</v>
      </c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C305" s="187" t="n">
        <f aca="false">$J$147</f>
        <v>14</v>
      </c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D306" s="98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4"/>
      <c r="D307" s="98"/>
      <c r="E307" s="97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181"/>
      <c r="D308" s="181"/>
      <c r="E308" s="181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249"/>
      <c r="D309" s="249"/>
      <c r="E309" s="249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5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C311" s="187"/>
      <c r="D311" s="181"/>
      <c r="E311" s="181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LEFT($J$111,11)&amp;"-03"</f>
        <v>FG-240-7P7R-03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A316" s="97"/>
      <c r="B316" s="49"/>
      <c r="C316" s="49"/>
      <c r="D316" s="207"/>
      <c r="E316" s="200"/>
      <c r="F316" s="200"/>
      <c r="G316" s="200"/>
      <c r="H316" s="200"/>
      <c r="I316" s="208"/>
      <c r="J316" s="77" t="str">
        <f aca="false">$J$2</f>
        <v>HOMELIFE</v>
      </c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240-7 Panel (7R)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195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91"/>
      <c r="D405" s="98"/>
      <c r="E405" s="97"/>
      <c r="F405" s="97"/>
      <c r="G405" s="97"/>
      <c r="H405" s="97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LEFT($J$111,11)&amp;"-04"</f>
        <v>FG-240-7P7R-04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77" t="str">
        <f aca="false">$J$2</f>
        <v>HOMELIFE</v>
      </c>
      <c r="K423" s="78"/>
      <c r="L423" s="78"/>
      <c r="M423" s="79"/>
      <c r="N423" s="79"/>
    </row>
    <row r="424" customFormat="false" ht="24.75" hidden="false" customHeight="true" outlineLevel="0" collapsed="false">
      <c r="A424" s="97"/>
      <c r="B424" s="96"/>
      <c r="C424" s="96"/>
      <c r="D424" s="98"/>
      <c r="E424" s="97"/>
      <c r="F424" s="97"/>
      <c r="G424" s="97"/>
      <c r="H424" s="97"/>
      <c r="I424" s="97"/>
      <c r="J424" s="80" t="str">
        <f aca="false">$J$3</f>
        <v>Fabricators Guide</v>
      </c>
      <c r="K424" s="78"/>
      <c r="L424" s="78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$J$4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240-7 Panel (7R)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191"/>
      <c r="C442" s="212"/>
      <c r="D442" s="98"/>
      <c r="E442" s="97"/>
      <c r="F442" s="97"/>
      <c r="H442" s="191"/>
      <c r="I442" s="191"/>
      <c r="J442" s="199"/>
    </row>
    <row r="443" s="96" customFormat="true" ht="15.75" hidden="false" customHeight="true" outlineLevel="0" collapsed="false">
      <c r="A443" s="190"/>
      <c r="C443" s="191"/>
      <c r="D443" s="192"/>
      <c r="E443" s="191"/>
      <c r="F443" s="191"/>
      <c r="H443" s="191"/>
      <c r="I443" s="191"/>
      <c r="J443" s="199"/>
    </row>
    <row r="444" s="96" customFormat="true" ht="34.5" hidden="false" customHeight="true" outlineLevel="0" collapsed="false">
      <c r="A444" s="97"/>
      <c r="C444" s="98"/>
      <c r="D444" s="194"/>
      <c r="E444" s="190"/>
      <c r="F444" s="189"/>
      <c r="H444" s="191"/>
      <c r="I444" s="196"/>
      <c r="J444" s="196"/>
    </row>
    <row r="445" customFormat="false" ht="15" hidden="false" customHeight="true" outlineLevel="0" collapsed="false">
      <c r="B445" s="211"/>
      <c r="C445" s="98"/>
      <c r="D445" s="98"/>
      <c r="E445" s="97"/>
      <c r="F445" s="98"/>
      <c r="G445" s="97"/>
      <c r="H445" s="97"/>
    </row>
    <row r="450" s="96" customFormat="true" ht="15.75" hidden="false" customHeight="true" outlineLevel="0" collapsed="false">
      <c r="A450" s="97"/>
      <c r="D450" s="73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191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97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196"/>
      <c r="J457" s="196"/>
    </row>
    <row r="458" s="96" customFormat="true" ht="15.7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195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202" customFormat="true" ht="15.75" hidden="false" customHeight="true" outlineLevel="0" collapsed="false">
      <c r="A477" s="97"/>
      <c r="B477" s="96"/>
      <c r="C477" s="96"/>
      <c r="D477" s="98"/>
      <c r="E477" s="97"/>
      <c r="F477" s="97"/>
      <c r="G477" s="97"/>
      <c r="H477" s="97"/>
      <c r="I477" s="97"/>
      <c r="J477" s="97"/>
    </row>
    <row r="478" s="96" customFormat="true" ht="15.75" hidden="false" customHeight="true" outlineLevel="0" collapsed="false">
      <c r="A478" s="191"/>
      <c r="D478" s="98"/>
      <c r="E478" s="97"/>
      <c r="F478" s="97"/>
      <c r="G478" s="97"/>
      <c r="H478" s="97"/>
      <c r="I478" s="191"/>
      <c r="J478" s="199"/>
    </row>
    <row r="479" s="96" customFormat="true" ht="15.75" hidden="false" customHeight="true" outlineLevel="0" collapsed="false">
      <c r="A479" s="190"/>
      <c r="B479" s="191"/>
      <c r="C479" s="191"/>
      <c r="D479" s="192"/>
      <c r="E479" s="191"/>
      <c r="F479" s="191"/>
      <c r="G479" s="191"/>
      <c r="H479" s="191"/>
      <c r="I479" s="189"/>
      <c r="J479" s="190"/>
    </row>
    <row r="480" s="96" customFormat="true" ht="15.75" hidden="false" customHeight="true" outlineLevel="0" collapsed="false">
      <c r="A480" s="200"/>
      <c r="B480" s="190"/>
      <c r="C480" s="191"/>
      <c r="D480" s="194"/>
      <c r="E480" s="190"/>
      <c r="F480" s="189"/>
      <c r="G480" s="190"/>
      <c r="H480" s="189"/>
      <c r="I480" s="196"/>
      <c r="J480" s="196"/>
    </row>
    <row r="481" s="96" customFormat="true" ht="15.75" hidden="false" customHeight="true" outlineLevel="0" collapsed="false">
      <c r="A481" s="200"/>
      <c r="C481" s="182"/>
      <c r="D481" s="98"/>
      <c r="E481" s="97"/>
      <c r="F481" s="97"/>
      <c r="G481" s="97"/>
      <c r="H481" s="182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C487" s="98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182"/>
      <c r="J499" s="97"/>
    </row>
    <row r="500" s="96" customFormat="true" ht="15.75" hidden="false" customHeight="true" outlineLevel="0" collapsed="false">
      <c r="A500" s="200"/>
      <c r="C500" s="188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I501" s="196"/>
      <c r="J501" s="196"/>
    </row>
    <row r="502" s="96" customFormat="true" ht="15.75" hidden="false" customHeight="true" outlineLevel="0" collapsed="false">
      <c r="A502" s="200"/>
      <c r="C502" s="98"/>
      <c r="D502" s="98"/>
      <c r="E502" s="97"/>
      <c r="F502" s="97"/>
      <c r="G502" s="97"/>
      <c r="H502" s="182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212"/>
      <c r="J513" s="195"/>
    </row>
    <row r="514" s="96" customFormat="true" ht="15.75" hidden="false" customHeight="true" outlineLevel="0" collapsed="false">
      <c r="A514" s="200"/>
      <c r="D514" s="98"/>
      <c r="E514" s="97"/>
      <c r="F514" s="97"/>
      <c r="G514" s="97"/>
      <c r="H514" s="238"/>
      <c r="J514" s="97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B516" s="191"/>
      <c r="C516" s="191"/>
      <c r="D516" s="192"/>
      <c r="E516" s="191"/>
      <c r="F516" s="191"/>
      <c r="G516" s="191"/>
      <c r="H516" s="191"/>
    </row>
    <row r="517" s="96" customFormat="true" ht="15.75" hidden="false" customHeight="true" outlineLevel="0" collapsed="false"/>
    <row r="518" s="96" customFormat="true" ht="24.75" hidden="false" customHeight="true" outlineLevel="0" collapsed="false">
      <c r="A518" s="88" t="s">
        <v>482</v>
      </c>
      <c r="B518" s="88"/>
      <c r="C518" s="88"/>
      <c r="D518" s="88"/>
      <c r="E518" s="88"/>
      <c r="F518" s="88"/>
      <c r="G518" s="88"/>
      <c r="H518" s="88"/>
      <c r="I518" s="88"/>
      <c r="J518" s="88"/>
    </row>
    <row r="519" s="96" customFormat="true" ht="34.5" hidden="false" customHeight="true" outlineLevel="0" collapsed="false">
      <c r="A519" s="114" t="s">
        <v>319</v>
      </c>
      <c r="B519" s="115" t="s">
        <v>168</v>
      </c>
      <c r="C519" s="115" t="s">
        <v>168</v>
      </c>
      <c r="D519" s="116" t="s">
        <v>483</v>
      </c>
      <c r="E519" s="115" t="s">
        <v>321</v>
      </c>
      <c r="F519" s="239" t="s">
        <v>484</v>
      </c>
      <c r="G519" s="240"/>
      <c r="H519" s="116" t="s">
        <v>484</v>
      </c>
      <c r="I519" s="116" t="s">
        <v>485</v>
      </c>
      <c r="J519" s="117" t="s">
        <v>323</v>
      </c>
      <c r="N519" s="118" t="s">
        <v>168</v>
      </c>
      <c r="O519" s="118" t="s">
        <v>168</v>
      </c>
    </row>
    <row r="520" s="96" customFormat="true" ht="15.75" hidden="false" customHeight="true" outlineLevel="0" collapsed="false">
      <c r="A520" s="120" t="n">
        <f aca="false">IF(C520="","",1)</f>
        <v>1</v>
      </c>
      <c r="B520" s="121" t="str">
        <f aca="false">IF($D$127=5,N520,IF($D$127=6,N521,IF($D$127=8,N522,IF($D$127=10,N523,IF($D$127=12,N524,IF($D$127=14,N525,IF($D$127=18,N526,IF($D$127=20,N527,IF($D$127=22,N528,)))))))))</f>
        <v>กระจก 8 mm (สูง) (กว้าง)</v>
      </c>
      <c r="C520" s="121" t="str">
        <f aca="false">IF($D$127=5,O520,IF($D$127=6,O521,IF($D$127=8,O522,IF($D$127=10,O523,IF($D$127=12,O524,IF($D$127=14,O525,IF($D$127=18,O526,IF($D$127=20,O527,IF($D$127=22,O528,)))))))))</f>
        <v>GLASS thk.8 mm (H) (W)</v>
      </c>
      <c r="D520" s="123" t="n">
        <f aca="false">$J$123-215</f>
        <v>2685</v>
      </c>
      <c r="E520" s="120" t="s">
        <v>486</v>
      </c>
      <c r="F520" s="224" t="s">
        <v>487</v>
      </c>
      <c r="G520" s="224"/>
      <c r="H520" s="120" t="s">
        <v>713</v>
      </c>
      <c r="I520" s="225" t="n">
        <f aca="false">(($J$126-185-(113.25*6))/7)-13</f>
        <v>577.785714285714</v>
      </c>
      <c r="J520" s="226" t="n">
        <f aca="false">$J$120*7</f>
        <v>7</v>
      </c>
      <c r="M520" s="96" t="n">
        <f aca="false">ROW()</f>
        <v>520</v>
      </c>
      <c r="N520" s="62" t="s">
        <v>489</v>
      </c>
      <c r="O520" s="62" t="s">
        <v>490</v>
      </c>
    </row>
    <row r="521" s="96" customFormat="true" ht="15.75" hidden="false" customHeight="true" outlineLevel="0" collapsed="false">
      <c r="A521" s="269"/>
      <c r="B521" s="228"/>
      <c r="C521" s="228"/>
      <c r="D521" s="176"/>
      <c r="E521" s="167"/>
      <c r="F521" s="229"/>
      <c r="G521" s="230"/>
      <c r="H521" s="167"/>
      <c r="I521" s="231"/>
      <c r="J521" s="232"/>
      <c r="M521" s="96" t="n">
        <f aca="false">ROW()</f>
        <v>521</v>
      </c>
      <c r="N521" s="62" t="s">
        <v>491</v>
      </c>
      <c r="O521" s="62" t="s">
        <v>492</v>
      </c>
    </row>
    <row r="522" s="96" customFormat="true" ht="15.75" hidden="false" customHeight="true" outlineLevel="0" collapsed="false">
      <c r="A522" s="269"/>
      <c r="B522" s="228"/>
      <c r="C522" s="228"/>
      <c r="D522" s="176"/>
      <c r="E522" s="167"/>
      <c r="F522" s="229"/>
      <c r="G522" s="230"/>
      <c r="H522" s="167"/>
      <c r="I522" s="231"/>
      <c r="J522" s="232"/>
      <c r="M522" s="96" t="n">
        <f aca="false">ROW()</f>
        <v>522</v>
      </c>
      <c r="N522" s="62" t="s">
        <v>493</v>
      </c>
      <c r="O522" s="62" t="s">
        <v>494</v>
      </c>
    </row>
    <row r="523" s="96" customFormat="true" ht="15.75" hidden="false" customHeight="true" outlineLevel="0" collapsed="false">
      <c r="A523" s="130" t="str">
        <f aca="false">IF(B523="","",+""+1)</f>
        <v/>
      </c>
      <c r="B523" s="131"/>
      <c r="C523" s="131"/>
      <c r="D523" s="132"/>
      <c r="E523" s="130"/>
      <c r="F523" s="233"/>
      <c r="G523" s="270"/>
      <c r="H523" s="130"/>
      <c r="I523" s="142"/>
      <c r="J523" s="133"/>
      <c r="M523" s="96" t="n">
        <f aca="false">ROW()</f>
        <v>523</v>
      </c>
      <c r="N523" s="62" t="s">
        <v>495</v>
      </c>
      <c r="O523" s="62" t="s">
        <v>496</v>
      </c>
    </row>
    <row r="524" s="96" customFormat="true" ht="15.75" hidden="false" customHeight="true" outlineLevel="0" collapsed="false">
      <c r="A524" s="136" t="str">
        <f aca="false">IF(B524="","",+A523+1)</f>
        <v/>
      </c>
      <c r="B524" s="135"/>
      <c r="C524" s="135"/>
      <c r="D524" s="139"/>
      <c r="E524" s="136"/>
      <c r="F524" s="236"/>
      <c r="G524" s="237"/>
      <c r="H524" s="136"/>
      <c r="I524" s="180"/>
      <c r="J524" s="140"/>
      <c r="M524" s="96" t="n">
        <f aca="false">ROW()</f>
        <v>524</v>
      </c>
      <c r="N524" s="62" t="s">
        <v>497</v>
      </c>
      <c r="O524" s="62" t="s">
        <v>498</v>
      </c>
    </row>
    <row r="525" s="96" customFormat="true" ht="15.75" hidden="false" customHeight="true" outlineLevel="0" collapsed="false">
      <c r="A525" s="97"/>
      <c r="D525" s="98"/>
      <c r="E525" s="97"/>
      <c r="F525" s="97"/>
      <c r="G525" s="97"/>
      <c r="H525" s="97"/>
      <c r="I525" s="97"/>
      <c r="J525" s="196"/>
      <c r="M525" s="96" t="n">
        <f aca="false">ROW()</f>
        <v>525</v>
      </c>
      <c r="N525" s="62" t="s">
        <v>499</v>
      </c>
      <c r="O525" s="62" t="s">
        <v>500</v>
      </c>
    </row>
    <row r="526" customFormat="false" ht="14.25" hidden="false" customHeight="false" outlineLevel="0" collapsed="false">
      <c r="J526" s="92" t="str">
        <f aca="false">LEFT($J$111,11)&amp;"-05"</f>
        <v>FG-240-7P7R-05</v>
      </c>
      <c r="M526" s="96" t="n">
        <f aca="false">ROW()</f>
        <v>526</v>
      </c>
      <c r="N526" s="62" t="s">
        <v>501</v>
      </c>
      <c r="O526" s="62" t="s">
        <v>502</v>
      </c>
    </row>
    <row r="527" customFormat="false" ht="14.25" hidden="false" customHeight="false" outlineLevel="0" collapsed="false">
      <c r="M527" s="96" t="n">
        <f aca="false">ROW()</f>
        <v>527</v>
      </c>
      <c r="N527" s="62" t="s">
        <v>503</v>
      </c>
      <c r="O527" s="62" t="s">
        <v>504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505</v>
      </c>
      <c r="O528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7"/>
    <mergeCell ref="H163:H167"/>
    <mergeCell ref="I166:J167"/>
    <mergeCell ref="D168:D169"/>
    <mergeCell ref="H168:H169"/>
    <mergeCell ref="I168:J168"/>
    <mergeCell ref="D170:D171"/>
    <mergeCell ref="H170:H171"/>
    <mergeCell ref="A172:J172"/>
    <mergeCell ref="A213:J213"/>
    <mergeCell ref="C309:E309"/>
    <mergeCell ref="A320:J320"/>
    <mergeCell ref="F330:G330"/>
    <mergeCell ref="F331:G331"/>
    <mergeCell ref="F334:G334"/>
    <mergeCell ref="A427:J427"/>
    <mergeCell ref="A518:J518"/>
    <mergeCell ref="F520:G520"/>
  </mergeCells>
  <dataValidations count="4">
    <dataValidation allowBlank="true" errorStyle="stop" operator="between" showDropDown="false" showErrorMessage="true" showInputMessage="true" sqref="D129:G129" type="list">
      <formula1>$O$119</formula1>
      <formula2>0</formula2>
    </dataValidation>
    <dataValidation allowBlank="true" errorStyle="stop" operator="between" showDropDown="false" showErrorMessage="true" showInputMessage="true" sqref="D127:G127" type="list">
      <formula1>$N$119:$N$127</formula1>
      <formula2>0</formula2>
    </dataValidation>
    <dataValidation allowBlank="true" errorStyle="stop" operator="between" showDropDown="false" showErrorMessage="true" showInputMessage="true" sqref="D123:G123" type="list">
      <formula1>$P$118:$P$127</formula1>
      <formula2>0</formula2>
    </dataValidation>
    <dataValidation allowBlank="true" errorStyle="stop" operator="between" showDropDown="false" showErrorMessage="true" showInputMessage="true" sqref="C206" type="list">
      <formula1>$O$174:$O$192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526"/>
  <sheetViews>
    <sheetView showFormulas="false" showGridLines="false" showRowColHeaders="true" showZeros="true" rightToLeft="false" tabSelected="false" showOutlineSymbols="true" defaultGridColor="true" view="pageBreakPreview" topLeftCell="A121" colorId="64" zoomScale="75" zoomScaleNormal="75" zoomScalePageLayoutView="75" workbookViewId="0">
      <selection pane="topLeft" activeCell="I135" activeCellId="0" sqref="I135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11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6.67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19.88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732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>
      <c r="G55" s="91"/>
    </row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733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8" hidden="false" customHeight="true" outlineLevel="0" collapsed="false">
      <c r="A118" s="97"/>
      <c r="C118" s="81"/>
      <c r="D118" s="98"/>
      <c r="E118" s="83"/>
      <c r="J118" s="99"/>
      <c r="K118" s="83"/>
      <c r="N118" s="258" t="s">
        <v>288</v>
      </c>
      <c r="O118" s="97" t="s">
        <v>289</v>
      </c>
      <c r="P118" s="102" t="s">
        <v>290</v>
      </c>
    </row>
    <row r="119" s="96" customFormat="true" ht="15" hidden="false" customHeight="true" outlineLevel="0" collapsed="false">
      <c r="A119" s="97"/>
      <c r="C119" s="100" t="s">
        <v>286</v>
      </c>
      <c r="D119" s="101"/>
      <c r="E119" s="101"/>
      <c r="F119" s="101"/>
      <c r="G119" s="101"/>
      <c r="I119" s="83"/>
      <c r="J119" s="97"/>
      <c r="N119" s="259" t="n">
        <v>5</v>
      </c>
      <c r="O119" s="97" t="s">
        <v>509</v>
      </c>
      <c r="P119" s="106" t="s">
        <v>294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6</v>
      </c>
      <c r="O120" s="97" t="s">
        <v>296</v>
      </c>
      <c r="P120" s="106" t="s">
        <v>297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8</v>
      </c>
      <c r="P121" s="106" t="s">
        <v>299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10</v>
      </c>
      <c r="P122" s="106" t="s">
        <v>303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308</v>
      </c>
      <c r="E123" s="101"/>
      <c r="F123" s="101"/>
      <c r="G123" s="101"/>
      <c r="H123" s="104" t="s">
        <v>302</v>
      </c>
      <c r="I123" s="104"/>
      <c r="J123" s="105" t="n">
        <v>2400</v>
      </c>
      <c r="N123" s="259" t="n">
        <v>12</v>
      </c>
      <c r="P123" s="106" t="s">
        <v>305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14</v>
      </c>
      <c r="P124" s="106" t="s">
        <v>308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18</v>
      </c>
      <c r="P125" s="106" t="s">
        <v>311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6300</v>
      </c>
      <c r="K126" s="110"/>
      <c r="L126" s="110"/>
      <c r="N126" s="259" t="n">
        <v>20</v>
      </c>
      <c r="P126" s="106" t="s">
        <v>313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259" t="n">
        <v>22</v>
      </c>
      <c r="P127" s="106" t="s">
        <v>315</v>
      </c>
    </row>
    <row r="128" s="96" customFormat="true" ht="18.75" hidden="false" customHeight="true" outlineLevel="0" collapsed="false">
      <c r="C128" s="108" t="s">
        <v>314</v>
      </c>
      <c r="I128" s="97"/>
      <c r="J128" s="97"/>
      <c r="P128" s="96" t="s">
        <v>486</v>
      </c>
    </row>
    <row r="129" s="96" customFormat="true" ht="15" hidden="false" customHeight="true" outlineLevel="0" collapsed="false">
      <c r="A129" s="89" t="str">
        <f aca="false">A18</f>
        <v>240-8 Panel (8R)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6240</v>
      </c>
      <c r="J133" s="124" t="n">
        <f aca="false">$J$120*G133</f>
        <v>1</v>
      </c>
      <c r="N133" s="107" t="s">
        <v>332</v>
      </c>
      <c r="O133" s="125" t="s">
        <v>734</v>
      </c>
      <c r="P133" s="125" t="s">
        <v>735</v>
      </c>
      <c r="Q133" s="126" t="s">
        <v>335</v>
      </c>
      <c r="R133" s="127" t="n">
        <v>0.231</v>
      </c>
      <c r="S133" s="126" t="s">
        <v>336</v>
      </c>
      <c r="T133" s="127" t="n">
        <v>16</v>
      </c>
      <c r="U133" s="127" t="s">
        <v>736</v>
      </c>
      <c r="V133" s="128" t="n">
        <f aca="false">($J$126-185-(113.25*7))/8</f>
        <v>665.28125</v>
      </c>
      <c r="W133" s="129" t="n">
        <f aca="false">$J$120*T133</f>
        <v>16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6214</v>
      </c>
      <c r="J134" s="134" t="n">
        <f aca="false">$J$120*G134</f>
        <v>1</v>
      </c>
      <c r="N134" s="107"/>
      <c r="O134" s="125" t="s">
        <v>333</v>
      </c>
      <c r="P134" s="125" t="s">
        <v>334</v>
      </c>
      <c r="Q134" s="315" t="s">
        <v>344</v>
      </c>
      <c r="R134" s="130" t="n">
        <v>0.215</v>
      </c>
      <c r="S134" s="315" t="s">
        <v>345</v>
      </c>
      <c r="T134" s="130" t="n">
        <v>16</v>
      </c>
      <c r="U134" s="130" t="s">
        <v>736</v>
      </c>
      <c r="V134" s="142" t="n">
        <f aca="false">($J$126-185-(113.25*7))/8</f>
        <v>665.28125</v>
      </c>
      <c r="W134" s="134" t="n">
        <f aca="false">$J$120*T134</f>
        <v>16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6240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16</v>
      </c>
      <c r="U135" s="136" t="s">
        <v>736</v>
      </c>
      <c r="V135" s="180" t="n">
        <f aca="false">($J$126-185-(113.25*7))/8</f>
        <v>665.28125</v>
      </c>
      <c r="W135" s="137" t="n">
        <f aca="false">$J$120*T135</f>
        <v>16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6240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16</v>
      </c>
      <c r="U136" s="127" t="s">
        <v>360</v>
      </c>
      <c r="V136" s="138" t="n">
        <f aca="false">$J$123-242</f>
        <v>2158</v>
      </c>
      <c r="W136" s="129" t="n">
        <f aca="false">$J$120*T136</f>
        <v>16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2400</v>
      </c>
      <c r="J137" s="134" t="n">
        <f aca="false">$J$120*G137</f>
        <v>1</v>
      </c>
      <c r="N137" s="107"/>
      <c r="O137" s="125" t="s">
        <v>737</v>
      </c>
      <c r="P137" s="125" t="s">
        <v>738</v>
      </c>
      <c r="Q137" s="315" t="s">
        <v>344</v>
      </c>
      <c r="R137" s="130" t="n">
        <v>0.215</v>
      </c>
      <c r="S137" s="315" t="s">
        <v>366</v>
      </c>
      <c r="T137" s="130" t="n">
        <v>16</v>
      </c>
      <c r="U137" s="130" t="s">
        <v>360</v>
      </c>
      <c r="V137" s="133" t="n">
        <f aca="false">$J$123-242</f>
        <v>2158</v>
      </c>
      <c r="W137" s="134" t="n">
        <f aca="false">$J$120*T137</f>
        <v>16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2400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16</v>
      </c>
      <c r="U138" s="136" t="s">
        <v>360</v>
      </c>
      <c r="V138" s="140" t="n">
        <f aca="false">$J$123-242</f>
        <v>2158</v>
      </c>
      <c r="W138" s="137" t="n">
        <f aca="false">$J$120*T138</f>
        <v>16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2304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2304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8</v>
      </c>
      <c r="H141" s="130" t="s">
        <v>739</v>
      </c>
      <c r="I141" s="141" t="n">
        <f aca="false">($J$126-60-(8+1)*4)/8</f>
        <v>775.5</v>
      </c>
      <c r="J141" s="134" t="n">
        <f aca="false">$J$120*G141</f>
        <v>8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8</v>
      </c>
      <c r="H142" s="130" t="s">
        <v>739</v>
      </c>
      <c r="I142" s="141" t="n">
        <f aca="false">($J$126-60-(8+1)*4)/8</f>
        <v>775.5</v>
      </c>
      <c r="J142" s="134" t="n">
        <f aca="false">$J$120*G142</f>
        <v>8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12</v>
      </c>
      <c r="H143" s="130" t="s">
        <v>389</v>
      </c>
      <c r="I143" s="133" t="n">
        <f aca="false">$J$123-92</f>
        <v>2308</v>
      </c>
      <c r="J143" s="134" t="n">
        <f aca="false">$J$120*G143</f>
        <v>12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2</v>
      </c>
      <c r="H144" s="130" t="s">
        <v>389</v>
      </c>
      <c r="I144" s="133" t="n">
        <f aca="false">$J$123-92</f>
        <v>2308</v>
      </c>
      <c r="J144" s="134" t="n">
        <f aca="false">$J$120*G144</f>
        <v>2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390</v>
      </c>
      <c r="C145" s="131" t="s">
        <v>391</v>
      </c>
      <c r="D145" s="132" t="s">
        <v>74</v>
      </c>
      <c r="E145" s="130" t="n">
        <v>1.106</v>
      </c>
      <c r="F145" s="132" t="s">
        <v>563</v>
      </c>
      <c r="G145" s="130" t="n">
        <v>1</v>
      </c>
      <c r="H145" s="130" t="s">
        <v>389</v>
      </c>
      <c r="I145" s="133" t="n">
        <f aca="false">$J$123-92</f>
        <v>2308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">
        <v>531</v>
      </c>
      <c r="C146" s="131" t="s">
        <v>532</v>
      </c>
      <c r="D146" s="132" t="s">
        <v>74</v>
      </c>
      <c r="E146" s="130" t="n">
        <v>1.106</v>
      </c>
      <c r="F146" s="132" t="s">
        <v>564</v>
      </c>
      <c r="G146" s="130" t="n">
        <v>1</v>
      </c>
      <c r="H146" s="130" t="s">
        <v>389</v>
      </c>
      <c r="I146" s="133" t="n">
        <f aca="false">$J$123-92</f>
        <v>2308</v>
      </c>
      <c r="J146" s="134" t="n">
        <f aca="false">$J$120*G146</f>
        <v>1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IF($D$127=5,O133,IF($D$127=6,O133,IF($D$127=8,O134,IF($D$127=10,O134,IF($D$127=12,O134,IF($D$127=14,O135,IF($D$127=18,O135,IF($D$127=20,O135,IF($D$127=22,O135,)))))))))</f>
        <v>5-6-8mm คิ้วตบกระจกแนวนอน</v>
      </c>
      <c r="C147" s="131" t="str">
        <f aca="false">IF($D$127=5,P133,IF($D$127=6,P133,IF($D$127=8,P134,IF($D$127=10,P134,IF($D$127=12,P134,IF($D$127=14,P135,IF($D$127=18,P135,IF($D$127=20,P135,IF($D$127=22,P135,)))))))))</f>
        <v>5-6-8mm GLAZING BEAD HORIZONTAL</v>
      </c>
      <c r="D147" s="131" t="str">
        <f aca="false">IF($D$127=5,Q133,IF($D$127=6,Q133,IF($D$127=8,Q134,IF($D$127=10,Q134,IF($D$127=12,Q134,IF($D$127=14,Q135,IF($D$127=18,Q135,IF($D$127=20,Q135,IF($D$127=22,Q135,)))))))))</f>
        <v>B24008</v>
      </c>
      <c r="E147" s="131" t="n">
        <f aca="false">IF($D$127=5,R133,IF($D$127=6,R133,IF($D$127=8,R134,IF($D$127=10,R134,IF($D$127=12,R134,IF($D$127=14,R135,IF($D$127=18,R135,IF($D$127=20,R135,IF($D$127=22,R135,)))))))))</f>
        <v>0.231</v>
      </c>
      <c r="F147" s="131" t="str">
        <f aca="false">IF($D$127=5,S133,IF($D$127=6,S133,IF($D$127=8,S134,IF($D$127=10,S134,IF($D$127=12,S134,IF($D$127=14,S135,IF($D$127=18,S135,IF($D$127=20,S135,IF($D$127=22,S135,)))))))))</f>
        <v>B24008-001</v>
      </c>
      <c r="G147" s="130" t="n">
        <f aca="false">IF($D$127=5,T133,IF($D$127=6,T133,IF($D$127=8,T134,IF($D$127=10,T134,IF($D$127=12,T134,IF($D$127=14,T135,IF($D$127=18,T135,IF($D$127=20,T135,IF($D$127=22,T135,)))))))))</f>
        <v>16</v>
      </c>
      <c r="H147" s="130" t="str">
        <f aca="false">IF($D$127=5,U133,IF($D$127=6,U133,IF($D$127=8,U134,IF($D$127=10,U134,IF($D$127=12,U134,IF($D$127=14,U135,IF($D$127=18,U135,IF($D$127=20,U135,IF($D$127=22,U135,)))))))))</f>
        <v>(W-185-(113.25 × 7))/8</v>
      </c>
      <c r="I147" s="141" t="n">
        <f aca="false">IF($D$127=5,V133,IF($D$127=6,V133,IF($D$127=8,V134,IF($D$127=10,V134,IF($D$127=12,V134,IF($D$127=14,V135,IF($D$127=18,V135,IF($D$127=20,V135,IF($D$127=22,V135,)))))))))</f>
        <v>665.28125</v>
      </c>
      <c r="J147" s="134" t="n">
        <f aca="false">$J$120*G147</f>
        <v>16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8" s="131" t="str">
        <f aca="false">IF($D$127=5,Q136,IF($D$127=6,Q136,IF($D$127=8,Q137,IF($D$127=10,Q137,IF($D$127=12,Q137,IF($D$127=14,Q138,IF($D$127=18,Q138,IF($D$127=20,Q138,IF($D$127=22,Q138,)))))))))</f>
        <v>B24008</v>
      </c>
      <c r="E148" s="131" t="n">
        <f aca="false">IF($D$127=5,R136,IF($D$127=6,R136,IF($D$127=8,R137,IF($D$127=10,R137,IF($D$127=12,R137,IF($D$127=14,R138,IF($D$127=18,R138,IF($D$127=20,R138,IF($D$127=22,R138,)))))))))</f>
        <v>0.231</v>
      </c>
      <c r="F148" s="131" t="str">
        <f aca="false">IF($D$127=5,S136,IF($D$127=6,S136,IF($D$127=8,S137,IF($D$127=10,S137,IF($D$127=12,S137,IF($D$127=14,S138,IF($D$127=18,S138,IF($D$127=20,S138,IF($D$127=22,S138,)))))))))</f>
        <v>B24008-002</v>
      </c>
      <c r="G148" s="130" t="n">
        <f aca="false">IF($D$127=5,T136,IF($D$127=6,T136,IF($D$127=8,T137,IF($D$127=10,T137,IF($D$127=12,T137,IF($D$127=14,T138,IF($D$127=18,T138,IF($D$127=20,T138,IF($D$127=22,T138,)))))))))</f>
        <v>16</v>
      </c>
      <c r="H148" s="130" t="str">
        <f aca="false">IF($D$127=5,U136,IF($D$127=6,U136,IF($D$127=8,U137,IF($D$127=10,U137,IF($D$127=12,U137,IF($D$127=14,U138,IF($D$127=18,U138,IF($D$127=20,U138,IF($D$127=22,U138,)))))))))</f>
        <v>H-242</v>
      </c>
      <c r="I148" s="133" t="n">
        <f aca="false">IF($D$127=5,V136,IF($D$127=6,V136,IF($D$127=8,V137,IF($D$127=10,V137,IF($D$127=12,V137,IF($D$127=14,V138,IF($D$127=18,V138,IF($D$127=20,V138,IF($D$127=22,V138,)))))))))</f>
        <v>2158</v>
      </c>
      <c r="J148" s="134" t="n">
        <f aca="false">$J$120*G148</f>
        <v>16</v>
      </c>
    </row>
    <row r="149" s="96" customFormat="true" ht="18" hidden="false" customHeight="true" outlineLevel="0" collapsed="false">
      <c r="A149" s="130" t="str">
        <f aca="false">IF(B149="","",+A148+1)</f>
        <v/>
      </c>
      <c r="B149" s="131"/>
      <c r="C149" s="131"/>
      <c r="D149" s="132"/>
      <c r="E149" s="130"/>
      <c r="F149" s="132"/>
      <c r="G149" s="130"/>
      <c r="H149" s="130"/>
      <c r="I149" s="133"/>
      <c r="J149" s="134"/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33"/>
      <c r="J150" s="134"/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33"/>
      <c r="J151" s="134" t="n">
        <f aca="false">$J$120*G151</f>
        <v>0</v>
      </c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33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6240</v>
      </c>
      <c r="G155" s="155" t="n">
        <f aca="false">VLOOKUP(C155,$C$133:$J$153,8,0)</f>
        <v>1</v>
      </c>
      <c r="H155" s="264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VLOOKUP(C156,$C$133:$I$153,7,0)</f>
        <v>6214</v>
      </c>
      <c r="G156" s="155" t="n">
        <f aca="false">VLOOKUP(C156,$C$133:$J$153,8,0)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VLOOKUP(C157,$C$133:$I$153,7,0)</f>
        <v>6240</v>
      </c>
      <c r="G157" s="155" t="n">
        <f aca="false">VLOOKUP(C157,$C$133:$J$153,8,0)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VLOOKUP(C158,$C$133:$I$153,7,0)</f>
        <v>6240</v>
      </c>
      <c r="G158" s="155" t="n">
        <f aca="false">VLOOKUP(C158,$C$133:$J$153,8,0)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VLOOKUP(C159,$C$133:$I$153,7,0)</f>
        <v>2400</v>
      </c>
      <c r="G159" s="155" t="n">
        <f aca="false">VLOOKUP(C159,$C$133:$J$153,8,0)</f>
        <v>1</v>
      </c>
      <c r="H159" s="160" t="n">
        <f aca="false">ROUNDUP(((F159*G159)+(F160*G160))/6400,0)</f>
        <v>1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VLOOKUP(C160,$C$133:$I$153,7,0)</f>
        <v>2400</v>
      </c>
      <c r="G160" s="155" t="n">
        <f aca="false">VLOOKUP(C160,$C$133:$J$153,8,0)</f>
        <v>1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VLOOKUP(C161,$C$133:$I$153,7,0)</f>
        <v>2304</v>
      </c>
      <c r="G161" s="155" t="n">
        <f aca="false">VLOOKUP(C161,$C$133:$J$153,8,0)</f>
        <v>1</v>
      </c>
      <c r="H161" s="160" t="n">
        <f aca="false">ROUNDUP(((F161*G161)+(F162*G162))/6400,0)</f>
        <v>1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155" t="n">
        <f aca="false">VLOOKUP(C162,$C$133:$H$153,3,0)</f>
        <v>0.235</v>
      </c>
      <c r="F162" s="263" t="n">
        <f aca="false">VLOOKUP(C162,$C$133:$I$153,7,0)</f>
        <v>2304</v>
      </c>
      <c r="G162" s="155" t="n">
        <f aca="false">VLOOKUP(C162,$C$133:$J$153,8,0)</f>
        <v>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155" t="n">
        <f aca="false">VLOOKUP(C163,$C$133:$H$153,3,0)</f>
        <v>1.106</v>
      </c>
      <c r="F163" s="267" t="n">
        <f aca="false">VLOOKUP(C163,$C$133:$I$153,7,0)</f>
        <v>775.5</v>
      </c>
      <c r="G163" s="155" t="n">
        <f aca="false">VLOOKUP(C163,$C$133:$J$153,8,0)</f>
        <v>8</v>
      </c>
      <c r="H163" s="160" t="n">
        <f aca="false">ROUNDUP(((F163*G163)+(F164*G164)+(F165*G165)+(F166*G166)+(F167*G167)+(F168*G168))/6400,0)</f>
        <v>9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155" t="n">
        <f aca="false">VLOOKUP(C164,$C$133:$H$153,3,0)</f>
        <v>1.106</v>
      </c>
      <c r="F164" s="267" t="n">
        <f aca="false">VLOOKUP(C164,$C$133:$I$153,7,0)</f>
        <v>775.5</v>
      </c>
      <c r="G164" s="155" t="n">
        <f aca="false">VLOOKUP(C164,$C$133:$J$153,8,0)</f>
        <v>8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155" t="n">
        <f aca="false">VLOOKUP(C165,$C$133:$H$153,3,0)</f>
        <v>1.106</v>
      </c>
      <c r="F165" s="263" t="n">
        <f aca="false">VLOOKUP(C165,$C$133:$I$153,7,0)</f>
        <v>2308</v>
      </c>
      <c r="G165" s="155" t="n">
        <f aca="false">VLOOKUP(C165,$C$133:$J$153,8,0)</f>
        <v>12</v>
      </c>
      <c r="H165" s="160"/>
      <c r="I165" s="161"/>
      <c r="J165" s="161"/>
    </row>
    <row r="166" s="96" customFormat="true" ht="13.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155" t="n">
        <f aca="false">VLOOKUP(C166,$C$133:$H$153,3,0)</f>
        <v>1.106</v>
      </c>
      <c r="F166" s="263" t="n">
        <f aca="false">VLOOKUP(C166,$C$133:$I$153,7,0)</f>
        <v>2308</v>
      </c>
      <c r="G166" s="155" t="n">
        <f aca="false">VLOOKUP(C166,$C$133:$J$153,8,0)</f>
        <v>2</v>
      </c>
      <c r="H166" s="160"/>
      <c r="I166" s="161"/>
      <c r="J166" s="161"/>
    </row>
    <row r="167" s="96" customFormat="true" ht="13.5" hidden="false" customHeight="true" outlineLevel="1" collapsed="false">
      <c r="A167" s="158" t="n">
        <f aca="false">IF(B167="","",+A166+1)</f>
        <v>13</v>
      </c>
      <c r="B167" s="153" t="str">
        <f aca="false">B145</f>
        <v>เสากุญแจ</v>
      </c>
      <c r="C167" s="153" t="str">
        <f aca="false">C145</f>
        <v>SASH (Ver) LOCK </v>
      </c>
      <c r="D167" s="159"/>
      <c r="E167" s="155" t="n">
        <f aca="false">VLOOKUP(C167,$C$133:$H$153,3,0)</f>
        <v>1.106</v>
      </c>
      <c r="F167" s="263" t="n">
        <f aca="false">VLOOKUP(C167,$C$133:$I$153,7,0)</f>
        <v>2308</v>
      </c>
      <c r="G167" s="155" t="n">
        <f aca="false">VLOOKUP(C167,$C$133:$J$153,8,0)</f>
        <v>2</v>
      </c>
      <c r="H167" s="160"/>
      <c r="I167" s="161"/>
      <c r="J167" s="161"/>
    </row>
    <row r="168" s="96" customFormat="true" ht="13.5" hidden="false" customHeight="true" outlineLevel="1" collapsed="false">
      <c r="A168" s="158" t="n">
        <f aca="false">IF(B168="","",+A167+1)</f>
        <v>14</v>
      </c>
      <c r="B168" s="153" t="str">
        <f aca="false">B146</f>
        <v>เสากุญแจมือจับ</v>
      </c>
      <c r="C168" s="153" t="str">
        <f aca="false">C146</f>
        <v>SASH (Ver) LOCK HANDLE</v>
      </c>
      <c r="D168" s="159"/>
      <c r="E168" s="155" t="n">
        <f aca="false">VLOOKUP(C168,$C$133:$H$153,3,0)</f>
        <v>1.106</v>
      </c>
      <c r="F168" s="263" t="n">
        <f aca="false">VLOOKUP(C168,$C$133:$I$153,7,0)</f>
        <v>2308</v>
      </c>
      <c r="G168" s="155" t="n">
        <f aca="false">VLOOKUP(C168,$C$133:$J$153,8,0)</f>
        <v>1</v>
      </c>
      <c r="H168" s="160"/>
      <c r="I168" s="265"/>
      <c r="J168" s="265"/>
    </row>
    <row r="169" s="96" customFormat="true" ht="13.5" hidden="false" customHeight="true" outlineLevel="1" collapsed="false">
      <c r="A169" s="158" t="n">
        <f aca="false">IF(B169="","",+A168+1)</f>
        <v>15</v>
      </c>
      <c r="B169" s="153" t="str">
        <f aca="false">B147</f>
        <v>5-6-8mm คิ้วตบกระจกแนวนอน</v>
      </c>
      <c r="C169" s="153" t="str">
        <f aca="false">C147</f>
        <v>5-6-8mm GLAZING BEAD HORIZONTAL</v>
      </c>
      <c r="D169" s="159" t="str">
        <f aca="false">VLOOKUP(C169,$C$133:$H$153,2,0)</f>
        <v>B24008</v>
      </c>
      <c r="E169" s="155" t="n">
        <f aca="false">VLOOKUP(C169,$C$133:$H$153,3,0)</f>
        <v>0.231</v>
      </c>
      <c r="F169" s="267" t="n">
        <f aca="false">VLOOKUP(C169,$C$133:$I$153,7,0)</f>
        <v>665.28125</v>
      </c>
      <c r="G169" s="155" t="n">
        <f aca="false">VLOOKUP(C169,$C$133:$J$153,8,0)</f>
        <v>16</v>
      </c>
      <c r="H169" s="160" t="n">
        <f aca="false">ROUNDUP(((F169*G169)+(F170*G170))/6400,0)</f>
        <v>8</v>
      </c>
      <c r="I169" s="196"/>
      <c r="J169" s="196"/>
    </row>
    <row r="170" s="96" customFormat="true" ht="13.5" hidden="false" customHeight="true" outlineLevel="1" collapsed="false">
      <c r="A170" s="158" t="n">
        <f aca="false">IF(B170="","",+A169+1)</f>
        <v>16</v>
      </c>
      <c r="B170" s="153" t="str">
        <f aca="false">B148</f>
        <v>5-6mm คิ้วตบกระจกแนวตั้ง</v>
      </c>
      <c r="C170" s="153" t="str">
        <f aca="false">C148</f>
        <v>5-6mm GLAZING BEAD VERTICAL</v>
      </c>
      <c r="D170" s="159"/>
      <c r="E170" s="155" t="n">
        <f aca="false">VLOOKUP(C170,$C$133:$H$153,3,0)</f>
        <v>0.231</v>
      </c>
      <c r="F170" s="263" t="n">
        <f aca="false">VLOOKUP(C170,$C$133:$I$153,7,0)</f>
        <v>2158</v>
      </c>
      <c r="G170" s="155" t="n">
        <f aca="false">VLOOKUP(C170,$C$133:$J$153,8,0)</f>
        <v>16</v>
      </c>
      <c r="H170" s="160"/>
      <c r="I170" s="196"/>
      <c r="J170" s="196"/>
    </row>
    <row r="171" s="96" customFormat="true" ht="13.5" hidden="false" customHeight="true" outlineLevel="1" collapsed="false">
      <c r="A171" s="158" t="str">
        <f aca="false">IF(B171="","",+A170+1)</f>
        <v/>
      </c>
      <c r="B171" s="153" t="n">
        <f aca="false">B149</f>
        <v>0</v>
      </c>
      <c r="C171" s="153" t="n">
        <f aca="false">C149</f>
        <v>0</v>
      </c>
      <c r="D171" s="163" t="str">
        <f aca="false">IFERROR(VLOOKUP(C171,$C$133:$H$153,2,0),"")</f>
        <v/>
      </c>
      <c r="E171" s="155" t="str">
        <f aca="false">IFERROR(VLOOKUP(C171,$C$133:$H$153,3,0),"")</f>
        <v/>
      </c>
      <c r="F171" s="263" t="str">
        <f aca="false">IFERROR(VLOOKUP(C171,$C$133:$I$153,7,0),"")</f>
        <v/>
      </c>
      <c r="G171" s="155" t="str">
        <f aca="false">IFERROR(VLOOKUP(C171,$C$133:$J$153,8,0),"")</f>
        <v/>
      </c>
      <c r="H171" s="160" t="str">
        <f aca="false">IFERROR(ROUNDUP(((F171*G171)+(F172*G172))/6400,0),"")</f>
        <v/>
      </c>
      <c r="I171" s="196"/>
      <c r="J171" s="196"/>
    </row>
    <row r="172" s="96" customFormat="true" ht="14.25" hidden="false" customHeight="false" outlineLevel="1" collapsed="false">
      <c r="A172" s="158" t="str">
        <f aca="false">IF(B172="","",+A171+1)</f>
        <v/>
      </c>
      <c r="B172" s="153" t="n">
        <f aca="false">B150</f>
        <v>0</v>
      </c>
      <c r="C172" s="153" t="n">
        <f aca="false">C150</f>
        <v>0</v>
      </c>
      <c r="D172" s="163"/>
      <c r="E172" s="155" t="str">
        <f aca="false">IFERROR(VLOOKUP(C172,$C$133:$H$153,3,0),"")</f>
        <v/>
      </c>
      <c r="F172" s="263" t="str">
        <f aca="false">IFERROR(VLOOKUP(C172,$C$133:$I$153,7,0),"")</f>
        <v/>
      </c>
      <c r="G172" s="155" t="str">
        <f aca="false">IFERROR(VLOOKUP(C172,$C$133:$J$153,8,0),"")</f>
        <v/>
      </c>
      <c r="H172" s="160"/>
      <c r="I172" s="196"/>
      <c r="J172" s="196"/>
    </row>
    <row r="173" s="96" customFormat="true" ht="24.75" hidden="false" customHeight="true" outlineLevel="0" collapsed="false">
      <c r="A173" s="113" t="s">
        <v>396</v>
      </c>
      <c r="B173" s="113"/>
      <c r="C173" s="113"/>
      <c r="D173" s="113"/>
      <c r="E173" s="113"/>
      <c r="F173" s="113"/>
      <c r="G173" s="113"/>
      <c r="H173" s="113"/>
      <c r="I173" s="113"/>
      <c r="J173" s="113"/>
    </row>
    <row r="174" s="96" customFormat="true" ht="34.5" hidden="false" customHeight="true" outlineLevel="0" collapsed="false">
      <c r="A174" s="114" t="s">
        <v>319</v>
      </c>
      <c r="B174" s="115" t="s">
        <v>320</v>
      </c>
      <c r="C174" s="115" t="s">
        <v>168</v>
      </c>
      <c r="D174" s="115" t="s">
        <v>397</v>
      </c>
      <c r="E174" s="115" t="s">
        <v>321</v>
      </c>
      <c r="F174" s="116" t="s">
        <v>398</v>
      </c>
      <c r="G174" s="115" t="s">
        <v>399</v>
      </c>
      <c r="H174" s="116" t="s">
        <v>400</v>
      </c>
      <c r="I174" s="116" t="s">
        <v>401</v>
      </c>
      <c r="J174" s="117" t="s">
        <v>402</v>
      </c>
      <c r="N174" s="107" t="s">
        <v>288</v>
      </c>
      <c r="O174" s="165" t="s">
        <v>320</v>
      </c>
      <c r="P174" s="165" t="s">
        <v>168</v>
      </c>
      <c r="Q174" s="165" t="s">
        <v>397</v>
      </c>
      <c r="R174" s="165" t="s">
        <v>321</v>
      </c>
      <c r="S174" s="165" t="s">
        <v>398</v>
      </c>
      <c r="T174" s="165" t="s">
        <v>399</v>
      </c>
      <c r="U174" s="165" t="s">
        <v>400</v>
      </c>
      <c r="V174" s="165" t="s">
        <v>401</v>
      </c>
      <c r="W174" s="165" t="s">
        <v>402</v>
      </c>
    </row>
    <row r="175" s="96" customFormat="true" ht="18" hidden="false" customHeight="true" outlineLevel="0" collapsed="false">
      <c r="A175" s="166" t="n">
        <f aca="false">IF(B175="","",1)</f>
        <v>1</v>
      </c>
      <c r="B175" s="131" t="s">
        <v>410</v>
      </c>
      <c r="C175" s="131" t="s">
        <v>411</v>
      </c>
      <c r="D175" s="132" t="s">
        <v>267</v>
      </c>
      <c r="E175" s="130"/>
      <c r="F175" s="130" t="s">
        <v>267</v>
      </c>
      <c r="G175" s="130" t="s">
        <v>405</v>
      </c>
      <c r="H175" s="130" t="n">
        <v>16</v>
      </c>
      <c r="I175" s="133"/>
      <c r="J175" s="134" t="n">
        <f aca="false">$J$120*H175</f>
        <v>16</v>
      </c>
      <c r="N175" s="107" t="s">
        <v>406</v>
      </c>
      <c r="O175" s="55" t="s">
        <v>407</v>
      </c>
      <c r="P175" s="62" t="s">
        <v>408</v>
      </c>
      <c r="Q175" s="55" t="s">
        <v>227</v>
      </c>
      <c r="R175" s="158"/>
      <c r="S175" s="158" t="s">
        <v>227</v>
      </c>
      <c r="T175" s="158" t="s">
        <v>409</v>
      </c>
      <c r="U175" s="168" t="n">
        <f aca="false">((($I$141*$G$141)+($I$142*$G$142)+($I$143*$G$143)+($I$144*$G$144)+($I$145*$G$145)+($I$146*$G$146))/1000)*$J$120</f>
        <v>49.336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2</v>
      </c>
      <c r="B176" s="131" t="s">
        <v>415</v>
      </c>
      <c r="C176" s="131" t="s">
        <v>416</v>
      </c>
      <c r="D176" s="132" t="s">
        <v>222</v>
      </c>
      <c r="E176" s="130"/>
      <c r="F176" s="130" t="s">
        <v>222</v>
      </c>
      <c r="G176" s="130" t="s">
        <v>405</v>
      </c>
      <c r="H176" s="130" t="n">
        <v>2</v>
      </c>
      <c r="I176" s="133"/>
      <c r="J176" s="134" t="n">
        <f aca="false">$J$120*H176</f>
        <v>2</v>
      </c>
      <c r="N176" s="107" t="s">
        <v>412</v>
      </c>
      <c r="O176" s="55" t="s">
        <v>413</v>
      </c>
      <c r="P176" s="62" t="s">
        <v>414</v>
      </c>
      <c r="Q176" s="55" t="s">
        <v>234</v>
      </c>
      <c r="R176" s="158"/>
      <c r="S176" s="158" t="s">
        <v>234</v>
      </c>
      <c r="T176" s="158" t="s">
        <v>409</v>
      </c>
      <c r="U176" s="168" t="n">
        <f aca="false">((($I$141*$G$141)+($I$142*$G$142)+($I$143*$G$143)+($I$144*$G$144)+($I$145*$G$145)+($I$146*$G$146))/1000)*$J$120</f>
        <v>49.336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3</v>
      </c>
      <c r="B177" s="131" t="s">
        <v>420</v>
      </c>
      <c r="C177" s="131" t="s">
        <v>421</v>
      </c>
      <c r="D177" s="132" t="s">
        <v>225</v>
      </c>
      <c r="E177" s="130"/>
      <c r="F177" s="130" t="s">
        <v>225</v>
      </c>
      <c r="G177" s="130" t="s">
        <v>405</v>
      </c>
      <c r="H177" s="130" t="n">
        <v>2</v>
      </c>
      <c r="I177" s="133"/>
      <c r="J177" s="134" t="n">
        <f aca="false">$J$120*H177</f>
        <v>2</v>
      </c>
      <c r="N177" s="107" t="s">
        <v>417</v>
      </c>
      <c r="O177" s="62" t="s">
        <v>418</v>
      </c>
      <c r="P177" s="62" t="s">
        <v>419</v>
      </c>
      <c r="Q177" s="316" t="s">
        <v>236</v>
      </c>
      <c r="R177" s="158"/>
      <c r="S177" s="317" t="s">
        <v>236</v>
      </c>
      <c r="T177" s="158" t="s">
        <v>409</v>
      </c>
      <c r="U177" s="168" t="n">
        <f aca="false">((($I$141*$G$141)+($I$142*$G$142)+($I$143*$G$143)+($I$144*$G$144)+($I$145*$G$145)+($I$146*$G$146))/1000)*$J$120</f>
        <v>49.336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4</v>
      </c>
      <c r="B178" s="131" t="s">
        <v>425</v>
      </c>
      <c r="C178" s="131" t="s">
        <v>426</v>
      </c>
      <c r="D178" s="132" t="n">
        <v>9</v>
      </c>
      <c r="E178" s="130"/>
      <c r="F178" s="130" t="n">
        <v>9</v>
      </c>
      <c r="G178" s="130" t="s">
        <v>405</v>
      </c>
      <c r="H178" s="130" t="n">
        <v>8</v>
      </c>
      <c r="I178" s="133"/>
      <c r="J178" s="134" t="n">
        <f aca="false">$J$120*H178</f>
        <v>8</v>
      </c>
      <c r="N178" s="107" t="s">
        <v>422</v>
      </c>
      <c r="O178" s="62" t="s">
        <v>423</v>
      </c>
      <c r="P178" s="62" t="s">
        <v>424</v>
      </c>
      <c r="Q178" s="55" t="s">
        <v>238</v>
      </c>
      <c r="R178" s="158"/>
      <c r="S178" s="158" t="s">
        <v>238</v>
      </c>
      <c r="T178" s="158" t="s">
        <v>409</v>
      </c>
      <c r="U178" s="168" t="n">
        <f aca="false">((($I$141*$G$141)+($I$142*$G$142)+($I$143*$G$143)+($I$144*$G$144)+($I$145*$G$145)+($I$146*$G$146))/1000)*$J$120</f>
        <v>49.336</v>
      </c>
      <c r="V178" s="168" t="n">
        <v>100</v>
      </c>
      <c r="W178" s="169" t="n">
        <f aca="false">ROUNDUP((U178)/100,0)</f>
        <v>1</v>
      </c>
    </row>
    <row r="179" s="96" customFormat="true" ht="18" hidden="false" customHeight="true" outlineLevel="0" collapsed="false">
      <c r="A179" s="170" t="n">
        <f aca="false">IF(B179="","",+A178+1)</f>
        <v>5</v>
      </c>
      <c r="B179" s="131" t="s">
        <v>430</v>
      </c>
      <c r="C179" s="131" t="s">
        <v>431</v>
      </c>
      <c r="D179" s="132" t="n">
        <v>9</v>
      </c>
      <c r="E179" s="130"/>
      <c r="F179" s="130" t="n">
        <v>9</v>
      </c>
      <c r="G179" s="130" t="s">
        <v>405</v>
      </c>
      <c r="H179" s="130" t="n">
        <v>110</v>
      </c>
      <c r="I179" s="133"/>
      <c r="J179" s="134" t="n">
        <f aca="false">$J$120*H179</f>
        <v>110</v>
      </c>
      <c r="N179" s="107" t="s">
        <v>427</v>
      </c>
      <c r="O179" s="62" t="s">
        <v>428</v>
      </c>
      <c r="P179" s="62" t="s">
        <v>429</v>
      </c>
      <c r="Q179" s="316" t="s">
        <v>240</v>
      </c>
      <c r="R179" s="158"/>
      <c r="S179" s="317" t="s">
        <v>240</v>
      </c>
      <c r="T179" s="158" t="s">
        <v>409</v>
      </c>
      <c r="U179" s="168" t="n">
        <f aca="false">((($I$141*$G$141)+($I$142*$G$142)+($I$143*$G$143)+($I$144*$G$144)+($I$145*$G$145)+($I$146*$G$146))/1000)*$J$120</f>
        <v>49.336</v>
      </c>
      <c r="V179" s="168" t="n">
        <v>100</v>
      </c>
      <c r="W179" s="169" t="n">
        <f aca="false">ROUNDUP((U179)/100,0)</f>
        <v>1</v>
      </c>
    </row>
    <row r="180" s="96" customFormat="true" ht="18" hidden="false" customHeight="true" outlineLevel="0" collapsed="false">
      <c r="A180" s="170" t="n">
        <f aca="false">IF(B180="","",+A179+1)</f>
        <v>6</v>
      </c>
      <c r="B180" s="131" t="s">
        <v>603</v>
      </c>
      <c r="C180" s="131" t="s">
        <v>438</v>
      </c>
      <c r="D180" s="132" t="s">
        <v>4</v>
      </c>
      <c r="E180" s="130"/>
      <c r="F180" s="130" t="s">
        <v>4</v>
      </c>
      <c r="G180" s="130" t="s">
        <v>434</v>
      </c>
      <c r="H180" s="130" t="n">
        <v>2</v>
      </c>
      <c r="I180" s="133"/>
      <c r="J180" s="134" t="n">
        <f aca="false">$J$120*H180</f>
        <v>2</v>
      </c>
    </row>
    <row r="181" s="96" customFormat="true" ht="18" hidden="false" customHeight="true" outlineLevel="0" collapsed="false">
      <c r="A181" s="170" t="n">
        <f aca="false">IF(B181="","",+A180+1)</f>
        <v>7</v>
      </c>
      <c r="B181" s="131" t="s">
        <v>556</v>
      </c>
      <c r="C181" s="131" t="s">
        <v>557</v>
      </c>
      <c r="D181" s="132" t="s">
        <v>5</v>
      </c>
      <c r="E181" s="130"/>
      <c r="F181" s="130" t="s">
        <v>5</v>
      </c>
      <c r="G181" s="130" t="s">
        <v>434</v>
      </c>
      <c r="H181" s="130" t="n">
        <v>2</v>
      </c>
      <c r="I181" s="133"/>
      <c r="J181" s="134" t="n">
        <f aca="false">$J$120*H181</f>
        <v>2</v>
      </c>
    </row>
    <row r="182" s="96" customFormat="true" ht="18" hidden="false" customHeight="true" outlineLevel="0" collapsed="false">
      <c r="A182" s="170" t="n">
        <f aca="false">IF(B182="","",+A193+1)</f>
        <v>1</v>
      </c>
      <c r="B182" s="131" t="s">
        <v>512</v>
      </c>
      <c r="C182" s="131" t="s">
        <v>513</v>
      </c>
      <c r="D182" s="132" t="s">
        <v>7</v>
      </c>
      <c r="E182" s="130"/>
      <c r="F182" s="130" t="s">
        <v>7</v>
      </c>
      <c r="G182" s="130" t="s">
        <v>434</v>
      </c>
      <c r="H182" s="130" t="n">
        <v>1</v>
      </c>
      <c r="I182" s="133"/>
      <c r="J182" s="134" t="n">
        <f aca="false">$J$120*H182</f>
        <v>1</v>
      </c>
    </row>
    <row r="183" s="96" customFormat="true" ht="18" hidden="false" customHeight="true" outlineLevel="0" collapsed="false">
      <c r="A183" s="170" t="n">
        <f aca="false">IF(B183="","",+A182+1)</f>
        <v>2</v>
      </c>
      <c r="B183" s="131" t="s">
        <v>740</v>
      </c>
      <c r="C183" s="131" t="s">
        <v>741</v>
      </c>
      <c r="D183" s="132" t="s">
        <v>8</v>
      </c>
      <c r="E183" s="130"/>
      <c r="F183" s="130" t="s">
        <v>8</v>
      </c>
      <c r="G183" s="130" t="s">
        <v>434</v>
      </c>
      <c r="H183" s="130" t="n">
        <v>1</v>
      </c>
      <c r="I183" s="133"/>
      <c r="J183" s="134" t="n">
        <f aca="false">$J$120*H183</f>
        <v>1</v>
      </c>
    </row>
    <row r="184" s="96" customFormat="true" ht="18" hidden="false" customHeight="true" outlineLevel="0" collapsed="false">
      <c r="A184" s="170" t="n">
        <f aca="false">IF(B184="","",+A182+1)</f>
        <v>2</v>
      </c>
      <c r="B184" s="131" t="s">
        <v>554</v>
      </c>
      <c r="C184" s="131" t="s">
        <v>555</v>
      </c>
      <c r="D184" s="132" t="s">
        <v>11</v>
      </c>
      <c r="E184" s="130"/>
      <c r="F184" s="130" t="s">
        <v>11</v>
      </c>
      <c r="G184" s="130" t="s">
        <v>434</v>
      </c>
      <c r="H184" s="130" t="n">
        <v>3</v>
      </c>
      <c r="I184" s="133"/>
      <c r="J184" s="134" t="n">
        <f aca="false">$J$120*H184</f>
        <v>3</v>
      </c>
      <c r="Q184" s="172"/>
      <c r="R184" s="172"/>
      <c r="S184" s="172"/>
      <c r="T184" s="97"/>
      <c r="U184" s="97"/>
      <c r="V184" s="97"/>
    </row>
    <row r="185" s="96" customFormat="true" ht="18" hidden="false" customHeight="true" outlineLevel="0" collapsed="false">
      <c r="A185" s="170" t="n">
        <f aca="false">IF(B185="","",+A184+1)</f>
        <v>3</v>
      </c>
      <c r="B185" s="131" t="s">
        <v>439</v>
      </c>
      <c r="C185" s="131" t="s">
        <v>440</v>
      </c>
      <c r="D185" s="132" t="s">
        <v>12</v>
      </c>
      <c r="E185" s="130"/>
      <c r="F185" s="130" t="s">
        <v>12</v>
      </c>
      <c r="G185" s="130" t="s">
        <v>434</v>
      </c>
      <c r="H185" s="130" t="n">
        <v>4</v>
      </c>
      <c r="I185" s="142"/>
      <c r="J185" s="134" t="n">
        <f aca="false">$J$120*H185</f>
        <v>4</v>
      </c>
      <c r="N185" s="107" t="s">
        <v>289</v>
      </c>
      <c r="O185" s="165" t="s">
        <v>320</v>
      </c>
      <c r="P185" s="165" t="s">
        <v>168</v>
      </c>
      <c r="Q185" s="165" t="s">
        <v>397</v>
      </c>
      <c r="R185" s="165" t="s">
        <v>321</v>
      </c>
      <c r="S185" s="165" t="s">
        <v>398</v>
      </c>
      <c r="T185" s="165" t="s">
        <v>399</v>
      </c>
      <c r="U185" s="165" t="s">
        <v>400</v>
      </c>
      <c r="V185" s="165" t="s">
        <v>401</v>
      </c>
      <c r="W185" s="165" t="s">
        <v>402</v>
      </c>
    </row>
    <row r="186" s="96" customFormat="true" ht="18" hidden="false" customHeight="true" outlineLevel="0" collapsed="false">
      <c r="A186" s="170" t="n">
        <f aca="false">IF(B186="","",+A198+1)</f>
        <v>1</v>
      </c>
      <c r="B186" s="131" t="s">
        <v>441</v>
      </c>
      <c r="C186" s="131" t="s">
        <v>442</v>
      </c>
      <c r="D186" s="132" t="s">
        <v>274</v>
      </c>
      <c r="E186" s="130"/>
      <c r="F186" s="130" t="s">
        <v>274</v>
      </c>
      <c r="G186" s="130" t="s">
        <v>405</v>
      </c>
      <c r="H186" s="130" t="n">
        <v>8</v>
      </c>
      <c r="I186" s="133"/>
      <c r="J186" s="134" t="n">
        <f aca="false">$J$120*H186</f>
        <v>8</v>
      </c>
      <c r="N186" s="107" t="s">
        <v>445</v>
      </c>
      <c r="O186" s="62" t="s">
        <v>446</v>
      </c>
      <c r="P186" s="62" t="s">
        <v>447</v>
      </c>
      <c r="Q186" s="55" t="s">
        <v>230</v>
      </c>
      <c r="R186" s="158"/>
      <c r="S186" s="158" t="s">
        <v>230</v>
      </c>
      <c r="T186" s="158" t="s">
        <v>409</v>
      </c>
      <c r="U186" s="168" t="n">
        <f aca="false">((($I$134*$G$134)+($I$136*$G$136)+($I$139*$G$139))/1000)*$J$120</f>
        <v>14.758</v>
      </c>
      <c r="V186" s="168" t="n">
        <v>300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2</v>
      </c>
      <c r="B187" s="131" t="s">
        <v>443</v>
      </c>
      <c r="C187" s="131" t="s">
        <v>444</v>
      </c>
      <c r="D187" s="132" t="s">
        <v>272</v>
      </c>
      <c r="E187" s="130"/>
      <c r="F187" s="130" t="s">
        <v>272</v>
      </c>
      <c r="G187" s="130" t="s">
        <v>405</v>
      </c>
      <c r="H187" s="130" t="n">
        <v>1</v>
      </c>
      <c r="I187" s="133"/>
      <c r="J187" s="134" t="n">
        <f aca="false">$J$120*H187</f>
        <v>1</v>
      </c>
      <c r="N187" s="107" t="s">
        <v>448</v>
      </c>
      <c r="O187" s="62" t="s">
        <v>449</v>
      </c>
      <c r="P187" s="62" t="s">
        <v>450</v>
      </c>
      <c r="Q187" s="55" t="s">
        <v>451</v>
      </c>
      <c r="R187" s="158"/>
      <c r="S187" s="158" t="s">
        <v>451</v>
      </c>
      <c r="T187" s="158" t="s">
        <v>409</v>
      </c>
      <c r="U187" s="168" t="n">
        <f aca="false">((($I$134*$G$134)+($I$136*$G$136)+($I$139*$G$139))/1000)*$J$120</f>
        <v>14.758</v>
      </c>
      <c r="V187" s="168" t="n">
        <v>100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IF(B188="","",+A199+1)</f>
        <v>1</v>
      </c>
      <c r="B188" s="131" t="s">
        <v>403</v>
      </c>
      <c r="C188" s="131" t="s">
        <v>404</v>
      </c>
      <c r="D188" s="132" t="s">
        <v>276</v>
      </c>
      <c r="E188" s="130"/>
      <c r="F188" s="130" t="s">
        <v>276</v>
      </c>
      <c r="G188" s="130" t="s">
        <v>405</v>
      </c>
      <c r="H188" s="130" t="n">
        <v>4</v>
      </c>
      <c r="I188" s="133"/>
      <c r="J188" s="134" t="n">
        <f aca="false">$J$120*H188</f>
        <v>4</v>
      </c>
      <c r="N188" s="107" t="s">
        <v>445</v>
      </c>
      <c r="O188" s="62" t="s">
        <v>452</v>
      </c>
      <c r="P188" s="62" t="s">
        <v>453</v>
      </c>
      <c r="Q188" s="55" t="s">
        <v>232</v>
      </c>
      <c r="R188" s="158"/>
      <c r="S188" s="158" t="s">
        <v>232</v>
      </c>
      <c r="T188" s="158" t="s">
        <v>409</v>
      </c>
      <c r="U188" s="168" t="n">
        <f aca="false">((($I$141*$G$141*2)+($I$143*$G$143*2)+($I$144*$G$144*2))/1000)*$J$120</f>
        <v>77.032</v>
      </c>
      <c r="V188" s="168" t="n">
        <v>350</v>
      </c>
      <c r="W188" s="169" t="n">
        <f aca="false">ROUNDUP((U188)/V188,0)</f>
        <v>1</v>
      </c>
    </row>
    <row r="189" s="96" customFormat="true" ht="18" hidden="false" customHeight="true" outlineLevel="0" collapsed="false">
      <c r="A189" s="170" t="n">
        <f aca="false">IF(B189="","",+A197+1)</f>
        <v>1</v>
      </c>
      <c r="B189" s="132" t="str">
        <f aca="false">IF($D$129="Standard",$O$186,IF($D$129="Soumdproof",$O$187,))</f>
        <v>ยางเฟรมกันน้ำ (ธรรมดา)</v>
      </c>
      <c r="C189" s="132" t="str">
        <f aca="false">IF($D$129="Standard",$P$186,IF($D$129="Soumdproof",$P$187,))</f>
        <v>FRAME SEAL (Standard)</v>
      </c>
      <c r="D189" s="132" t="str">
        <f aca="false">IF($D$129="Standard",$Q$186,IF($D$129="Soumdproof",$Q$187,))</f>
        <v>02-026</v>
      </c>
      <c r="E189" s="130" t="n">
        <f aca="false">IF($D$129="Standard",R191,IF($D$129="Soumdproof",R192,))</f>
        <v>0</v>
      </c>
      <c r="F189" s="130" t="str">
        <f aca="false">IF($D$129="Standard",$S$186,IF($D$129="Soumdproof",$S$187,))</f>
        <v>02-026</v>
      </c>
      <c r="G189" s="130" t="str">
        <f aca="false">IF($D$129="Standard",$T$186,IF($D$129="Soumdproof",$T$187,))</f>
        <v>M</v>
      </c>
      <c r="H189" s="173" t="n">
        <f aca="false">IF($D$129="Standard",$U$186,IF($D$129="Soumdproof",$U$187,))</f>
        <v>14.758</v>
      </c>
      <c r="I189" s="174" t="n">
        <f aca="false">IF($D$129="Standard",$V$186,IF($D$129="Soumdproof",$V$187,))</f>
        <v>300</v>
      </c>
      <c r="J189" s="175" t="n">
        <f aca="false">ROUNDUP((H189)/100,0)</f>
        <v>1</v>
      </c>
      <c r="N189" s="107" t="s">
        <v>448</v>
      </c>
      <c r="O189" s="62" t="s">
        <v>454</v>
      </c>
      <c r="P189" s="62" t="s">
        <v>455</v>
      </c>
      <c r="Q189" s="55" t="s">
        <v>456</v>
      </c>
      <c r="R189" s="158"/>
      <c r="S189" s="158" t="s">
        <v>456</v>
      </c>
      <c r="T189" s="158" t="s">
        <v>409</v>
      </c>
      <c r="U189" s="168" t="n">
        <f aca="false">((($I$141*$G$141*2)+($I$143*$G$143*2)+($I$144*$G$144*2))/1000)*$J$120</f>
        <v>77.032</v>
      </c>
      <c r="V189" s="168" t="n">
        <v>100</v>
      </c>
      <c r="W189" s="169" t="n">
        <f aca="false">ROUNDUP((U189)/V189,0)</f>
        <v>1</v>
      </c>
    </row>
    <row r="190" s="96" customFormat="true" ht="18" hidden="false" customHeight="true" outlineLevel="0" collapsed="false">
      <c r="A190" s="170" t="n">
        <f aca="false">IF(B190="","",+A189+1)</f>
        <v>2</v>
      </c>
      <c r="B190" s="132" t="str">
        <f aca="false">IF($D$129="Standard",$O$188,IF($D$129="Soumdproof",$O$189,))</f>
        <v>ยางแซชกันน้ำ (ธรรมดา)</v>
      </c>
      <c r="C190" s="132" t="str">
        <f aca="false">IF($D$129="Standard",$P$188,IF($D$129="Soumdproof",$P$189,))</f>
        <v>SASH SEAL FOAM (Standard)</v>
      </c>
      <c r="D190" s="132" t="str">
        <f aca="false">IF($D$129="Standard",$Q$188,IF($D$129="Soumdproof",$Q$189,))</f>
        <v>02-031</v>
      </c>
      <c r="E190" s="130" t="n">
        <f aca="false">IF($D$129="Standard",R193,IF($D$129="Soumdproof",R194,))</f>
        <v>0</v>
      </c>
      <c r="F190" s="130" t="str">
        <f aca="false">IF($D$129="Standard",$S$188,IF($D$129="Soumdproof",$S$189,))</f>
        <v>02-031</v>
      </c>
      <c r="G190" s="130" t="str">
        <f aca="false">IF($D$129="Standard",$T$188,IF($D$129="Soumdproof",$T$189,))</f>
        <v>M</v>
      </c>
      <c r="H190" s="173" t="n">
        <f aca="false">IF($D$129="Standard",$U$188,IF($D$129="Soumdproof",$U$189,))</f>
        <v>77.032</v>
      </c>
      <c r="I190" s="174" t="n">
        <f aca="false">IF($D$129="Standard",$V$188,IF($D$129="Soumdproof",$V$189,))</f>
        <v>350</v>
      </c>
      <c r="J190" s="175" t="n">
        <f aca="false">ROUNDUP((H190)/100,0)</f>
        <v>1</v>
      </c>
    </row>
    <row r="191" s="96" customFormat="true" ht="18" hidden="false" customHeight="true" outlineLevel="0" collapsed="false">
      <c r="A191" s="170" t="n">
        <f aca="false">IF(B191="","",+A190+1)</f>
        <v>3</v>
      </c>
      <c r="B191" s="176" t="str">
        <f aca="false">IF($D$127=5,$O$177,IF($D$127=6,$O$178,IF($D$127=8,$O$179,IF($D$127=10,$O$177,IF($D$127=12,$O$177,IF($D$127=14,$O$179,IF($D$127=18,$O$177,IF($D$127=20,$O$178,IF($D$127=22,"")))))))))</f>
        <v>6,20 mm ยางอัดกระจก</v>
      </c>
      <c r="C191" s="176" t="str">
        <f aca="false">IF($D$127=5,$P$177,IF($D$127=6,$P$178,IF($D$127=8,$P$179,IF($D$127=10,$P$177,IF($D$127=12,$P$177,IF($D$127=14,$P$179,IF($D$127=18,$P$177,IF($D$127=20,$P$178,IF($D$127=22,"")))))))))</f>
        <v>6,20 mm ROLL IN WEDGE</v>
      </c>
      <c r="D191" s="176" t="str">
        <f aca="false">IF($D$127=5,$Q$177,IF($D$127=6,$Q$178,IF($D$127=8,$Q$179,IF($D$127=10,$Q$177,IF($D$127=12,$Q$177,IF($D$127=14,$Q$179,IF($D$127=18,$Q$177,IF($D$127=20,$Q$178,IF($D$127=22,"")))))))))</f>
        <v>02-034</v>
      </c>
      <c r="E191" s="176" t="n">
        <f aca="false">IF($D$127=5,R182,IF($D$127=6,R183,IF($D$127=8,R184,IF($D$127=10,R182,IF($D$127=12,R182,IF($D$127=14,R184,IF($D$127=18,R182,IF($D$127=20,R183,IF($D$127=22,"",)))))))))</f>
        <v>0</v>
      </c>
      <c r="F191" s="167" t="str">
        <f aca="false">IF($D$127=5,$S$177,IF($D$127=6,$S$178,IF($D$127=8,$S$179,IF($D$127=10,$S$177,IF($D$127=12,$S$177,IF($D$127=14,$S$179,IF($D$127=18,$S$177,IF($D$127=20,$S$178,IF($D$127=22,"")))))))))</f>
        <v>02-034</v>
      </c>
      <c r="G191" s="167" t="str">
        <f aca="false">IF($D$127=5,$T$177,IF($D$127=6,$T$178,IF($D$127=8,$T$179,IF($D$127=10,$T$177,IF($D$127=12,$T$177,IF($D$127=14,$T$179,IF($D$127=18,$T$177,IF($D$127=20,$T$178,IF($D$127=22,"")))))))))</f>
        <v>M</v>
      </c>
      <c r="H191" s="173" t="n">
        <f aca="false">IF($D$127=5,$U$177,IF($D$127=6,$U$178,IF($D$127=8,$U$179,IF($D$127=10,$U$177*2,IF($D$127=12,$U$177,IF($D$127=14,$U$179*2,IF($D$127=18,$U$177,IF($D$127=20,$U$178,IF($D$127=22,"")))))))))</f>
        <v>49.336</v>
      </c>
      <c r="I191" s="174" t="n">
        <f aca="false">IF($D$127=5,$V$177,IF($D$127=6,$V$178,IF($D$127=8,$V$179,IF($D$127=10,$V$177,IF($D$127=12,$V$177,IF($D$127=14,$V$179,IF($D$127=18,$V$177,IF($D$127=20,$V$178,IF($D$127=22,"")))))))))</f>
        <v>100</v>
      </c>
      <c r="J191" s="175" t="n">
        <f aca="false">ROUNDUP((H191)/100,0)</f>
        <v>1</v>
      </c>
    </row>
    <row r="192" s="96" customFormat="true" ht="18" hidden="false" customHeight="true" outlineLevel="0" collapsed="false">
      <c r="A192" s="170" t="n">
        <f aca="false">IF(B192="","",+A191+1)</f>
        <v>4</v>
      </c>
      <c r="B192" s="176" t="str">
        <f aca="false">IF($D$127=5,$O$175,IF($D$127=6,$O$175,IF($D$127=8,$O$177,IF($D$127=10,"",IF($D$127=12,$O$176,IF($D$127=14,"",IF($D$127=18,$O$175,IF($D$127=20,$O$176,IF($D$127=22,"",)))))))))</f>
        <v>5,6,18 mm ยางรองกระจก</v>
      </c>
      <c r="C192" s="176" t="str">
        <f aca="false">IF($D$127=5,$P$175,IF($D$127=6,$P$175,IF($D$127=8,$P$177,IF($D$127=10,"",IF($D$127=12,$P$176,IF($D$127=14,"",IF($D$127=18,$P$175,IF($D$127=20,$P$176,IF($D$127=22,"",)))))))))</f>
        <v>5,6,18 mm CAPTIVE WEDGE</v>
      </c>
      <c r="D192" s="176" t="str">
        <f aca="false">IF($D$127=5,$Q$175,IF($D$127=6,$Q$175,IF($D$127=8,$Q$177,IF($D$127=10,"",IF($D$127=12,$Q$176,IF($D$127=14,"",IF($D$127=18,$Q$175,IF($D$127=20,$Q$176,IF($D$127=22,"",)))))))))</f>
        <v>02-022</v>
      </c>
      <c r="E192" s="176" t="n">
        <f aca="false">IF($D$127=5,R180,IF($D$127=6,R180,IF($D$127=8,R182,IF($D$127=10,"",IF($D$127=12,R181,IF($D$127=14,"",IF($D$127=18,R180,IF($D$127=20,R181,IF($D$127=22,"",)))))))))</f>
        <v>0</v>
      </c>
      <c r="F192" s="167" t="str">
        <f aca="false">IF($D$127=5,$S$175,IF($D$127=6,$S$175,IF($D$127=8,$S$177,IF($D$127=10,"",IF($D$127=12,$S$176,IF($D$127=14,"",IF($D$127=18,$S$175,IF($D$127=20,$S$176,IF($D$127=22,"",)))))))))</f>
        <v>02-022</v>
      </c>
      <c r="G192" s="167" t="str">
        <f aca="false">IF($D$127=5,$T$175,IF($D$127=6,$T$175,IF($D$127=8,$T$177,IF($D$127=10,"",IF($D$127=12,$T$176,IF($D$127=14,"",IF($D$127=18,$T$175,IF($D$127=20,$T$176,IF($D$127=22,"",)))))))))</f>
        <v>M</v>
      </c>
      <c r="H192" s="173" t="n">
        <f aca="false">IF($D$127=5,$U$175,IF($D$127=6,$U$175,IF($D$127=8,$U$177,IF($D$127=10,"",IF($D$127=12,$U$176,IF($D$127=14,"",IF($D$127=18,$U$175,IF($D$127=20,$U$176,IF($D$127=22,"")))))))))</f>
        <v>49.336</v>
      </c>
      <c r="I192" s="174" t="n">
        <f aca="false">IF($D$127=5,$V$175,IF($D$127=6,$V$175,IF($D$127=8,$V$177,IF($D$127=10,"",IF($D$127=12,$V$176,IF($D$127=14,"",IF($D$127=18,$V$175,IF($D$127=20,$V$176,IF($D$127=22,"",)))))))))</f>
        <v>100</v>
      </c>
      <c r="J192" s="175" t="n">
        <f aca="false">ROUNDUP((H192)/100,0)</f>
        <v>1</v>
      </c>
    </row>
    <row r="193" s="96" customFormat="true" ht="18" hidden="false" customHeight="true" outlineLevel="0" collapsed="false">
      <c r="A193" s="170"/>
      <c r="B193" s="131"/>
      <c r="C193" s="131"/>
      <c r="D193" s="132"/>
      <c r="E193" s="130"/>
      <c r="F193" s="130"/>
      <c r="G193" s="130"/>
      <c r="H193" s="130"/>
      <c r="I193" s="133"/>
      <c r="J193" s="134"/>
    </row>
    <row r="194" s="96" customFormat="true" ht="18" hidden="false" customHeight="true" outlineLevel="0" collapsed="false">
      <c r="A194" s="170"/>
      <c r="B194" s="131"/>
      <c r="C194" s="131"/>
      <c r="D194" s="132"/>
      <c r="E194" s="130"/>
      <c r="F194" s="130"/>
      <c r="G194" s="130"/>
      <c r="H194" s="130"/>
      <c r="I194" s="133"/>
      <c r="J194" s="134"/>
    </row>
    <row r="195" customFormat="false" ht="18" hidden="false" customHeight="true" outlineLevel="0" collapsed="false">
      <c r="A195" s="170"/>
      <c r="B195" s="131"/>
      <c r="C195" s="131"/>
      <c r="D195" s="132"/>
      <c r="E195" s="130"/>
      <c r="F195" s="130"/>
      <c r="G195" s="130"/>
      <c r="H195" s="130"/>
      <c r="I195" s="133"/>
      <c r="J195" s="134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</row>
    <row r="196" s="96" customFormat="true" ht="18" hidden="false" customHeight="true" outlineLevel="0" collapsed="false">
      <c r="A196" s="170"/>
      <c r="B196" s="131"/>
      <c r="C196" s="131"/>
      <c r="D196" s="132"/>
      <c r="E196" s="130"/>
      <c r="F196" s="130"/>
      <c r="G196" s="130"/>
      <c r="H196" s="173"/>
      <c r="I196" s="174"/>
      <c r="J196" s="175"/>
    </row>
    <row r="197" s="96" customFormat="true" ht="18" hidden="false" customHeight="true" outlineLevel="0" collapsed="false">
      <c r="A197" s="170"/>
      <c r="B197" s="131"/>
      <c r="C197" s="131"/>
      <c r="D197" s="132"/>
      <c r="E197" s="130"/>
      <c r="F197" s="130"/>
      <c r="G197" s="130"/>
      <c r="H197" s="173"/>
      <c r="I197" s="174"/>
      <c r="J197" s="175"/>
    </row>
    <row r="198" s="96" customFormat="true" ht="18" hidden="false" customHeight="true" outlineLevel="0" collapsed="false">
      <c r="A198" s="170"/>
      <c r="B198" s="131"/>
      <c r="C198" s="131"/>
      <c r="D198" s="132"/>
      <c r="E198" s="130"/>
      <c r="F198" s="130"/>
      <c r="G198" s="130"/>
      <c r="H198" s="130"/>
      <c r="I198" s="142"/>
      <c r="J198" s="134"/>
    </row>
    <row r="199" s="96" customFormat="true" ht="18" hidden="false" customHeight="true" outlineLevel="0" collapsed="false">
      <c r="A199" s="170"/>
      <c r="B199" s="131"/>
      <c r="C199" s="131"/>
      <c r="D199" s="132"/>
      <c r="E199" s="130"/>
      <c r="F199" s="130"/>
      <c r="G199" s="130"/>
      <c r="H199" s="130"/>
      <c r="I199" s="133"/>
      <c r="J199" s="134"/>
    </row>
    <row r="200" s="96" customFormat="true" ht="18" hidden="false" customHeight="true" outlineLevel="0" collapsed="false">
      <c r="A200" s="170" t="str">
        <f aca="false">IF(B200="","",+A192+1)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$J$120*G200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$J$120*G201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$J$120*G202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$J$120*G203</f>
        <v>0</v>
      </c>
    </row>
    <row r="204" s="96" customFormat="true" ht="18" hidden="false" customHeight="true" outlineLevel="0" collapsed="false">
      <c r="A204" s="170" t="str">
        <f aca="false">IF(B204="","",+""+1)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$J$120*G204</f>
        <v>0</v>
      </c>
    </row>
    <row r="205" s="96" customFormat="true" ht="18" hidden="false" customHeight="true" outlineLevel="0" collapsed="false">
      <c r="A205" s="179" t="str">
        <f aca="false">IF(B205="","",+A204+1)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$J$120*G205</f>
        <v>0</v>
      </c>
    </row>
    <row r="206" customFormat="false" ht="18" hidden="false" customHeight="true" outlineLevel="0" collapsed="false">
      <c r="A206" s="200"/>
      <c r="B206" s="98"/>
      <c r="C206" s="96"/>
      <c r="D206" s="98"/>
      <c r="E206" s="97"/>
      <c r="F206" s="98"/>
      <c r="G206" s="98"/>
      <c r="H206" s="98"/>
      <c r="I206" s="196"/>
      <c r="J206" s="196"/>
    </row>
    <row r="207" customFormat="false" ht="12.75" hidden="false" customHeight="true" outlineLevel="0" collapsed="false">
      <c r="A207" s="97"/>
      <c r="J207" s="92" t="str">
        <f aca="false">LEFT($J$111,11)&amp;"-02"</f>
        <v>FG-240-8P8R-02</v>
      </c>
      <c r="K207" s="78"/>
      <c r="L207" s="78"/>
      <c r="M207" s="79"/>
      <c r="N207" s="79"/>
    </row>
    <row r="208" customFormat="false" ht="30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83"/>
      <c r="L208" s="83"/>
      <c r="M208" s="79"/>
      <c r="N208" s="79"/>
    </row>
    <row r="209" customFormat="false" ht="24.75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M210" s="87"/>
      <c r="N210" s="87"/>
    </row>
    <row r="211" s="96" customFormat="true" ht="1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318" t="str">
        <f aca="false">$J$4</f>
        <v>240 Series Bi Fold Door </v>
      </c>
      <c r="K211" s="87"/>
      <c r="L211" s="87"/>
      <c r="M211" s="87"/>
      <c r="N211" s="87"/>
    </row>
    <row r="212" s="96" customFormat="true" ht="24.7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</row>
    <row r="213" customFormat="false" ht="20.2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4" s="96" customFormat="true" ht="15" hidden="false" customHeight="true" outlineLevel="0" collapsed="false">
      <c r="D214" s="73"/>
      <c r="J214" s="74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458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6240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.7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461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6214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464</v>
      </c>
      <c r="D243" s="98"/>
      <c r="E243" s="97"/>
      <c r="F243" s="98"/>
      <c r="G243" s="97"/>
      <c r="H243" s="97"/>
      <c r="I243" s="196"/>
      <c r="J243" s="196"/>
    </row>
    <row r="244" s="96" customFormat="true" ht="1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.7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6240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97"/>
      <c r="H252" s="97"/>
      <c r="I252" s="196"/>
      <c r="J252" s="196"/>
    </row>
    <row r="253" s="96" customFormat="true" ht="15.75" hidden="false" customHeight="true" outlineLevel="0" collapsed="false">
      <c r="A253" s="191"/>
      <c r="B253" s="191"/>
      <c r="D253" s="192"/>
      <c r="E253" s="191"/>
      <c r="F253" s="191"/>
      <c r="G253" s="97"/>
      <c r="H253" s="97"/>
      <c r="I253" s="196"/>
      <c r="J253" s="196"/>
    </row>
    <row r="254" s="96" customFormat="true" ht="15.75" hidden="false" customHeight="true" outlineLevel="0" collapsed="false">
      <c r="A254" s="190"/>
      <c r="B254" s="190"/>
      <c r="C254" s="184" t="s">
        <v>465</v>
      </c>
      <c r="D254" s="194"/>
      <c r="E254" s="190"/>
      <c r="F254" s="189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459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460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5" t="n">
        <f aca="false">$I$136</f>
        <v>6240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7" t="n">
        <f aca="false">$J$136</f>
        <v>1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C262" s="98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184" t="s">
        <v>466</v>
      </c>
      <c r="D264" s="98"/>
      <c r="E264" s="97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522</v>
      </c>
      <c r="D265" s="181"/>
      <c r="E265" s="181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468</v>
      </c>
      <c r="D266" s="181"/>
      <c r="E266" s="181"/>
      <c r="F266" s="97"/>
      <c r="G266" s="97"/>
      <c r="H266" s="97"/>
      <c r="J266" s="97"/>
    </row>
    <row r="267" s="96" customFormat="true" ht="15.75" hidden="false" customHeight="true" outlineLevel="0" collapsed="false">
      <c r="A267" s="200"/>
      <c r="C267" s="185" t="n">
        <f aca="false">$I$137</f>
        <v>2400</v>
      </c>
      <c r="D267" s="98"/>
      <c r="E267" s="97"/>
      <c r="F267" s="97"/>
      <c r="J267" s="97"/>
    </row>
    <row r="268" s="96" customFormat="true" ht="15.75" hidden="false" customHeight="true" outlineLevel="0" collapsed="false">
      <c r="A268" s="200"/>
      <c r="C268" s="187" t="n">
        <f aca="false">$J$137+$J$138</f>
        <v>2</v>
      </c>
      <c r="D268" s="98"/>
      <c r="E268" s="97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H272" s="97"/>
      <c r="J272" s="97"/>
    </row>
    <row r="273" s="96" customFormat="true" ht="15.75" hidden="false" customHeight="true" outlineLevel="0" collapsed="false">
      <c r="A273" s="200"/>
      <c r="D273" s="181"/>
      <c r="E273" s="181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D274" s="98"/>
      <c r="E274" s="97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4" t="s">
        <v>469</v>
      </c>
      <c r="D275" s="201"/>
      <c r="E275" s="196"/>
      <c r="F275" s="97"/>
      <c r="G275" s="97"/>
      <c r="I275" s="196"/>
      <c r="J275" s="196"/>
    </row>
    <row r="276" s="96" customFormat="true" ht="15.75" hidden="false" customHeight="true" outlineLevel="0" collapsed="false">
      <c r="A276" s="200"/>
      <c r="C276" s="181" t="s">
        <v>470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1" t="s">
        <v>471</v>
      </c>
      <c r="D277" s="181"/>
      <c r="E277" s="181"/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5" t="n">
        <f aca="false">$I$139</f>
        <v>2304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C279" s="187" t="n">
        <f aca="false">$J$139+$J$140</f>
        <v>2</v>
      </c>
      <c r="F279" s="97"/>
      <c r="G279" s="97"/>
      <c r="I279" s="97"/>
      <c r="J279" s="196"/>
    </row>
    <row r="280" s="96" customFormat="true" ht="15.75" hidden="false" customHeight="true" outlineLevel="0" collapsed="false">
      <c r="A280" s="200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D281" s="98"/>
      <c r="E281" s="97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D282" s="98"/>
      <c r="E282" s="97"/>
      <c r="F282" s="97"/>
      <c r="G282" s="97"/>
      <c r="H282" s="97"/>
      <c r="J282" s="97"/>
    </row>
    <row r="283" s="96" customFormat="true" ht="15.75" hidden="false" customHeight="true" outlineLevel="0" collapsed="false">
      <c r="A283" s="200"/>
      <c r="F283" s="97"/>
      <c r="G283" s="97"/>
      <c r="H283" s="97"/>
      <c r="J283" s="97"/>
    </row>
    <row r="284" s="96" customFormat="true" ht="15.75" hidden="false" customHeight="true" outlineLevel="0" collapsed="false">
      <c r="A284" s="200"/>
      <c r="F284" s="97"/>
      <c r="G284" s="97"/>
      <c r="H284" s="97"/>
      <c r="I284" s="201"/>
      <c r="J284" s="196"/>
    </row>
    <row r="285" s="96" customFormat="true" ht="15.75" hidden="false" customHeight="true" outlineLevel="0" collapsed="false">
      <c r="A285" s="200"/>
      <c r="C285" s="184" t="s">
        <v>472</v>
      </c>
      <c r="F285" s="97"/>
      <c r="G285" s="97"/>
      <c r="H285" s="97"/>
      <c r="I285" s="97"/>
      <c r="J285" s="196"/>
    </row>
    <row r="286" s="96" customFormat="true" ht="15.75" hidden="false" customHeight="true" outlineLevel="0" collapsed="false">
      <c r="A286" s="200"/>
      <c r="C286" s="83" t="s">
        <v>742</v>
      </c>
      <c r="D286" s="98"/>
      <c r="E286" s="97"/>
      <c r="F286" s="97"/>
      <c r="G286" s="97"/>
      <c r="H286" s="97"/>
      <c r="I286" s="196"/>
      <c r="J286" s="196"/>
    </row>
    <row r="287" s="96" customFormat="true" ht="15.75" hidden="false" customHeight="true" outlineLevel="0" collapsed="false">
      <c r="A287" s="200"/>
      <c r="C287" s="181" t="s">
        <v>743</v>
      </c>
      <c r="D287" s="98"/>
      <c r="E287" s="97"/>
      <c r="F287" s="97"/>
      <c r="G287" s="97"/>
      <c r="H287" s="97"/>
      <c r="I287" s="196"/>
      <c r="J287" s="196"/>
    </row>
    <row r="288" s="202" customFormat="true" ht="15.75" hidden="false" customHeight="true" outlineLevel="0" collapsed="false">
      <c r="A288" s="200"/>
      <c r="B288" s="96"/>
      <c r="C288" s="181" t="s">
        <v>475</v>
      </c>
      <c r="D288" s="181"/>
      <c r="E288" s="181"/>
      <c r="F288" s="97"/>
      <c r="G288" s="97"/>
      <c r="H288" s="96"/>
      <c r="I288" s="196"/>
      <c r="J288" s="196"/>
    </row>
    <row r="289" s="96" customFormat="true" ht="15.75" hidden="false" customHeight="true" outlineLevel="0" collapsed="false">
      <c r="A289" s="200"/>
      <c r="C289" s="181" t="s">
        <v>476</v>
      </c>
      <c r="D289" s="181"/>
      <c r="E289" s="181"/>
      <c r="F289" s="97"/>
      <c r="G289" s="97"/>
      <c r="I289" s="97"/>
      <c r="J289" s="97"/>
    </row>
    <row r="290" s="96" customFormat="true" ht="15.75" hidden="false" customHeight="true" outlineLevel="0" collapsed="false">
      <c r="A290" s="200"/>
      <c r="C290" s="185" t="n">
        <f aca="false">$I$141</f>
        <v>775.5</v>
      </c>
      <c r="F290" s="97"/>
      <c r="G290" s="97"/>
      <c r="I290" s="191"/>
      <c r="J290" s="199"/>
    </row>
    <row r="291" s="96" customFormat="true" ht="15.75" hidden="false" customHeight="true" outlineLevel="0" collapsed="false">
      <c r="A291" s="200"/>
      <c r="C291" s="187" t="n">
        <f aca="false">$J$141+$J$142</f>
        <v>16</v>
      </c>
      <c r="D291" s="98"/>
      <c r="E291" s="97"/>
      <c r="F291" s="97"/>
      <c r="G291" s="97"/>
      <c r="H291" s="98"/>
      <c r="I291" s="189"/>
      <c r="J291" s="190"/>
    </row>
    <row r="292" s="96" customFormat="true" ht="15.75" hidden="false" customHeight="true" outlineLevel="0" collapsed="false">
      <c r="A292" s="200"/>
      <c r="C292" s="185" t="n">
        <f aca="false">$I$143</f>
        <v>2308</v>
      </c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C293" s="187" t="n">
        <f aca="false">$J$143+$J$144+$J$145+$J$146</f>
        <v>16</v>
      </c>
      <c r="D293" s="98"/>
      <c r="E293" s="97"/>
      <c r="F293" s="97"/>
      <c r="G293" s="97"/>
      <c r="H293" s="97"/>
      <c r="I293" s="196"/>
      <c r="J293" s="196"/>
    </row>
    <row r="294" s="96" customFormat="true" ht="15.75" hidden="false" customHeight="true" outlineLevel="0" collapsed="false">
      <c r="A294" s="200"/>
      <c r="D294" s="98"/>
      <c r="E294" s="97"/>
      <c r="F294" s="97"/>
      <c r="G294" s="97"/>
      <c r="H294" s="97"/>
      <c r="I294" s="196"/>
      <c r="J294" s="196"/>
    </row>
    <row r="295" s="96" customFormat="true" ht="15.75" hidden="false" customHeight="true" outlineLevel="0" collapsed="false">
      <c r="A295" s="200"/>
      <c r="D295" s="98"/>
      <c r="E295" s="97"/>
      <c r="F295" s="97"/>
      <c r="G295" s="97"/>
      <c r="H295" s="97"/>
      <c r="I295" s="97"/>
      <c r="J295" s="196"/>
    </row>
    <row r="296" s="96" customFormat="true" ht="15.75" hidden="false" customHeight="true" outlineLevel="0" collapsed="false">
      <c r="A296" s="200"/>
      <c r="C296" s="202"/>
      <c r="D296" s="98"/>
      <c r="E296" s="97"/>
      <c r="F296" s="97"/>
      <c r="G296" s="97"/>
      <c r="H296" s="97"/>
      <c r="I296" s="97"/>
      <c r="J296" s="196"/>
    </row>
    <row r="297" s="96" customFormat="true" ht="15.75" hidden="false" customHeight="true" outlineLevel="0" collapsed="false">
      <c r="A297" s="200"/>
      <c r="C297" s="184" t="s">
        <v>477</v>
      </c>
      <c r="D297" s="98"/>
      <c r="E297" s="97"/>
      <c r="F297" s="97"/>
      <c r="G297" s="97"/>
      <c r="H297" s="97"/>
      <c r="I297" s="97"/>
      <c r="J297" s="196"/>
    </row>
    <row r="298" s="96" customFormat="true" ht="15.75" hidden="false" customHeight="true" outlineLevel="0" collapsed="false">
      <c r="A298" s="200"/>
      <c r="C298" s="83" t="s">
        <v>742</v>
      </c>
      <c r="D298" s="98"/>
      <c r="E298" s="97"/>
      <c r="F298" s="97"/>
      <c r="G298" s="191"/>
      <c r="H298" s="191"/>
      <c r="I298" s="97"/>
      <c r="J298" s="196"/>
    </row>
    <row r="299" s="96" customFormat="true" ht="15.75" hidden="false" customHeight="true" outlineLevel="0" collapsed="false">
      <c r="A299" s="200"/>
      <c r="C299" s="181" t="s">
        <v>743</v>
      </c>
      <c r="D299" s="181"/>
      <c r="E299" s="181"/>
      <c r="F299" s="97"/>
      <c r="G299" s="190"/>
      <c r="H299" s="189"/>
      <c r="I299" s="97"/>
      <c r="J299" s="196"/>
    </row>
    <row r="300" s="96" customFormat="true" ht="15.75" hidden="false" customHeight="true" outlineLevel="0" collapsed="false">
      <c r="A300" s="107"/>
      <c r="C300" s="181" t="s">
        <v>478</v>
      </c>
      <c r="D300" s="181"/>
      <c r="E300" s="181"/>
      <c r="F300" s="97"/>
      <c r="G300" s="97"/>
      <c r="H300" s="97"/>
      <c r="I300" s="97"/>
      <c r="J300" s="196"/>
    </row>
    <row r="301" s="96" customFormat="true" ht="15.75" hidden="false" customHeight="true" outlineLevel="0" collapsed="false">
      <c r="A301" s="191"/>
      <c r="B301" s="191"/>
      <c r="C301" s="181" t="s">
        <v>479</v>
      </c>
      <c r="D301" s="203"/>
      <c r="E301" s="204"/>
      <c r="F301" s="191"/>
      <c r="G301" s="97"/>
      <c r="H301" s="97"/>
      <c r="I301" s="97"/>
      <c r="J301" s="196"/>
    </row>
    <row r="302" s="96" customFormat="true" ht="15.75" hidden="false" customHeight="true" outlineLevel="0" collapsed="false">
      <c r="A302" s="190"/>
      <c r="B302" s="190"/>
      <c r="C302" s="185" t="n">
        <f aca="false">$I$147</f>
        <v>665.28125</v>
      </c>
      <c r="D302" s="205"/>
      <c r="E302" s="206"/>
      <c r="F302" s="189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7" t="n">
        <f aca="false">$J$147</f>
        <v>16</v>
      </c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C304" s="185" t="n">
        <f aca="false">$I$148</f>
        <v>2158</v>
      </c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C305" s="187" t="n">
        <f aca="false">$J$148</f>
        <v>16</v>
      </c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D306" s="98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D307" s="98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184" t="s">
        <v>744</v>
      </c>
      <c r="D308" s="98"/>
      <c r="E308" s="97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1" t="s">
        <v>475</v>
      </c>
      <c r="D309" s="181"/>
      <c r="E309" s="181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249" t="s">
        <v>476</v>
      </c>
      <c r="D310" s="249"/>
      <c r="E310" s="249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C311" s="185" t="n">
        <f aca="false">$I$149</f>
        <v>0</v>
      </c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C312" s="187" t="n">
        <f aca="false">$J$149+$J$150</f>
        <v>0</v>
      </c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customFormat="false" ht="12.75" hidden="false" customHeight="true" outlineLevel="0" collapsed="false">
      <c r="A314" s="200"/>
      <c r="B314" s="96"/>
      <c r="C314" s="96"/>
      <c r="D314" s="201"/>
      <c r="E314" s="196"/>
      <c r="F314" s="97"/>
      <c r="G314" s="97"/>
      <c r="H314" s="97"/>
      <c r="I314" s="200"/>
      <c r="J314" s="92" t="str">
        <f aca="false">LEFT($J$111,11)&amp;"-03"</f>
        <v>FG-240-8P8R-03</v>
      </c>
    </row>
    <row r="315" customFormat="false" ht="30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24.75" hidden="false" customHeight="true" outlineLevel="0" collapsed="false">
      <c r="A316" s="97"/>
      <c r="B316" s="49"/>
      <c r="C316" s="49"/>
      <c r="D316" s="207"/>
      <c r="E316" s="200"/>
      <c r="F316" s="200"/>
      <c r="G316" s="200"/>
      <c r="H316" s="200"/>
      <c r="I316" s="208"/>
      <c r="J316" s="77" t="str">
        <f aca="false">$J$2</f>
        <v>HOMELIFE</v>
      </c>
      <c r="K316" s="83"/>
      <c r="L316" s="83"/>
      <c r="M316" s="79"/>
      <c r="N316" s="79"/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M317" s="87"/>
      <c r="N317" s="87"/>
    </row>
    <row r="318" s="96" customFormat="true" ht="1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318" t="str">
        <f aca="false">$J$4</f>
        <v>240 Series Bi Fold Door </v>
      </c>
      <c r="K318" s="87"/>
      <c r="L318" s="87"/>
      <c r="M318" s="87"/>
      <c r="N318" s="87"/>
    </row>
    <row r="319" customFormat="false" ht="24.7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0.2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</row>
    <row r="321" s="96" customFormat="true" ht="15" hidden="false" customHeight="true" outlineLevel="0" collapsed="false">
      <c r="D321" s="73"/>
      <c r="J321" s="74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B324" s="81"/>
      <c r="D324" s="98"/>
      <c r="E324" s="83"/>
      <c r="F324" s="183"/>
      <c r="G324" s="183"/>
      <c r="H324" s="183"/>
      <c r="I324" s="83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240-8 Panel (8R)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.7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202" customFormat="true" ht="15.75" hidden="false" customHeight="true" outlineLevel="0" collapsed="false">
      <c r="A353" s="97"/>
      <c r="B353" s="96"/>
      <c r="C353" s="96"/>
      <c r="D353" s="98"/>
      <c r="E353" s="97"/>
      <c r="F353" s="97"/>
      <c r="G353" s="97"/>
      <c r="H353" s="195"/>
      <c r="I353" s="196"/>
      <c r="J353" s="196"/>
    </row>
    <row r="354" s="96" customFormat="true" ht="15.75" hidden="false" customHeight="true" outlineLevel="0" collapsed="false">
      <c r="A354" s="97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202" customFormat="true" ht="15.75" hidden="false" customHeight="true" outlineLevel="0" collapsed="false">
      <c r="A403" s="107"/>
      <c r="B403" s="96"/>
      <c r="C403" s="96"/>
      <c r="D403" s="98"/>
      <c r="E403" s="97"/>
      <c r="F403" s="97"/>
      <c r="G403" s="97"/>
      <c r="H403" s="97"/>
      <c r="I403" s="97"/>
      <c r="J403" s="97"/>
    </row>
    <row r="404" s="96" customFormat="true" ht="15.75" hidden="false" customHeight="true" outlineLevel="0" collapsed="false">
      <c r="A404" s="107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91"/>
      <c r="D405" s="98"/>
      <c r="E405" s="97"/>
      <c r="F405" s="97"/>
      <c r="G405" s="97"/>
      <c r="H405" s="97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  <c r="K416" s="214"/>
    </row>
    <row r="417" s="96" customFormat="true" ht="15.75" hidden="false" customHeight="true" outlineLevel="0" collapsed="false">
      <c r="A417" s="97"/>
      <c r="B417" s="191"/>
      <c r="C417" s="191"/>
      <c r="D417" s="192"/>
      <c r="E417" s="191"/>
      <c r="F417" s="191"/>
      <c r="G417" s="191"/>
      <c r="H417" s="191"/>
      <c r="I417" s="196"/>
      <c r="J417" s="196"/>
    </row>
    <row r="418" customFormat="false" ht="18" hidden="false" customHeight="true" outlineLevel="0" collapsed="false">
      <c r="A418" s="97"/>
      <c r="B418" s="96"/>
      <c r="C418" s="96"/>
      <c r="D418" s="98"/>
      <c r="E418" s="97"/>
      <c r="F418" s="97"/>
      <c r="G418" s="97"/>
      <c r="H418" s="97"/>
      <c r="I418" s="196"/>
      <c r="J418" s="96"/>
      <c r="K418" s="78"/>
      <c r="L418" s="78"/>
      <c r="M418" s="79"/>
      <c r="N418" s="79"/>
    </row>
    <row r="419" customFormat="false" ht="12.75" hidden="false" customHeight="true" outlineLevel="0" collapsed="false">
      <c r="A419" s="97"/>
      <c r="B419" s="96"/>
      <c r="C419" s="96"/>
      <c r="D419" s="98"/>
      <c r="E419" s="97"/>
      <c r="F419" s="97"/>
      <c r="G419" s="97"/>
      <c r="H419" s="97"/>
      <c r="I419" s="97"/>
      <c r="J419" s="92" t="str">
        <f aca="false">LEFT($J$111,11)&amp;"-04"</f>
        <v>FG-240-8P8R-04</v>
      </c>
      <c r="K419" s="78"/>
      <c r="L419" s="78"/>
      <c r="M419" s="79"/>
      <c r="N419" s="79"/>
    </row>
    <row r="420" customFormat="false" ht="30" hidden="false" customHeight="true" outlineLevel="0" collapsed="false">
      <c r="A420" s="97"/>
      <c r="B420" s="96"/>
      <c r="C420" s="96"/>
      <c r="D420" s="98"/>
      <c r="E420" s="97"/>
      <c r="F420" s="97"/>
      <c r="G420" s="97"/>
      <c r="H420" s="97"/>
      <c r="I420" s="97"/>
      <c r="J420" s="215"/>
      <c r="K420" s="78"/>
      <c r="L420" s="78"/>
      <c r="M420" s="79"/>
      <c r="N420" s="79"/>
    </row>
    <row r="421" customFormat="false" ht="24.75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77" t="str">
        <f aca="false">$J$2</f>
        <v>HOMELIFE</v>
      </c>
      <c r="K421" s="78"/>
      <c r="L421" s="78"/>
      <c r="M421" s="79"/>
      <c r="N421" s="79"/>
    </row>
    <row r="422" customFormat="false" ht="24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80" t="str">
        <f aca="false">$J$3</f>
        <v>Fabricators Guide</v>
      </c>
      <c r="M422" s="87"/>
      <c r="N422" s="87"/>
    </row>
    <row r="423" s="96" customFormat="true" ht="15" hidden="false" customHeight="true" outlineLevel="0" collapsed="false">
      <c r="C423" s="82"/>
      <c r="D423" s="82"/>
      <c r="E423" s="82"/>
      <c r="F423" s="82"/>
      <c r="G423" s="82"/>
      <c r="H423" s="82"/>
      <c r="I423" s="82"/>
      <c r="J423" s="318" t="str">
        <f aca="false">$J$4</f>
        <v>240 Series Bi Fold Door </v>
      </c>
      <c r="K423" s="87"/>
      <c r="L423" s="87"/>
      <c r="M423" s="87"/>
      <c r="N423" s="87"/>
    </row>
    <row r="424" s="96" customFormat="true" ht="24.75" hidden="false" customHeight="true" outlineLevel="0" collapsed="false">
      <c r="A424" s="84"/>
      <c r="B424" s="81"/>
      <c r="C424" s="82"/>
      <c r="D424" s="82"/>
      <c r="E424" s="82"/>
      <c r="F424" s="82"/>
      <c r="G424" s="82"/>
      <c r="H424" s="82"/>
      <c r="I424" s="84"/>
      <c r="J424" s="86"/>
      <c r="K424" s="87"/>
      <c r="L424" s="87"/>
      <c r="M424" s="87"/>
      <c r="N424" s="87"/>
    </row>
    <row r="425" s="96" customFormat="true" ht="15" hidden="false" customHeight="true" outlineLevel="0" collapsed="false">
      <c r="A425" s="88" t="s">
        <v>481</v>
      </c>
      <c r="B425" s="88"/>
      <c r="C425" s="88"/>
      <c r="D425" s="88"/>
      <c r="E425" s="88"/>
      <c r="F425" s="88"/>
      <c r="G425" s="88"/>
      <c r="H425" s="88"/>
      <c r="I425" s="88"/>
      <c r="J425" s="88"/>
    </row>
    <row r="426" s="96" customFormat="true" ht="15" hidden="false" customHeight="true" outlineLevel="0" collapsed="false">
      <c r="B426" s="268"/>
      <c r="C426" s="268"/>
      <c r="D426" s="268"/>
      <c r="E426" s="268"/>
      <c r="F426" s="268"/>
      <c r="G426" s="268"/>
      <c r="H426" s="268"/>
    </row>
    <row r="427" s="96" customFormat="true" ht="15" hidden="false" customHeight="true" outlineLevel="0" collapsed="false">
      <c r="A427" s="188"/>
      <c r="I427" s="191"/>
      <c r="J427" s="199"/>
    </row>
    <row r="428" s="96" customFormat="true" ht="15" hidden="false" customHeight="true" outlineLevel="0" collapsed="false">
      <c r="A428" s="97"/>
      <c r="B428" s="81"/>
      <c r="D428" s="98"/>
      <c r="E428" s="83"/>
      <c r="F428" s="81"/>
      <c r="H428" s="191"/>
      <c r="I428" s="191"/>
      <c r="J428" s="199"/>
    </row>
    <row r="429" s="96" customFormat="true" ht="15" hidden="false" customHeight="true" outlineLevel="0" collapsed="false">
      <c r="A429" s="97"/>
      <c r="D429" s="98"/>
      <c r="E429" s="83"/>
      <c r="F429" s="98"/>
      <c r="H429" s="191"/>
      <c r="I429" s="191"/>
      <c r="J429" s="199"/>
    </row>
    <row r="430" s="96" customFormat="true" ht="15" hidden="false" customHeight="true" outlineLevel="0" collapsed="false">
      <c r="A430" s="97"/>
      <c r="D430" s="98"/>
      <c r="E430" s="83"/>
      <c r="F430" s="98"/>
      <c r="H430" s="191"/>
      <c r="I430" s="191"/>
      <c r="J430" s="199"/>
    </row>
    <row r="431" s="96" customFormat="true" ht="15" hidden="false" customHeight="true" outlineLevel="0" collapsed="false">
      <c r="A431" s="97"/>
      <c r="C431" s="98"/>
      <c r="D431" s="98"/>
      <c r="E431" s="97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C432" s="98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83"/>
      <c r="F433" s="98"/>
      <c r="H433" s="191"/>
      <c r="I433" s="191"/>
      <c r="J433" s="199"/>
    </row>
    <row r="434" s="96" customFormat="true" ht="15" hidden="false" customHeight="true" outlineLevel="0" collapsed="false">
      <c r="A434" s="81"/>
      <c r="C434" s="182"/>
      <c r="D434" s="98"/>
      <c r="E434" s="97"/>
      <c r="F434" s="216"/>
      <c r="H434" s="191"/>
      <c r="I434" s="191"/>
      <c r="J434" s="199"/>
    </row>
    <row r="435" s="96" customFormat="true" ht="15" hidden="false" customHeight="true" outlineLevel="0" collapsed="false">
      <c r="A435" s="99"/>
      <c r="B435" s="81"/>
      <c r="C435" s="98"/>
      <c r="D435" s="98"/>
      <c r="E435" s="97"/>
      <c r="F435" s="186"/>
      <c r="H435" s="191"/>
      <c r="I435" s="191"/>
      <c r="J435" s="199"/>
    </row>
    <row r="436" s="96" customFormat="true" ht="15" hidden="false" customHeight="true" outlineLevel="0" collapsed="false">
      <c r="B436" s="99"/>
      <c r="C436" s="98"/>
      <c r="D436" s="98"/>
      <c r="E436" s="97"/>
      <c r="F436" s="110"/>
      <c r="H436" s="191"/>
      <c r="I436" s="191"/>
      <c r="J436" s="199"/>
    </row>
    <row r="437" s="96" customFormat="true" ht="15.75" hidden="false" customHeight="true" outlineLevel="0" collapsed="false">
      <c r="A437" s="211" t="str">
        <f aca="false">A18</f>
        <v>240-8 Panel (8R)</v>
      </c>
      <c r="B437" s="99"/>
      <c r="C437" s="98"/>
      <c r="D437" s="98"/>
      <c r="E437" s="97"/>
      <c r="F437" s="110"/>
      <c r="H437" s="191"/>
      <c r="I437" s="191"/>
      <c r="J437" s="199"/>
    </row>
    <row r="438" s="96" customFormat="true" ht="15.75" hidden="false" customHeight="true" outlineLevel="0" collapsed="false">
      <c r="A438" s="90" t="str">
        <f aca="false">A19</f>
        <v>Outside Bi Fold Door </v>
      </c>
      <c r="C438" s="182"/>
      <c r="D438" s="98"/>
      <c r="E438" s="97"/>
      <c r="F438" s="186"/>
      <c r="H438" s="191"/>
      <c r="I438" s="191"/>
      <c r="J438" s="199"/>
    </row>
    <row r="439" s="96" customFormat="true" ht="15.75" hidden="false" customHeight="true" outlineLevel="0" collapsed="false">
      <c r="A439" s="81"/>
      <c r="C439" s="98"/>
      <c r="D439" s="98"/>
      <c r="E439" s="97"/>
      <c r="F439" s="78"/>
      <c r="H439" s="191"/>
      <c r="I439" s="191"/>
      <c r="J439" s="199"/>
    </row>
    <row r="440" s="96" customFormat="true" ht="15.75" hidden="false" customHeight="true" outlineLevel="0" collapsed="false">
      <c r="A440" s="191"/>
      <c r="C440" s="212"/>
      <c r="D440" s="98"/>
      <c r="E440" s="97"/>
      <c r="F440" s="97"/>
      <c r="H440" s="191"/>
      <c r="I440" s="191"/>
      <c r="J440" s="199"/>
    </row>
    <row r="441" customFormat="false" ht="14.25" hidden="false" customHeight="false" outlineLevel="0" collapsed="false">
      <c r="A441" s="190"/>
      <c r="B441" s="96"/>
      <c r="C441" s="191"/>
      <c r="D441" s="192"/>
      <c r="E441" s="191"/>
      <c r="F441" s="191"/>
      <c r="G441" s="96"/>
      <c r="H441" s="191"/>
      <c r="I441" s="191"/>
      <c r="J441" s="199"/>
    </row>
    <row r="442" customFormat="false" ht="15" hidden="false" customHeight="true" outlineLevel="0" collapsed="false">
      <c r="B442" s="211"/>
      <c r="C442" s="98"/>
      <c r="D442" s="98"/>
      <c r="E442" s="97"/>
      <c r="F442" s="98"/>
      <c r="G442" s="97"/>
      <c r="H442" s="97"/>
    </row>
    <row r="446" s="96" customFormat="true" ht="15.75" hidden="false" customHeight="true" outlineLevel="0" collapsed="false">
      <c r="D446" s="73"/>
      <c r="J446" s="74"/>
    </row>
    <row r="447" s="96" customFormat="true" ht="15.75" hidden="false" customHeight="true" outlineLevel="0" collapsed="false">
      <c r="A447" s="97"/>
      <c r="D447" s="73"/>
      <c r="I447" s="196"/>
      <c r="J447" s="196"/>
    </row>
    <row r="448" s="96" customFormat="true" ht="15.75" hidden="false" customHeight="true" outlineLevel="0" collapsed="false">
      <c r="A448" s="97"/>
      <c r="D448" s="98"/>
      <c r="E448" s="97"/>
      <c r="F448" s="98"/>
      <c r="G448" s="97"/>
      <c r="H448" s="97"/>
      <c r="I448" s="196"/>
      <c r="J448" s="196"/>
    </row>
    <row r="449" s="96" customFormat="true" ht="15.75" hidden="false" customHeight="true" outlineLevel="0" collapsed="false">
      <c r="A449" s="97"/>
      <c r="D449" s="98"/>
      <c r="E449" s="97"/>
      <c r="F449" s="98"/>
      <c r="G449" s="97"/>
      <c r="H449" s="97"/>
      <c r="I449" s="196"/>
      <c r="J449" s="196"/>
    </row>
    <row r="450" s="96" customFormat="true" ht="15.75" hidden="false" customHeight="true" outlineLevel="0" collapsed="false">
      <c r="A450" s="97"/>
      <c r="D450" s="98"/>
      <c r="E450" s="97"/>
      <c r="F450" s="98"/>
      <c r="G450" s="97"/>
      <c r="H450" s="97"/>
      <c r="I450" s="196"/>
      <c r="J450" s="196"/>
    </row>
    <row r="451" s="96" customFormat="true" ht="15.75" hidden="false" customHeight="true" outlineLevel="0" collapsed="false">
      <c r="A451" s="97"/>
      <c r="C451" s="191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C452" s="98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C453" s="98"/>
      <c r="D453" s="98"/>
      <c r="E453" s="97"/>
      <c r="F453" s="98"/>
      <c r="G453" s="97"/>
      <c r="H453" s="97"/>
      <c r="I453" s="97"/>
      <c r="J453" s="196"/>
    </row>
    <row r="454" s="96" customFormat="true" ht="15.75" hidden="false" customHeight="true" outlineLevel="0" collapsed="false">
      <c r="A454" s="97"/>
      <c r="C454" s="98"/>
      <c r="D454" s="98"/>
      <c r="E454" s="97"/>
      <c r="F454" s="98"/>
      <c r="G454" s="97"/>
      <c r="H454" s="97"/>
      <c r="I454" s="196"/>
      <c r="J454" s="196"/>
    </row>
    <row r="455" s="96" customFormat="true" ht="15" hidden="false" customHeight="true" outlineLevel="0" collapsed="false">
      <c r="A455" s="97"/>
      <c r="D455" s="98"/>
      <c r="E455" s="97"/>
      <c r="F455" s="97"/>
      <c r="G455" s="97"/>
      <c r="H455" s="97"/>
      <c r="I455" s="196"/>
      <c r="J455" s="196"/>
    </row>
    <row r="456" s="96" customFormat="true" ht="15" hidden="false" customHeight="true" outlineLevel="0" collapsed="false">
      <c r="A456" s="97"/>
      <c r="D456" s="98"/>
      <c r="E456" s="97"/>
      <c r="F456" s="97"/>
      <c r="G456" s="97"/>
      <c r="H456" s="195"/>
      <c r="I456" s="196"/>
      <c r="J456" s="196"/>
    </row>
    <row r="457" s="96" customFormat="true" ht="15" hidden="false" customHeight="true" outlineLevel="0" collapsed="false">
      <c r="A457" s="97"/>
      <c r="D457" s="98"/>
      <c r="E457" s="97"/>
      <c r="F457" s="97"/>
      <c r="G457" s="97"/>
      <c r="H457" s="97"/>
      <c r="I457" s="196"/>
      <c r="J457" s="196"/>
    </row>
    <row r="458" s="96" customFormat="true" ht="1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97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202" customFormat="true" ht="15.75" hidden="false" customHeight="true" outlineLevel="0" collapsed="false">
      <c r="A473" s="97"/>
      <c r="B473" s="96"/>
      <c r="C473" s="96"/>
      <c r="D473" s="98"/>
      <c r="E473" s="97"/>
      <c r="F473" s="97"/>
      <c r="G473" s="97"/>
      <c r="H473" s="97"/>
      <c r="I473" s="196"/>
      <c r="J473" s="196"/>
    </row>
    <row r="474" s="96" customFormat="true" ht="15.75" hidden="false" customHeight="true" outlineLevel="0" collapsed="false">
      <c r="A474" s="97"/>
      <c r="D474" s="98"/>
      <c r="E474" s="97"/>
      <c r="F474" s="97"/>
      <c r="G474" s="97"/>
      <c r="H474" s="97"/>
      <c r="I474" s="97"/>
      <c r="J474" s="97"/>
    </row>
    <row r="475" s="96" customFormat="true" ht="15.75" hidden="false" customHeight="true" outlineLevel="0" collapsed="false">
      <c r="A475" s="191"/>
      <c r="D475" s="98"/>
      <c r="E475" s="97"/>
      <c r="F475" s="97"/>
      <c r="G475" s="97"/>
      <c r="H475" s="97"/>
      <c r="I475" s="191"/>
      <c r="J475" s="199"/>
    </row>
    <row r="476" s="96" customFormat="true" ht="15.75" hidden="false" customHeight="true" outlineLevel="0" collapsed="false">
      <c r="A476" s="190"/>
      <c r="B476" s="191"/>
      <c r="C476" s="191"/>
      <c r="D476" s="192"/>
      <c r="E476" s="191"/>
      <c r="F476" s="191"/>
      <c r="G476" s="191"/>
      <c r="H476" s="191"/>
      <c r="I476" s="189"/>
      <c r="J476" s="190"/>
    </row>
    <row r="477" s="96" customFormat="true" ht="15.75" hidden="false" customHeight="true" outlineLevel="0" collapsed="false">
      <c r="A477" s="200"/>
      <c r="B477" s="190"/>
      <c r="C477" s="191"/>
      <c r="D477" s="194"/>
      <c r="E477" s="190"/>
      <c r="F477" s="189"/>
      <c r="G477" s="190"/>
      <c r="H477" s="189"/>
      <c r="I477" s="196"/>
      <c r="J477" s="196"/>
    </row>
    <row r="478" s="96" customFormat="true" ht="15.75" hidden="false" customHeight="true" outlineLevel="0" collapsed="false">
      <c r="A478" s="200"/>
      <c r="C478" s="182"/>
      <c r="D478" s="98"/>
      <c r="E478" s="97"/>
      <c r="F478" s="97"/>
      <c r="G478" s="97"/>
      <c r="H478" s="182"/>
      <c r="J478" s="97"/>
    </row>
    <row r="479" s="96" customFormat="true" ht="15.75" hidden="false" customHeight="true" outlineLevel="0" collapsed="false">
      <c r="A479" s="200"/>
      <c r="C479" s="98"/>
      <c r="D479" s="98"/>
      <c r="E479" s="97"/>
      <c r="F479" s="97"/>
      <c r="G479" s="97"/>
      <c r="J479" s="97"/>
    </row>
    <row r="480" s="96" customFormat="true" ht="15.75" hidden="false" customHeight="true" outlineLevel="0" collapsed="false">
      <c r="A480" s="200"/>
      <c r="C480" s="98"/>
      <c r="D480" s="98"/>
      <c r="E480" s="97"/>
      <c r="F480" s="97"/>
      <c r="G480" s="97"/>
      <c r="I480" s="196"/>
      <c r="J480" s="196"/>
    </row>
    <row r="481" s="96" customFormat="true" ht="15.75" hidden="false" customHeight="true" outlineLevel="0" collapsed="false">
      <c r="A481" s="200"/>
      <c r="D481" s="98"/>
      <c r="E481" s="97"/>
      <c r="F481" s="97"/>
      <c r="G481" s="97"/>
      <c r="H481" s="97"/>
      <c r="I481" s="196"/>
      <c r="J481" s="196"/>
    </row>
    <row r="482" s="96" customFormat="true" ht="15.75" hidden="false" customHeight="true" outlineLevel="0" collapsed="false">
      <c r="A482" s="200"/>
      <c r="D482" s="98"/>
      <c r="E482" s="97"/>
      <c r="F482" s="97"/>
      <c r="G482" s="97"/>
      <c r="H482" s="97"/>
      <c r="I482" s="196"/>
      <c r="J482" s="196"/>
    </row>
    <row r="483" s="96" customFormat="true" ht="15.75" hidden="false" customHeight="true" outlineLevel="0" collapsed="false">
      <c r="A483" s="200"/>
      <c r="D483" s="98"/>
      <c r="E483" s="97"/>
      <c r="F483" s="97"/>
      <c r="G483" s="97"/>
      <c r="H483" s="97"/>
      <c r="I483" s="196"/>
      <c r="J483" s="196"/>
    </row>
    <row r="484" s="96" customFormat="true" ht="15.75" hidden="false" customHeight="true" outlineLevel="0" collapsed="false">
      <c r="A484" s="200"/>
      <c r="C484" s="98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G495" s="97"/>
      <c r="H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182"/>
      <c r="J496" s="97"/>
    </row>
    <row r="497" s="96" customFormat="true" ht="15.75" hidden="false" customHeight="true" outlineLevel="0" collapsed="false">
      <c r="A497" s="200"/>
      <c r="C497" s="188"/>
      <c r="D497" s="98"/>
      <c r="E497" s="97"/>
      <c r="F497" s="97"/>
      <c r="G497" s="97"/>
      <c r="J497" s="97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I498" s="196"/>
      <c r="J498" s="196"/>
    </row>
    <row r="499" s="96" customFormat="true" ht="15.75" hidden="false" customHeight="true" outlineLevel="0" collapsed="false">
      <c r="A499" s="200"/>
      <c r="C499" s="98"/>
      <c r="D499" s="98"/>
      <c r="E499" s="97"/>
      <c r="F499" s="97"/>
      <c r="G499" s="97"/>
      <c r="H499" s="182"/>
      <c r="J499" s="97"/>
    </row>
    <row r="500" s="96" customFormat="true" ht="15.75" hidden="false" customHeight="true" outlineLevel="0" collapsed="false">
      <c r="A500" s="200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I501" s="196"/>
      <c r="J501" s="196"/>
    </row>
    <row r="502" s="96" customFormat="true" ht="15.75" hidden="false" customHeight="true" outlineLevel="0" collapsed="false">
      <c r="A502" s="200"/>
      <c r="D502" s="98"/>
      <c r="E502" s="97"/>
      <c r="F502" s="97"/>
      <c r="G502" s="97"/>
      <c r="H502" s="97"/>
      <c r="I502" s="196"/>
      <c r="J502" s="196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H503" s="97"/>
      <c r="I503" s="196"/>
      <c r="J503" s="196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H504" s="97"/>
      <c r="I504" s="97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97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97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212"/>
      <c r="J512" s="195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238"/>
      <c r="J513" s="97"/>
    </row>
    <row r="514" s="96" customFormat="true" ht="15.75" hidden="false" customHeight="true" outlineLevel="0" collapsed="false">
      <c r="A514" s="191"/>
      <c r="B514" s="191"/>
      <c r="C514" s="191"/>
      <c r="D514" s="192"/>
      <c r="E514" s="191"/>
      <c r="F514" s="191"/>
      <c r="G514" s="191"/>
      <c r="H514" s="191"/>
      <c r="I514" s="191"/>
      <c r="J514" s="199"/>
    </row>
    <row r="515" s="96" customFormat="true" ht="15.75" hidden="false" customHeight="true" outlineLevel="0" collapsed="false">
      <c r="B515" s="191"/>
      <c r="C515" s="191"/>
      <c r="D515" s="192"/>
      <c r="E515" s="191"/>
      <c r="F515" s="191"/>
      <c r="G515" s="191"/>
      <c r="H515" s="191"/>
    </row>
    <row r="516" s="96" customFormat="true" ht="24.75" hidden="false" customHeight="true" outlineLevel="0" collapsed="false"/>
    <row r="517" s="96" customFormat="true" ht="34.5" hidden="false" customHeight="true" outlineLevel="0" collapsed="false">
      <c r="A517" s="88" t="s">
        <v>482</v>
      </c>
      <c r="B517" s="88"/>
      <c r="C517" s="88"/>
      <c r="D517" s="88"/>
      <c r="E517" s="88"/>
      <c r="F517" s="88"/>
      <c r="G517" s="88"/>
      <c r="H517" s="88"/>
      <c r="I517" s="88"/>
      <c r="J517" s="88"/>
      <c r="N517" s="118" t="s">
        <v>168</v>
      </c>
      <c r="O517" s="118" t="s">
        <v>168</v>
      </c>
    </row>
    <row r="518" s="96" customFormat="true" ht="15.75" hidden="false" customHeight="true" outlineLevel="0" collapsed="false">
      <c r="A518" s="114" t="s">
        <v>319</v>
      </c>
      <c r="B518" s="115" t="s">
        <v>168</v>
      </c>
      <c r="C518" s="115" t="s">
        <v>168</v>
      </c>
      <c r="D518" s="116" t="s">
        <v>483</v>
      </c>
      <c r="E518" s="115" t="s">
        <v>321</v>
      </c>
      <c r="F518" s="239" t="s">
        <v>484</v>
      </c>
      <c r="G518" s="240"/>
      <c r="H518" s="116" t="s">
        <v>484</v>
      </c>
      <c r="I518" s="116" t="s">
        <v>485</v>
      </c>
      <c r="J518" s="117" t="s">
        <v>323</v>
      </c>
      <c r="M518" s="96" t="n">
        <f aca="false">ROW()</f>
        <v>518</v>
      </c>
      <c r="N518" s="62" t="s">
        <v>489</v>
      </c>
      <c r="O518" s="62" t="s">
        <v>490</v>
      </c>
    </row>
    <row r="519" s="96" customFormat="true" ht="15.75" hidden="false" customHeight="true" outlineLevel="0" collapsed="false">
      <c r="A519" s="120" t="n">
        <f aca="false">IF(C519="","",1)</f>
        <v>1</v>
      </c>
      <c r="B519" s="121" t="str">
        <f aca="false">IF($D$127=5,N518,IF($D$127=6,N519,IF($D$127=8,N520,IF($D$127=10,N521,IF($D$127=12,N522,IF($D$127=14,N523,IF($D$127=18,N524,IF($D$127=20,N525,IF($D$127=22,N526,)))))))))</f>
        <v>กระจก 6 mm (สูง) (กว้าง)</v>
      </c>
      <c r="C519" s="121" t="str">
        <f aca="false">IF($D$127=5,O518,IF($D$127=6,O519,IF($D$127=8,O520,IF($D$127=10,O521,IF($D$127=12,O522,IF($D$127=14,O523,IF($D$127=18,O524,IF($D$127=20,O525,IF($D$127=22,O526,)))))))))</f>
        <v>GLASS thk.6 mm (H) (W)</v>
      </c>
      <c r="D519" s="123" t="n">
        <f aca="false">$J$123-215</f>
        <v>2185</v>
      </c>
      <c r="E519" s="120" t="s">
        <v>486</v>
      </c>
      <c r="F519" s="224" t="s">
        <v>487</v>
      </c>
      <c r="G519" s="224"/>
      <c r="H519" s="120" t="s">
        <v>745</v>
      </c>
      <c r="I519" s="225" t="n">
        <f aca="false">(($J$126-185-(113.25*7))/8)-13</f>
        <v>652.28125</v>
      </c>
      <c r="J519" s="226" t="n">
        <f aca="false">$J$120*8</f>
        <v>8</v>
      </c>
      <c r="M519" s="96" t="n">
        <f aca="false">ROW()</f>
        <v>519</v>
      </c>
      <c r="N519" s="62" t="s">
        <v>491</v>
      </c>
      <c r="O519" s="62" t="s">
        <v>492</v>
      </c>
    </row>
    <row r="520" s="96" customFormat="true" ht="15.75" hidden="false" customHeight="true" outlineLevel="0" collapsed="false">
      <c r="A520" s="269"/>
      <c r="B520" s="228"/>
      <c r="C520" s="228"/>
      <c r="D520" s="176"/>
      <c r="E520" s="167"/>
      <c r="F520" s="229"/>
      <c r="G520" s="230"/>
      <c r="H520" s="167"/>
      <c r="I520" s="231"/>
      <c r="J520" s="232"/>
      <c r="M520" s="96" t="n">
        <f aca="false">ROW()</f>
        <v>520</v>
      </c>
      <c r="N520" s="62" t="s">
        <v>493</v>
      </c>
      <c r="O520" s="62" t="s">
        <v>494</v>
      </c>
    </row>
    <row r="521" s="96" customFormat="true" ht="15.75" hidden="false" customHeight="true" outlineLevel="0" collapsed="false">
      <c r="A521" s="269"/>
      <c r="B521" s="228"/>
      <c r="C521" s="228"/>
      <c r="D521" s="176"/>
      <c r="E521" s="167"/>
      <c r="F521" s="229"/>
      <c r="G521" s="230"/>
      <c r="H521" s="167"/>
      <c r="I521" s="231"/>
      <c r="J521" s="232"/>
      <c r="M521" s="96" t="n">
        <f aca="false">ROW()</f>
        <v>521</v>
      </c>
      <c r="N521" s="62" t="s">
        <v>495</v>
      </c>
      <c r="O521" s="62" t="s">
        <v>496</v>
      </c>
    </row>
    <row r="522" s="96" customFormat="true" ht="15.75" hidden="false" customHeight="true" outlineLevel="0" collapsed="false">
      <c r="A522" s="130" t="str">
        <f aca="false">IF(B522="","",+""+1)</f>
        <v/>
      </c>
      <c r="B522" s="131"/>
      <c r="C522" s="131"/>
      <c r="D522" s="132"/>
      <c r="E522" s="130"/>
      <c r="F522" s="233"/>
      <c r="G522" s="270"/>
      <c r="H522" s="130"/>
      <c r="I522" s="142"/>
      <c r="J522" s="133"/>
      <c r="M522" s="96" t="n">
        <f aca="false">ROW()</f>
        <v>522</v>
      </c>
      <c r="N522" s="62" t="s">
        <v>497</v>
      </c>
      <c r="O522" s="62" t="s">
        <v>498</v>
      </c>
    </row>
    <row r="523" s="96" customFormat="true" ht="15.75" hidden="false" customHeight="true" outlineLevel="0" collapsed="false">
      <c r="A523" s="136" t="str">
        <f aca="false">IF(B523="","",+A522+1)</f>
        <v/>
      </c>
      <c r="B523" s="135"/>
      <c r="C523" s="135"/>
      <c r="D523" s="139"/>
      <c r="E523" s="136"/>
      <c r="F523" s="236"/>
      <c r="G523" s="237"/>
      <c r="H523" s="136"/>
      <c r="I523" s="180"/>
      <c r="J523" s="140"/>
      <c r="M523" s="96" t="n">
        <f aca="false">ROW()</f>
        <v>523</v>
      </c>
      <c r="N523" s="62" t="s">
        <v>499</v>
      </c>
      <c r="O523" s="62" t="s">
        <v>500</v>
      </c>
    </row>
    <row r="524" customFormat="false" ht="14.25" hidden="false" customHeight="false" outlineLevel="0" collapsed="false">
      <c r="A524" s="97"/>
      <c r="B524" s="96"/>
      <c r="C524" s="96"/>
      <c r="D524" s="98"/>
      <c r="E524" s="97"/>
      <c r="F524" s="97"/>
      <c r="G524" s="97"/>
      <c r="H524" s="97"/>
      <c r="I524" s="97"/>
      <c r="J524" s="196"/>
      <c r="M524" s="96" t="n">
        <f aca="false">ROW()</f>
        <v>524</v>
      </c>
      <c r="N524" s="62" t="s">
        <v>501</v>
      </c>
      <c r="O524" s="62" t="s">
        <v>502</v>
      </c>
    </row>
    <row r="525" customFormat="false" ht="14.25" hidden="false" customHeight="false" outlineLevel="0" collapsed="false">
      <c r="J525" s="92" t="str">
        <f aca="false">LEFT($J$111,11)&amp;"-05"</f>
        <v>FG-240-8P8R-05</v>
      </c>
      <c r="M525" s="96" t="n">
        <f aca="false">ROW()</f>
        <v>525</v>
      </c>
      <c r="N525" s="62" t="s">
        <v>503</v>
      </c>
      <c r="O525" s="62" t="s">
        <v>504</v>
      </c>
    </row>
    <row r="526" customFormat="false" ht="14.25" hidden="false" customHeight="false" outlineLevel="0" collapsed="false">
      <c r="M526" s="96" t="n">
        <f aca="false">ROW()</f>
        <v>526</v>
      </c>
      <c r="N526" s="62" t="s">
        <v>505</v>
      </c>
      <c r="O526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8"/>
    <mergeCell ref="H163:H168"/>
    <mergeCell ref="I166:J167"/>
    <mergeCell ref="I168:J168"/>
    <mergeCell ref="D169:D170"/>
    <mergeCell ref="H169:H170"/>
    <mergeCell ref="D171:D172"/>
    <mergeCell ref="H171:H172"/>
    <mergeCell ref="A173:J173"/>
    <mergeCell ref="A213:J213"/>
    <mergeCell ref="C310:E310"/>
    <mergeCell ref="A320:J320"/>
    <mergeCell ref="F330:G330"/>
    <mergeCell ref="F331:G331"/>
    <mergeCell ref="F334:G334"/>
    <mergeCell ref="A425:J425"/>
    <mergeCell ref="A517:J517"/>
    <mergeCell ref="F519:G519"/>
  </mergeCells>
  <dataValidations count="4">
    <dataValidation allowBlank="true" errorStyle="stop" operator="between" showDropDown="false" showErrorMessage="true" showInputMessage="true" sqref="D129:G129" type="list">
      <formula1>$O$119</formula1>
      <formula2>0</formula2>
    </dataValidation>
    <dataValidation allowBlank="true" errorStyle="stop" operator="between" showDropDown="false" showErrorMessage="true" showInputMessage="true" sqref="D127:G127" type="list">
      <formula1>$N$119:$N$127</formula1>
      <formula2>0</formula2>
    </dataValidation>
    <dataValidation allowBlank="true" errorStyle="stop" operator="between" showDropDown="false" showErrorMessage="true" showInputMessage="true" sqref="D123:G123" type="list">
      <formula1>$P$118:$P$128</formula1>
      <formula2>0</formula2>
    </dataValidation>
    <dataValidation allowBlank="true" errorStyle="stop" operator="between" showDropDown="false" showErrorMessage="true" showInputMessage="true" sqref="C206" type="list">
      <formula1>$O$175:$O$193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19" man="true" max="16383" min="0"/>
  </rowBreaks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529"/>
  <sheetViews>
    <sheetView showFormulas="false" showGridLines="false" showRowColHeaders="true" showZeros="true" rightToLeft="false" tabSelected="false" showOutlineSymbols="true" defaultGridColor="true" view="pageBreakPreview" topLeftCell="A109" colorId="64" zoomScale="75" zoomScaleNormal="75" zoomScalePageLayoutView="75" workbookViewId="0">
      <selection pane="topLeft" activeCell="D123" activeCellId="0" sqref="D123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11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6.67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19.88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746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>
      <c r="G55" s="91"/>
    </row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747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8" hidden="false" customHeight="true" outlineLevel="0" collapsed="false">
      <c r="A118" s="97"/>
      <c r="C118" s="81"/>
      <c r="D118" s="98"/>
      <c r="E118" s="83"/>
      <c r="J118" s="99"/>
      <c r="K118" s="83"/>
      <c r="N118" s="258" t="s">
        <v>288</v>
      </c>
      <c r="O118" s="97" t="s">
        <v>289</v>
      </c>
      <c r="P118" s="102" t="s">
        <v>290</v>
      </c>
    </row>
    <row r="119" s="96" customFormat="true" ht="15" hidden="false" customHeight="true" outlineLevel="0" collapsed="false">
      <c r="A119" s="97"/>
      <c r="C119" s="100" t="s">
        <v>286</v>
      </c>
      <c r="D119" s="101" t="s">
        <v>748</v>
      </c>
      <c r="E119" s="101"/>
      <c r="F119" s="101"/>
      <c r="G119" s="101"/>
      <c r="I119" s="83"/>
      <c r="J119" s="97"/>
      <c r="N119" s="259" t="n">
        <v>5</v>
      </c>
      <c r="O119" s="97" t="s">
        <v>509</v>
      </c>
      <c r="P119" s="106" t="s">
        <v>294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6</v>
      </c>
      <c r="O120" s="97" t="s">
        <v>296</v>
      </c>
      <c r="P120" s="106" t="s">
        <v>297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8</v>
      </c>
      <c r="P121" s="106" t="s">
        <v>299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10</v>
      </c>
      <c r="P122" s="106" t="s">
        <v>303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308</v>
      </c>
      <c r="E123" s="101"/>
      <c r="F123" s="101"/>
      <c r="G123" s="101"/>
      <c r="H123" s="104" t="s">
        <v>302</v>
      </c>
      <c r="I123" s="104"/>
      <c r="J123" s="105" t="n">
        <v>2700</v>
      </c>
      <c r="N123" s="259" t="n">
        <v>12</v>
      </c>
      <c r="P123" s="106" t="s">
        <v>305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14</v>
      </c>
      <c r="P124" s="106" t="s">
        <v>308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18</v>
      </c>
      <c r="P125" s="106" t="s">
        <v>311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5700</v>
      </c>
      <c r="K126" s="110"/>
      <c r="L126" s="110"/>
      <c r="N126" s="259" t="n">
        <v>20</v>
      </c>
      <c r="P126" s="106" t="s">
        <v>313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259" t="n">
        <v>22</v>
      </c>
      <c r="P127" s="106" t="s">
        <v>315</v>
      </c>
    </row>
    <row r="128" s="96" customFormat="true" ht="18.75" hidden="false" customHeight="true" outlineLevel="0" collapsed="false">
      <c r="C128" s="108" t="s">
        <v>314</v>
      </c>
      <c r="I128" s="97"/>
      <c r="J128" s="97"/>
      <c r="P128" s="96" t="s">
        <v>486</v>
      </c>
    </row>
    <row r="129" s="96" customFormat="true" ht="15" hidden="false" customHeight="true" outlineLevel="0" collapsed="false">
      <c r="A129" s="89" t="str">
        <f aca="false">A18</f>
        <v>240-8 Panel (3L5R)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5640</v>
      </c>
      <c r="J133" s="124" t="n">
        <f aca="false">$J$120*G133</f>
        <v>1</v>
      </c>
      <c r="N133" s="107" t="s">
        <v>332</v>
      </c>
      <c r="O133" s="125" t="s">
        <v>734</v>
      </c>
      <c r="P133" s="125" t="s">
        <v>735</v>
      </c>
      <c r="Q133" s="126" t="s">
        <v>335</v>
      </c>
      <c r="R133" s="127" t="n">
        <v>0.231</v>
      </c>
      <c r="S133" s="126" t="s">
        <v>336</v>
      </c>
      <c r="T133" s="127" t="n">
        <v>16</v>
      </c>
      <c r="U133" s="127" t="s">
        <v>736</v>
      </c>
      <c r="V133" s="128" t="n">
        <f aca="false">($J$126-185-(113.25*7))/8</f>
        <v>590.28125</v>
      </c>
      <c r="W133" s="129" t="n">
        <f aca="false">$J$120*T133</f>
        <v>16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5614</v>
      </c>
      <c r="J134" s="134" t="n">
        <f aca="false">$J$120*G134</f>
        <v>1</v>
      </c>
      <c r="N134" s="107"/>
      <c r="O134" s="125" t="s">
        <v>333</v>
      </c>
      <c r="P134" s="125" t="s">
        <v>334</v>
      </c>
      <c r="Q134" s="315" t="s">
        <v>344</v>
      </c>
      <c r="R134" s="130" t="n">
        <v>0.215</v>
      </c>
      <c r="S134" s="315" t="s">
        <v>345</v>
      </c>
      <c r="T134" s="130" t="n">
        <v>16</v>
      </c>
      <c r="U134" s="130" t="s">
        <v>736</v>
      </c>
      <c r="V134" s="142" t="n">
        <f aca="false">($J$126-185-(113.25*7))/8</f>
        <v>590.28125</v>
      </c>
      <c r="W134" s="134" t="n">
        <f aca="false">$J$120*T134</f>
        <v>16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5640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16</v>
      </c>
      <c r="U135" s="136" t="s">
        <v>736</v>
      </c>
      <c r="V135" s="180" t="n">
        <f aca="false">($J$126-185-(113.25*7))/8</f>
        <v>590.28125</v>
      </c>
      <c r="W135" s="137" t="n">
        <f aca="false">$J$120*T135</f>
        <v>16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5640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16</v>
      </c>
      <c r="U136" s="127" t="s">
        <v>360</v>
      </c>
      <c r="V136" s="138" t="n">
        <f aca="false">$J$123-242</f>
        <v>2458</v>
      </c>
      <c r="W136" s="129" t="n">
        <f aca="false">$J$120*T136</f>
        <v>16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2700</v>
      </c>
      <c r="J137" s="134" t="n">
        <f aca="false">$J$120*G137</f>
        <v>1</v>
      </c>
      <c r="N137" s="107"/>
      <c r="O137" s="125" t="s">
        <v>737</v>
      </c>
      <c r="P137" s="125" t="s">
        <v>738</v>
      </c>
      <c r="Q137" s="315" t="s">
        <v>344</v>
      </c>
      <c r="R137" s="130" t="n">
        <v>0.215</v>
      </c>
      <c r="S137" s="315" t="s">
        <v>366</v>
      </c>
      <c r="T137" s="130" t="n">
        <v>16</v>
      </c>
      <c r="U137" s="130" t="s">
        <v>360</v>
      </c>
      <c r="V137" s="133" t="n">
        <f aca="false">$J$123-242</f>
        <v>2458</v>
      </c>
      <c r="W137" s="134" t="n">
        <f aca="false">$J$120*T137</f>
        <v>16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2700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16</v>
      </c>
      <c r="U138" s="136" t="s">
        <v>360</v>
      </c>
      <c r="V138" s="140" t="n">
        <f aca="false">$J$123-242</f>
        <v>2458</v>
      </c>
      <c r="W138" s="137" t="n">
        <f aca="false">$J$120*T138</f>
        <v>16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2604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2604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8</v>
      </c>
      <c r="H141" s="130" t="s">
        <v>739</v>
      </c>
      <c r="I141" s="141" t="n">
        <f aca="false">($J$126-60-(8+1)*4)/8</f>
        <v>700.5</v>
      </c>
      <c r="J141" s="134" t="n">
        <f aca="false">$J$120*G141</f>
        <v>8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8</v>
      </c>
      <c r="H142" s="130" t="s">
        <v>739</v>
      </c>
      <c r="I142" s="141" t="n">
        <f aca="false">($J$126-60-(8+1)*4)/8</f>
        <v>700.5</v>
      </c>
      <c r="J142" s="134" t="n">
        <f aca="false">$J$120*G142</f>
        <v>8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12</v>
      </c>
      <c r="H143" s="130" t="s">
        <v>389</v>
      </c>
      <c r="I143" s="133" t="n">
        <f aca="false">$J$123-92</f>
        <v>2608</v>
      </c>
      <c r="J143" s="134" t="n">
        <f aca="false">$J$120*G143</f>
        <v>12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2</v>
      </c>
      <c r="H144" s="130" t="s">
        <v>389</v>
      </c>
      <c r="I144" s="133" t="n">
        <f aca="false">$J$123-92</f>
        <v>2608</v>
      </c>
      <c r="J144" s="134" t="n">
        <f aca="false">$J$120*G144</f>
        <v>2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390</v>
      </c>
      <c r="C145" s="131" t="s">
        <v>656</v>
      </c>
      <c r="D145" s="132" t="s">
        <v>74</v>
      </c>
      <c r="E145" s="130" t="n">
        <v>1.106</v>
      </c>
      <c r="F145" s="132" t="s">
        <v>563</v>
      </c>
      <c r="G145" s="130" t="n">
        <v>1</v>
      </c>
      <c r="H145" s="130" t="s">
        <v>389</v>
      </c>
      <c r="I145" s="133" t="n">
        <f aca="false">$J$123-92</f>
        <v>2608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">
        <v>531</v>
      </c>
      <c r="C146" s="131" t="s">
        <v>532</v>
      </c>
      <c r="D146" s="132" t="s">
        <v>74</v>
      </c>
      <c r="E146" s="130" t="n">
        <v>1.106</v>
      </c>
      <c r="F146" s="132" t="s">
        <v>564</v>
      </c>
      <c r="G146" s="130" t="n">
        <v>1</v>
      </c>
      <c r="H146" s="130" t="s">
        <v>389</v>
      </c>
      <c r="I146" s="133" t="n">
        <f aca="false">$J$123-92</f>
        <v>2608</v>
      </c>
      <c r="J146" s="134" t="n">
        <f aca="false">$J$120*G146</f>
        <v>1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IF($D$127=5,O133,IF($D$127=6,O133,IF($D$127=8,O134,IF($D$127=10,O134,IF($D$127=12,O134,IF($D$127=14,O135,IF($D$127=18,O135,IF($D$127=20,O135,IF($D$127=22,O135,)))))))))</f>
        <v>5-6-8mm คิ้วตบกระจกแนวนอน</v>
      </c>
      <c r="C147" s="131" t="str">
        <f aca="false">IF($D$127=5,P133,IF($D$127=6,P133,IF($D$127=8,P134,IF($D$127=10,P134,IF($D$127=12,P134,IF($D$127=14,P135,IF($D$127=18,P135,IF($D$127=20,P135,IF($D$127=22,P135,)))))))))</f>
        <v>5-6-8mm GLAZING BEAD HORIZONTAL</v>
      </c>
      <c r="D147" s="131" t="str">
        <f aca="false">IF($D$127=5,Q133,IF($D$127=6,Q133,IF($D$127=8,Q134,IF($D$127=10,Q134,IF($D$127=12,Q134,IF($D$127=14,Q135,IF($D$127=18,Q135,IF($D$127=20,Q135,IF($D$127=22,Q135,)))))))))</f>
        <v>B24008</v>
      </c>
      <c r="E147" s="131" t="n">
        <f aca="false">IF($D$127=5,R133,IF($D$127=6,R133,IF($D$127=8,R134,IF($D$127=10,R134,IF($D$127=12,R134,IF($D$127=14,R135,IF($D$127=18,R135,IF($D$127=20,R135,IF($D$127=22,R135,)))))))))</f>
        <v>0.231</v>
      </c>
      <c r="F147" s="131" t="str">
        <f aca="false">IF($D$127=5,S133,IF($D$127=6,S133,IF($D$127=8,S134,IF($D$127=10,S134,IF($D$127=12,S134,IF($D$127=14,S135,IF($D$127=18,S135,IF($D$127=20,S135,IF($D$127=22,S135,)))))))))</f>
        <v>B24008-001</v>
      </c>
      <c r="G147" s="130" t="n">
        <f aca="false">IF($D$127=5,T133,IF($D$127=6,T133,IF($D$127=8,T134,IF($D$127=10,T134,IF($D$127=12,T134,IF($D$127=14,T135,IF($D$127=18,T135,IF($D$127=20,T135,IF($D$127=22,T135,)))))))))</f>
        <v>16</v>
      </c>
      <c r="H147" s="130" t="str">
        <f aca="false">IF($D$127=5,U133,IF($D$127=6,U133,IF($D$127=8,U134,IF($D$127=10,U134,IF($D$127=12,U134,IF($D$127=14,U135,IF($D$127=18,U135,IF($D$127=20,U135,IF($D$127=22,U135,)))))))))</f>
        <v>(W-185-(113.25 × 7))/8</v>
      </c>
      <c r="I147" s="141" t="n">
        <f aca="false">IF($D$127=5,V133,IF($D$127=6,V133,IF($D$127=8,V134,IF($D$127=10,V134,IF($D$127=12,V134,IF($D$127=14,V135,IF($D$127=18,V135,IF($D$127=20,V135,IF($D$127=22,V135,)))))))))</f>
        <v>590.28125</v>
      </c>
      <c r="J147" s="134" t="n">
        <f aca="false">$J$120*G147</f>
        <v>16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8" s="131" t="str">
        <f aca="false">IF($D$127=5,Q136,IF($D$127=6,Q136,IF($D$127=8,Q137,IF($D$127=10,Q137,IF($D$127=12,Q137,IF($D$127=14,Q138,IF($D$127=18,Q138,IF($D$127=20,Q138,IF($D$127=22,Q138,)))))))))</f>
        <v>B24008</v>
      </c>
      <c r="E148" s="131" t="n">
        <f aca="false">IF($D$127=5,R136,IF($D$127=6,R136,IF($D$127=8,R137,IF($D$127=10,R137,IF($D$127=12,R137,IF($D$127=14,R138,IF($D$127=18,R138,IF($D$127=20,R138,IF($D$127=22,R138,)))))))))</f>
        <v>0.231</v>
      </c>
      <c r="F148" s="131" t="str">
        <f aca="false">IF($D$127=5,S136,IF($D$127=6,S136,IF($D$127=8,S137,IF($D$127=10,S137,IF($D$127=12,S137,IF($D$127=14,S138,IF($D$127=18,S138,IF($D$127=20,S138,IF($D$127=22,S138,)))))))))</f>
        <v>B24008-002</v>
      </c>
      <c r="G148" s="130" t="n">
        <f aca="false">IF($D$127=5,T136,IF($D$127=6,T136,IF($D$127=8,T137,IF($D$127=10,T137,IF($D$127=12,T137,IF($D$127=14,T138,IF($D$127=18,T138,IF($D$127=20,T138,IF($D$127=22,T138,)))))))))</f>
        <v>16</v>
      </c>
      <c r="H148" s="130" t="str">
        <f aca="false">IF($D$127=5,U136,IF($D$127=6,U136,IF($D$127=8,U137,IF($D$127=10,U137,IF($D$127=12,U137,IF($D$127=14,U138,IF($D$127=18,U138,IF($D$127=20,U138,IF($D$127=22,U138,)))))))))</f>
        <v>H-242</v>
      </c>
      <c r="I148" s="133" t="n">
        <f aca="false">IF($D$127=5,V136,IF($D$127=6,V136,IF($D$127=8,V137,IF($D$127=10,V137,IF($D$127=12,V137,IF($D$127=14,V138,IF($D$127=18,V138,IF($D$127=20,V138,IF($D$127=22,V138,)))))))))</f>
        <v>2458</v>
      </c>
      <c r="J148" s="134" t="n">
        <f aca="false">$J$120*G148</f>
        <v>16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535</v>
      </c>
      <c r="D149" s="132" t="s">
        <v>536</v>
      </c>
      <c r="E149" s="130"/>
      <c r="F149" s="132" t="s">
        <v>537</v>
      </c>
      <c r="G149" s="130" t="n">
        <v>1</v>
      </c>
      <c r="H149" s="130" t="s">
        <v>389</v>
      </c>
      <c r="I149" s="133" t="n">
        <f aca="false">$J$123-92</f>
        <v>2608</v>
      </c>
      <c r="J149" s="134" t="n">
        <f aca="false">$J$120*G149</f>
        <v>1</v>
      </c>
    </row>
    <row r="150" s="96" customFormat="true" ht="18" hidden="false" customHeight="true" outlineLevel="0" collapsed="false">
      <c r="A150" s="130" t="n">
        <f aca="false">IF(B150="","",+A149+1)</f>
        <v>18</v>
      </c>
      <c r="B150" s="131" t="s">
        <v>534</v>
      </c>
      <c r="C150" s="131" t="s">
        <v>535</v>
      </c>
      <c r="D150" s="132" t="s">
        <v>536</v>
      </c>
      <c r="E150" s="130"/>
      <c r="F150" s="132" t="s">
        <v>539</v>
      </c>
      <c r="G150" s="130" t="n">
        <v>1</v>
      </c>
      <c r="H150" s="130" t="s">
        <v>389</v>
      </c>
      <c r="I150" s="133" t="n">
        <f aca="false">$J$123-92</f>
        <v>2608</v>
      </c>
      <c r="J150" s="134" t="n">
        <f aca="false">$J$120*G150</f>
        <v>1</v>
      </c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33"/>
      <c r="J151" s="134" t="n">
        <f aca="false">$J$120*G151</f>
        <v>0</v>
      </c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33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5640</v>
      </c>
      <c r="G155" s="155" t="n">
        <f aca="false">VLOOKUP(C155,$C$133:$J$153,8,0)</f>
        <v>1</v>
      </c>
      <c r="H155" s="264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VLOOKUP(C156,$C$133:$I$153,7,0)</f>
        <v>5614</v>
      </c>
      <c r="G156" s="155" t="n">
        <f aca="false">VLOOKUP(C156,$C$133:$J$153,8,0)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VLOOKUP(C157,$C$133:$I$153,7,0)</f>
        <v>5640</v>
      </c>
      <c r="G157" s="155" t="n">
        <f aca="false">VLOOKUP(C157,$C$133:$J$153,8,0)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VLOOKUP(C158,$C$133:$I$153,7,0)</f>
        <v>5640</v>
      </c>
      <c r="G158" s="155" t="n">
        <f aca="false">VLOOKUP(C158,$C$133:$J$153,8,0)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VLOOKUP(C159,$C$133:$I$153,7,0)</f>
        <v>2700</v>
      </c>
      <c r="G159" s="155" t="n">
        <f aca="false">VLOOKUP(C159,$C$133:$J$153,8,0)</f>
        <v>1</v>
      </c>
      <c r="H159" s="160" t="n">
        <f aca="false">ROUNDUP(((F159*G159)+(F160*G160))/6400,0)</f>
        <v>1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VLOOKUP(C160,$C$133:$I$153,7,0)</f>
        <v>2700</v>
      </c>
      <c r="G160" s="155" t="n">
        <f aca="false">VLOOKUP(C160,$C$133:$J$153,8,0)</f>
        <v>1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VLOOKUP(C161,$C$133:$I$153,7,0)</f>
        <v>2604</v>
      </c>
      <c r="G161" s="155" t="n">
        <f aca="false">VLOOKUP(C161,$C$133:$J$153,8,0)</f>
        <v>1</v>
      </c>
      <c r="H161" s="160" t="n">
        <f aca="false">ROUNDUP(((F161*G161)+(F162*G162))/6400,0)</f>
        <v>1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155" t="n">
        <f aca="false">VLOOKUP(C162,$C$133:$H$153,3,0)</f>
        <v>0.235</v>
      </c>
      <c r="F162" s="263" t="n">
        <f aca="false">VLOOKUP(C162,$C$133:$I$153,7,0)</f>
        <v>2604</v>
      </c>
      <c r="G162" s="155" t="n">
        <f aca="false">VLOOKUP(C162,$C$133:$J$153,8,0)</f>
        <v>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155" t="n">
        <f aca="false">VLOOKUP(C163,$C$133:$H$153,3,0)</f>
        <v>1.106</v>
      </c>
      <c r="F163" s="267" t="n">
        <f aca="false">VLOOKUP(C163,$C$133:$I$153,7,0)</f>
        <v>700.5</v>
      </c>
      <c r="G163" s="155" t="n">
        <f aca="false">VLOOKUP(C163,$C$133:$J$153,8,0)</f>
        <v>8</v>
      </c>
      <c r="H163" s="160" t="n">
        <f aca="false">ROUNDUP(((F163*G163)+(F164*G164)+(F165*G165)+(F166*G166)+(F167*G167)+(F168*G168))/6400,0)</f>
        <v>9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155" t="n">
        <f aca="false">VLOOKUP(C164,$C$133:$H$153,3,0)</f>
        <v>1.106</v>
      </c>
      <c r="F164" s="267" t="n">
        <f aca="false">VLOOKUP(C164,$C$133:$I$153,7,0)</f>
        <v>700.5</v>
      </c>
      <c r="G164" s="155" t="n">
        <f aca="false">VLOOKUP(C164,$C$133:$J$153,8,0)</f>
        <v>8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155" t="n">
        <f aca="false">VLOOKUP(C165,$C$133:$H$153,3,0)</f>
        <v>1.106</v>
      </c>
      <c r="F165" s="263" t="n">
        <f aca="false">VLOOKUP(C165,$C$133:$I$153,7,0)</f>
        <v>2608</v>
      </c>
      <c r="G165" s="155" t="n">
        <f aca="false">VLOOKUP(C165,$C$133:$J$153,8,0)</f>
        <v>12</v>
      </c>
      <c r="H165" s="160"/>
      <c r="I165" s="161"/>
      <c r="J165" s="161"/>
    </row>
    <row r="166" s="96" customFormat="true" ht="13.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155" t="n">
        <f aca="false">VLOOKUP(C166,$C$133:$H$153,3,0)</f>
        <v>1.106</v>
      </c>
      <c r="F166" s="263" t="n">
        <f aca="false">VLOOKUP(C166,$C$133:$I$153,7,0)</f>
        <v>2608</v>
      </c>
      <c r="G166" s="155" t="n">
        <f aca="false">VLOOKUP(C166,$C$133:$J$153,8,0)</f>
        <v>2</v>
      </c>
      <c r="H166" s="160"/>
      <c r="I166" s="161"/>
      <c r="J166" s="161"/>
    </row>
    <row r="167" s="96" customFormat="true" ht="13.5" hidden="false" customHeight="true" outlineLevel="1" collapsed="false">
      <c r="A167" s="158" t="n">
        <f aca="false">IF(B167="","",+A166+1)</f>
        <v>13</v>
      </c>
      <c r="B167" s="153" t="str">
        <f aca="false">B145</f>
        <v>เสากุญแจ</v>
      </c>
      <c r="C167" s="153" t="str">
        <f aca="false">C145</f>
        <v>SASH (Ver) LOCK  </v>
      </c>
      <c r="D167" s="159"/>
      <c r="E167" s="155" t="n">
        <f aca="false">VLOOKUP(C167,$C$133:$H$153,3,0)</f>
        <v>1.106</v>
      </c>
      <c r="F167" s="263" t="n">
        <f aca="false">VLOOKUP(C167,$C$133:$I$153,7,0)</f>
        <v>2608</v>
      </c>
      <c r="G167" s="155" t="n">
        <f aca="false">VLOOKUP(C167,$C$133:$J$153,8,0)</f>
        <v>1</v>
      </c>
      <c r="H167" s="160"/>
      <c r="I167" s="161"/>
      <c r="J167" s="161"/>
    </row>
    <row r="168" s="96" customFormat="true" ht="13.5" hidden="false" customHeight="true" outlineLevel="1" collapsed="false">
      <c r="A168" s="158" t="n">
        <f aca="false">IF(B168="","",+A167+1)</f>
        <v>14</v>
      </c>
      <c r="B168" s="153" t="str">
        <f aca="false">B146</f>
        <v>เสากุญแจมือจับ</v>
      </c>
      <c r="C168" s="153" t="str">
        <f aca="false">C146</f>
        <v>SASH (Ver) LOCK HANDLE</v>
      </c>
      <c r="D168" s="159"/>
      <c r="E168" s="155" t="n">
        <f aca="false">VLOOKUP(C168,$C$133:$H$153,3,0)</f>
        <v>1.106</v>
      </c>
      <c r="F168" s="263" t="n">
        <f aca="false">VLOOKUP(C168,$C$133:$I$153,7,0)</f>
        <v>2608</v>
      </c>
      <c r="G168" s="155" t="n">
        <f aca="false">VLOOKUP(C168,$C$133:$J$153,8,0)</f>
        <v>1</v>
      </c>
      <c r="H168" s="160"/>
      <c r="I168" s="265"/>
      <c r="J168" s="265"/>
    </row>
    <row r="169" s="96" customFormat="true" ht="13.5" hidden="false" customHeight="true" outlineLevel="1" collapsed="false">
      <c r="A169" s="158" t="n">
        <f aca="false">IF(B169="","",+A168+1)</f>
        <v>15</v>
      </c>
      <c r="B169" s="153" t="str">
        <f aca="false">B147</f>
        <v>5-6-8mm คิ้วตบกระจกแนวนอน</v>
      </c>
      <c r="C169" s="153" t="str">
        <f aca="false">C147</f>
        <v>5-6-8mm GLAZING BEAD HORIZONTAL</v>
      </c>
      <c r="D169" s="159" t="str">
        <f aca="false">VLOOKUP(C169,$C$133:$H$153,2,0)</f>
        <v>B24008</v>
      </c>
      <c r="E169" s="155" t="n">
        <f aca="false">VLOOKUP(C169,$C$133:$H$153,3,0)</f>
        <v>0.231</v>
      </c>
      <c r="F169" s="267" t="n">
        <f aca="false">VLOOKUP(C169,$C$133:$I$153,7,0)</f>
        <v>590.28125</v>
      </c>
      <c r="G169" s="155" t="n">
        <f aca="false">VLOOKUP(C169,$C$133:$J$153,8,0)</f>
        <v>16</v>
      </c>
      <c r="H169" s="160" t="n">
        <f aca="false">ROUNDUP(((F169*G169)+(F170*G170))/6400,0)</f>
        <v>8</v>
      </c>
      <c r="I169" s="196"/>
      <c r="J169" s="196"/>
    </row>
    <row r="170" s="96" customFormat="true" ht="13.5" hidden="false" customHeight="true" outlineLevel="1" collapsed="false">
      <c r="A170" s="158" t="n">
        <f aca="false">IF(B170="","",+A169+1)</f>
        <v>16</v>
      </c>
      <c r="B170" s="153" t="str">
        <f aca="false">B148</f>
        <v>5-6mm คิ้วตบกระจกแนวตั้ง</v>
      </c>
      <c r="C170" s="153" t="str">
        <f aca="false">C148</f>
        <v>5-6mm GLAZING BEAD VERTICAL</v>
      </c>
      <c r="D170" s="159"/>
      <c r="E170" s="155" t="n">
        <f aca="false">VLOOKUP(C170,$C$133:$H$153,3,0)</f>
        <v>0.231</v>
      </c>
      <c r="F170" s="263" t="n">
        <f aca="false">VLOOKUP(C170,$C$133:$I$153,7,0)</f>
        <v>2458</v>
      </c>
      <c r="G170" s="155" t="n">
        <f aca="false">VLOOKUP(C170,$C$133:$J$153,8,0)</f>
        <v>16</v>
      </c>
      <c r="H170" s="160"/>
      <c r="I170" s="196"/>
      <c r="J170" s="196"/>
    </row>
    <row r="171" s="96" customFormat="true" ht="13.5" hidden="false" customHeight="true" outlineLevel="1" collapsed="false">
      <c r="A171" s="158" t="n">
        <f aca="false">IF(B171="","",+A170+1)</f>
        <v>17</v>
      </c>
      <c r="B171" s="153" t="str">
        <f aca="false">B149</f>
        <v>บังใบ</v>
      </c>
      <c r="C171" s="153" t="str">
        <f aca="false">C149</f>
        <v>SASH STOP</v>
      </c>
      <c r="D171" s="163" t="str">
        <f aca="false">VLOOKUP(C171,$C$133:$H$153,2,0)</f>
        <v>B24009</v>
      </c>
      <c r="E171" s="155" t="n">
        <f aca="false">VLOOKUP(C171,$C$133:$H$153,3,0)</f>
        <v>0</v>
      </c>
      <c r="F171" s="263" t="n">
        <f aca="false">VLOOKUP(C171,$C$133:$I$153,7,0)</f>
        <v>2608</v>
      </c>
      <c r="G171" s="155" t="n">
        <f aca="false">VLOOKUP(C171,$C$133:$J$153,8,0)</f>
        <v>1</v>
      </c>
      <c r="H171" s="160" t="n">
        <f aca="false">ROUNDUP(((F171*G171)+(F172*G172))/6400,0)</f>
        <v>1</v>
      </c>
      <c r="I171" s="196"/>
      <c r="J171" s="196"/>
    </row>
    <row r="172" s="96" customFormat="true" ht="14.25" hidden="false" customHeight="false" outlineLevel="1" collapsed="false">
      <c r="A172" s="158" t="n">
        <f aca="false">IF(B172="","",+A171+1)</f>
        <v>18</v>
      </c>
      <c r="B172" s="153" t="str">
        <f aca="false">B150</f>
        <v>บังใบ</v>
      </c>
      <c r="C172" s="153" t="str">
        <f aca="false">C150</f>
        <v>SASH STOP</v>
      </c>
      <c r="D172" s="163"/>
      <c r="E172" s="155" t="n">
        <f aca="false">VLOOKUP(C172,$C$133:$H$153,3,0)</f>
        <v>0</v>
      </c>
      <c r="F172" s="263" t="n">
        <f aca="false">VLOOKUP(C172,$C$133:$I$153,7,0)</f>
        <v>2608</v>
      </c>
      <c r="G172" s="155" t="n">
        <f aca="false">VLOOKUP(C172,$C$133:$J$153,8,0)</f>
        <v>1</v>
      </c>
      <c r="H172" s="160"/>
      <c r="I172" s="196"/>
      <c r="J172" s="196"/>
    </row>
    <row r="173" s="96" customFormat="true" ht="24.75" hidden="false" customHeight="true" outlineLevel="0" collapsed="false">
      <c r="A173" s="113" t="s">
        <v>396</v>
      </c>
      <c r="B173" s="113"/>
      <c r="C173" s="113"/>
      <c r="D173" s="113"/>
      <c r="E173" s="113"/>
      <c r="F173" s="113"/>
      <c r="G173" s="113"/>
      <c r="H173" s="113"/>
      <c r="I173" s="113"/>
      <c r="J173" s="113"/>
    </row>
    <row r="174" s="96" customFormat="true" ht="34.5" hidden="false" customHeight="true" outlineLevel="0" collapsed="false">
      <c r="A174" s="114" t="s">
        <v>319</v>
      </c>
      <c r="B174" s="115" t="s">
        <v>320</v>
      </c>
      <c r="C174" s="115" t="s">
        <v>168</v>
      </c>
      <c r="D174" s="115" t="s">
        <v>397</v>
      </c>
      <c r="E174" s="115" t="s">
        <v>321</v>
      </c>
      <c r="F174" s="116" t="s">
        <v>398</v>
      </c>
      <c r="G174" s="115" t="s">
        <v>399</v>
      </c>
      <c r="H174" s="116" t="s">
        <v>400</v>
      </c>
      <c r="I174" s="116" t="s">
        <v>401</v>
      </c>
      <c r="J174" s="117" t="s">
        <v>402</v>
      </c>
      <c r="N174" s="107" t="s">
        <v>288</v>
      </c>
      <c r="O174" s="165" t="s">
        <v>320</v>
      </c>
      <c r="P174" s="165" t="s">
        <v>168</v>
      </c>
      <c r="Q174" s="165" t="s">
        <v>397</v>
      </c>
      <c r="R174" s="165" t="s">
        <v>321</v>
      </c>
      <c r="S174" s="165" t="s">
        <v>398</v>
      </c>
      <c r="T174" s="165" t="s">
        <v>399</v>
      </c>
      <c r="U174" s="165" t="s">
        <v>400</v>
      </c>
      <c r="V174" s="165" t="s">
        <v>401</v>
      </c>
      <c r="W174" s="165" t="s">
        <v>402</v>
      </c>
    </row>
    <row r="175" s="96" customFormat="true" ht="18" hidden="false" customHeight="true" outlineLevel="0" collapsed="false">
      <c r="A175" s="166" t="n">
        <f aca="false">IF(B175="","",1)</f>
        <v>1</v>
      </c>
      <c r="B175" s="131" t="s">
        <v>410</v>
      </c>
      <c r="C175" s="131" t="s">
        <v>411</v>
      </c>
      <c r="D175" s="132" t="s">
        <v>267</v>
      </c>
      <c r="E175" s="130"/>
      <c r="F175" s="130" t="s">
        <v>267</v>
      </c>
      <c r="G175" s="130" t="s">
        <v>405</v>
      </c>
      <c r="H175" s="130" t="n">
        <v>16</v>
      </c>
      <c r="I175" s="133"/>
      <c r="J175" s="134" t="n">
        <f aca="false">$J$120*H175</f>
        <v>16</v>
      </c>
      <c r="N175" s="107" t="s">
        <v>406</v>
      </c>
      <c r="O175" s="55" t="s">
        <v>407</v>
      </c>
      <c r="P175" s="62" t="s">
        <v>408</v>
      </c>
      <c r="Q175" s="55" t="s">
        <v>227</v>
      </c>
      <c r="R175" s="158"/>
      <c r="S175" s="158" t="s">
        <v>227</v>
      </c>
      <c r="T175" s="158" t="s">
        <v>409</v>
      </c>
      <c r="U175" s="168" t="n">
        <f aca="false">((($I$141*$G$141)+($I$142*$G$142)+($I$143*$G$143)+($I$144*$G$144)+($I$145*$G$145)+($I$146*$G$146))/1000)*$J$120</f>
        <v>52.936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2</v>
      </c>
      <c r="B176" s="131" t="s">
        <v>415</v>
      </c>
      <c r="C176" s="131" t="s">
        <v>416</v>
      </c>
      <c r="D176" s="132" t="s">
        <v>222</v>
      </c>
      <c r="E176" s="130"/>
      <c r="F176" s="130" t="s">
        <v>222</v>
      </c>
      <c r="G176" s="130" t="s">
        <v>405</v>
      </c>
      <c r="H176" s="130" t="n">
        <v>2</v>
      </c>
      <c r="I176" s="133"/>
      <c r="J176" s="134" t="n">
        <f aca="false">$J$120*H176</f>
        <v>2</v>
      </c>
      <c r="N176" s="107" t="s">
        <v>412</v>
      </c>
      <c r="O176" s="55" t="s">
        <v>413</v>
      </c>
      <c r="P176" s="62" t="s">
        <v>414</v>
      </c>
      <c r="Q176" s="55" t="s">
        <v>234</v>
      </c>
      <c r="R176" s="158"/>
      <c r="S176" s="158" t="s">
        <v>234</v>
      </c>
      <c r="T176" s="158" t="s">
        <v>409</v>
      </c>
      <c r="U176" s="168" t="n">
        <f aca="false">((($I$141*$G$141)+($I$142*$G$142)+($I$143*$G$143)+($I$144*$G$144)+($I$145*$G$145)+($I$146*$G$146))/1000)*$J$120</f>
        <v>52.936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3</v>
      </c>
      <c r="B177" s="131" t="s">
        <v>420</v>
      </c>
      <c r="C177" s="131" t="s">
        <v>421</v>
      </c>
      <c r="D177" s="132" t="s">
        <v>225</v>
      </c>
      <c r="E177" s="130"/>
      <c r="F177" s="130" t="s">
        <v>225</v>
      </c>
      <c r="G177" s="130" t="s">
        <v>405</v>
      </c>
      <c r="H177" s="130" t="n">
        <v>2</v>
      </c>
      <c r="I177" s="133"/>
      <c r="J177" s="134" t="n">
        <f aca="false">$J$120*H177</f>
        <v>2</v>
      </c>
      <c r="N177" s="107" t="s">
        <v>417</v>
      </c>
      <c r="O177" s="62" t="s">
        <v>418</v>
      </c>
      <c r="P177" s="62" t="s">
        <v>419</v>
      </c>
      <c r="Q177" s="316" t="s">
        <v>236</v>
      </c>
      <c r="R177" s="158"/>
      <c r="S177" s="317" t="s">
        <v>236</v>
      </c>
      <c r="T177" s="158" t="s">
        <v>409</v>
      </c>
      <c r="U177" s="168" t="n">
        <f aca="false">((($I$141*$G$141)+($I$142*$G$142)+($I$143*$G$143)+($I$144*$G$144)+($I$145*$G$145)+($I$146*$G$146))/1000)*$J$120</f>
        <v>52.936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4</v>
      </c>
      <c r="B178" s="131" t="s">
        <v>425</v>
      </c>
      <c r="C178" s="131" t="s">
        <v>426</v>
      </c>
      <c r="D178" s="132" t="n">
        <v>9</v>
      </c>
      <c r="E178" s="130"/>
      <c r="F178" s="130" t="n">
        <v>9</v>
      </c>
      <c r="G178" s="130" t="s">
        <v>405</v>
      </c>
      <c r="H178" s="130" t="n">
        <v>8</v>
      </c>
      <c r="I178" s="133"/>
      <c r="J178" s="134" t="n">
        <f aca="false">$J$120*H178</f>
        <v>8</v>
      </c>
      <c r="N178" s="107" t="s">
        <v>422</v>
      </c>
      <c r="O178" s="62" t="s">
        <v>423</v>
      </c>
      <c r="P178" s="62" t="s">
        <v>424</v>
      </c>
      <c r="Q178" s="55" t="s">
        <v>238</v>
      </c>
      <c r="R178" s="158"/>
      <c r="S178" s="158" t="s">
        <v>238</v>
      </c>
      <c r="T178" s="158" t="s">
        <v>409</v>
      </c>
      <c r="U178" s="168" t="n">
        <f aca="false">((($I$141*$G$141)+($I$142*$G$142)+($I$143*$G$143)+($I$144*$G$144)+($I$145*$G$145)+($I$146*$G$146))/1000)*$J$120</f>
        <v>52.936</v>
      </c>
      <c r="V178" s="168" t="n">
        <v>100</v>
      </c>
      <c r="W178" s="169" t="n">
        <f aca="false">ROUNDUP((U178)/100,0)</f>
        <v>1</v>
      </c>
    </row>
    <row r="179" s="96" customFormat="true" ht="18" hidden="false" customHeight="true" outlineLevel="0" collapsed="false">
      <c r="A179" s="170" t="n">
        <f aca="false">IF(B179="","",+A178+1)</f>
        <v>5</v>
      </c>
      <c r="B179" s="131" t="s">
        <v>430</v>
      </c>
      <c r="C179" s="131" t="s">
        <v>431</v>
      </c>
      <c r="D179" s="132" t="n">
        <v>9</v>
      </c>
      <c r="E179" s="130"/>
      <c r="F179" s="130" t="n">
        <v>9</v>
      </c>
      <c r="G179" s="130" t="s">
        <v>405</v>
      </c>
      <c r="H179" s="130" t="n">
        <v>110</v>
      </c>
      <c r="I179" s="133"/>
      <c r="J179" s="134" t="n">
        <f aca="false">$J$120*H179</f>
        <v>110</v>
      </c>
      <c r="N179" s="107" t="s">
        <v>427</v>
      </c>
      <c r="O179" s="62" t="s">
        <v>428</v>
      </c>
      <c r="P179" s="62" t="s">
        <v>429</v>
      </c>
      <c r="Q179" s="316" t="s">
        <v>240</v>
      </c>
      <c r="R179" s="158"/>
      <c r="S179" s="317" t="s">
        <v>240</v>
      </c>
      <c r="T179" s="158" t="s">
        <v>409</v>
      </c>
      <c r="U179" s="168" t="n">
        <f aca="false">((($I$141*$G$141)+($I$142*$G$142)+($I$143*$G$143)+($I$144*$G$144)+($I$145*$G$145)+($I$146*$G$146))/1000)*$J$120</f>
        <v>52.936</v>
      </c>
      <c r="V179" s="168" t="n">
        <v>100</v>
      </c>
      <c r="W179" s="169" t="n">
        <f aca="false">ROUNDUP((U179)/100,0)</f>
        <v>1</v>
      </c>
    </row>
    <row r="180" s="96" customFormat="true" ht="18" hidden="false" customHeight="true" outlineLevel="0" collapsed="false">
      <c r="A180" s="170" t="n">
        <f aca="false">IF(B180="","",+A179+1)</f>
        <v>6</v>
      </c>
      <c r="B180" s="131" t="s">
        <v>603</v>
      </c>
      <c r="C180" s="131" t="s">
        <v>438</v>
      </c>
      <c r="D180" s="132" t="s">
        <v>4</v>
      </c>
      <c r="E180" s="130"/>
      <c r="F180" s="130" t="s">
        <v>4</v>
      </c>
      <c r="G180" s="130" t="s">
        <v>434</v>
      </c>
      <c r="H180" s="130" t="n">
        <v>1</v>
      </c>
      <c r="I180" s="133"/>
      <c r="J180" s="134" t="n">
        <f aca="false">$J$120*H180</f>
        <v>1</v>
      </c>
    </row>
    <row r="181" s="96" customFormat="true" ht="18" hidden="false" customHeight="true" outlineLevel="0" collapsed="false">
      <c r="A181" s="170" t="n">
        <f aca="false">IF(B181="","",+A180+1)</f>
        <v>7</v>
      </c>
      <c r="B181" s="131" t="s">
        <v>556</v>
      </c>
      <c r="C181" s="131" t="s">
        <v>557</v>
      </c>
      <c r="D181" s="132" t="s">
        <v>5</v>
      </c>
      <c r="E181" s="130"/>
      <c r="F181" s="130" t="s">
        <v>5</v>
      </c>
      <c r="G181" s="130" t="s">
        <v>434</v>
      </c>
      <c r="H181" s="130" t="n">
        <v>2</v>
      </c>
      <c r="I181" s="133"/>
      <c r="J181" s="134" t="n">
        <f aca="false">$J$120*H181</f>
        <v>2</v>
      </c>
    </row>
    <row r="182" s="96" customFormat="true" ht="18" hidden="false" customHeight="true" outlineLevel="0" collapsed="false">
      <c r="A182" s="170" t="n">
        <f aca="false">IF(B182="","",+A181+1)</f>
        <v>8</v>
      </c>
      <c r="B182" s="131" t="s">
        <v>432</v>
      </c>
      <c r="C182" s="131" t="s">
        <v>433</v>
      </c>
      <c r="D182" s="132" t="s">
        <v>6</v>
      </c>
      <c r="E182" s="130"/>
      <c r="F182" s="130" t="s">
        <v>6</v>
      </c>
      <c r="G182" s="130" t="s">
        <v>434</v>
      </c>
      <c r="H182" s="130" t="n">
        <v>1</v>
      </c>
      <c r="I182" s="133"/>
      <c r="J182" s="134" t="n">
        <f aca="false">$J$120*H182</f>
        <v>1</v>
      </c>
    </row>
    <row r="183" s="96" customFormat="true" ht="18" hidden="false" customHeight="true" outlineLevel="0" collapsed="false">
      <c r="A183" s="170" t="n">
        <f aca="false">IF(B183="","",+A182+1)</f>
        <v>9</v>
      </c>
      <c r="B183" s="131" t="s">
        <v>512</v>
      </c>
      <c r="C183" s="131" t="s">
        <v>513</v>
      </c>
      <c r="D183" s="132" t="s">
        <v>7</v>
      </c>
      <c r="E183" s="130"/>
      <c r="F183" s="130" t="s">
        <v>7</v>
      </c>
      <c r="G183" s="130" t="s">
        <v>434</v>
      </c>
      <c r="H183" s="130" t="n">
        <v>1</v>
      </c>
      <c r="I183" s="133"/>
      <c r="J183" s="134" t="n">
        <f aca="false">$J$120*H183</f>
        <v>1</v>
      </c>
    </row>
    <row r="184" s="96" customFormat="true" ht="18" hidden="false" customHeight="true" outlineLevel="0" collapsed="false">
      <c r="A184" s="170" t="n">
        <f aca="false">IF(B184="","",+A183+1)</f>
        <v>10</v>
      </c>
      <c r="B184" s="131" t="s">
        <v>554</v>
      </c>
      <c r="C184" s="131" t="s">
        <v>555</v>
      </c>
      <c r="D184" s="132" t="s">
        <v>11</v>
      </c>
      <c r="E184" s="130"/>
      <c r="F184" s="130" t="s">
        <v>11</v>
      </c>
      <c r="G184" s="130" t="s">
        <v>434</v>
      </c>
      <c r="H184" s="130" t="n">
        <v>3</v>
      </c>
      <c r="I184" s="133"/>
      <c r="J184" s="134" t="n">
        <f aca="false">$J$120*H184</f>
        <v>3</v>
      </c>
      <c r="Q184" s="172"/>
      <c r="R184" s="172"/>
      <c r="S184" s="172"/>
      <c r="T184" s="97"/>
      <c r="U184" s="97"/>
      <c r="V184" s="97"/>
    </row>
    <row r="185" s="96" customFormat="true" ht="18" hidden="false" customHeight="true" outlineLevel="0" collapsed="false">
      <c r="A185" s="170" t="n">
        <f aca="false">IF(B185="","",+A184+1)</f>
        <v>11</v>
      </c>
      <c r="B185" s="131" t="s">
        <v>439</v>
      </c>
      <c r="C185" s="131" t="s">
        <v>440</v>
      </c>
      <c r="D185" s="132" t="s">
        <v>12</v>
      </c>
      <c r="E185" s="130"/>
      <c r="F185" s="130" t="s">
        <v>12</v>
      </c>
      <c r="G185" s="130" t="s">
        <v>434</v>
      </c>
      <c r="H185" s="130" t="n">
        <v>3</v>
      </c>
      <c r="I185" s="142"/>
      <c r="J185" s="134" t="n">
        <f aca="false">$J$120*H185</f>
        <v>3</v>
      </c>
      <c r="N185" s="107" t="s">
        <v>289</v>
      </c>
      <c r="O185" s="165" t="s">
        <v>320</v>
      </c>
      <c r="P185" s="165" t="s">
        <v>168</v>
      </c>
      <c r="Q185" s="165" t="s">
        <v>397</v>
      </c>
      <c r="R185" s="165" t="s">
        <v>321</v>
      </c>
      <c r="S185" s="165" t="s">
        <v>398</v>
      </c>
      <c r="T185" s="165" t="s">
        <v>399</v>
      </c>
      <c r="U185" s="165" t="s">
        <v>400</v>
      </c>
      <c r="V185" s="165" t="s">
        <v>401</v>
      </c>
      <c r="W185" s="165" t="s">
        <v>402</v>
      </c>
    </row>
    <row r="186" s="96" customFormat="true" ht="18" hidden="false" customHeight="true" outlineLevel="0" collapsed="false">
      <c r="A186" s="170" t="n">
        <f aca="false">IF(B186="","",+A185+1)</f>
        <v>12</v>
      </c>
      <c r="B186" s="131" t="s">
        <v>540</v>
      </c>
      <c r="C186" s="131" t="s">
        <v>541</v>
      </c>
      <c r="D186" s="132" t="s">
        <v>542</v>
      </c>
      <c r="E186" s="130"/>
      <c r="F186" s="130" t="s">
        <v>542</v>
      </c>
      <c r="G186" s="130" t="s">
        <v>434</v>
      </c>
      <c r="H186" s="130" t="n">
        <v>1</v>
      </c>
      <c r="I186" s="142"/>
      <c r="J186" s="134" t="n">
        <f aca="false">$J$120*H186</f>
        <v>1</v>
      </c>
      <c r="N186" s="107" t="s">
        <v>445</v>
      </c>
      <c r="O186" s="62" t="s">
        <v>446</v>
      </c>
      <c r="P186" s="62" t="s">
        <v>447</v>
      </c>
      <c r="Q186" s="55" t="s">
        <v>230</v>
      </c>
      <c r="R186" s="158"/>
      <c r="S186" s="158" t="s">
        <v>230</v>
      </c>
      <c r="T186" s="158" t="s">
        <v>409</v>
      </c>
      <c r="U186" s="168" t="n">
        <f aca="false">((($I$134*$G$134)+($I$136*$G$136)+($I$139*$G$139))/1000)*$J$120</f>
        <v>13.858</v>
      </c>
      <c r="V186" s="168" t="n">
        <v>300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13</v>
      </c>
      <c r="B187" s="131" t="s">
        <v>441</v>
      </c>
      <c r="C187" s="131" t="s">
        <v>442</v>
      </c>
      <c r="D187" s="132" t="s">
        <v>274</v>
      </c>
      <c r="E187" s="130"/>
      <c r="F187" s="130" t="s">
        <v>274</v>
      </c>
      <c r="G187" s="130" t="s">
        <v>405</v>
      </c>
      <c r="H187" s="130" t="n">
        <v>6</v>
      </c>
      <c r="I187" s="133"/>
      <c r="J187" s="134" t="n">
        <f aca="false">$J$120*H187</f>
        <v>6</v>
      </c>
      <c r="N187" s="107" t="s">
        <v>448</v>
      </c>
      <c r="O187" s="62" t="s">
        <v>449</v>
      </c>
      <c r="P187" s="62" t="s">
        <v>450</v>
      </c>
      <c r="Q187" s="55" t="s">
        <v>451</v>
      </c>
      <c r="R187" s="158"/>
      <c r="S187" s="158" t="s">
        <v>451</v>
      </c>
      <c r="T187" s="158" t="s">
        <v>409</v>
      </c>
      <c r="U187" s="168" t="n">
        <f aca="false">((($I$134*$G$134)+($I$136*$G$136)+($I$139*$G$139))/1000)*$J$120</f>
        <v>13.858</v>
      </c>
      <c r="V187" s="168" t="n">
        <v>100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14</v>
      </c>
      <c r="B188" s="131" t="s">
        <v>443</v>
      </c>
      <c r="C188" s="131" t="s">
        <v>444</v>
      </c>
      <c r="D188" s="132" t="s">
        <v>272</v>
      </c>
      <c r="E188" s="130"/>
      <c r="F188" s="130" t="s">
        <v>272</v>
      </c>
      <c r="G188" s="130" t="s">
        <v>405</v>
      </c>
      <c r="H188" s="130" t="n">
        <v>1</v>
      </c>
      <c r="I188" s="133"/>
      <c r="J188" s="134" t="n">
        <f aca="false">$J$120*H188</f>
        <v>1</v>
      </c>
      <c r="N188" s="107" t="s">
        <v>445</v>
      </c>
      <c r="O188" s="62" t="s">
        <v>452</v>
      </c>
      <c r="P188" s="62" t="s">
        <v>453</v>
      </c>
      <c r="Q188" s="55" t="s">
        <v>232</v>
      </c>
      <c r="R188" s="158"/>
      <c r="S188" s="158" t="s">
        <v>232</v>
      </c>
      <c r="T188" s="158" t="s">
        <v>409</v>
      </c>
      <c r="U188" s="168" t="n">
        <f aca="false">((($I$141*$G$141*2)+($I$143*$G$143*2)+($I$144*$G$144*2))/1000)*$J$120</f>
        <v>84.232</v>
      </c>
      <c r="V188" s="168" t="n">
        <v>350</v>
      </c>
      <c r="W188" s="169" t="n">
        <f aca="false">ROUNDUP((U188)/V188,0)</f>
        <v>1</v>
      </c>
    </row>
    <row r="189" s="96" customFormat="true" ht="18" hidden="false" customHeight="true" outlineLevel="0" collapsed="false">
      <c r="A189" s="170" t="n">
        <f aca="false">IF(B189="","",+A188+1)</f>
        <v>15</v>
      </c>
      <c r="B189" s="131" t="s">
        <v>403</v>
      </c>
      <c r="C189" s="131" t="s">
        <v>404</v>
      </c>
      <c r="D189" s="132" t="s">
        <v>576</v>
      </c>
      <c r="E189" s="130"/>
      <c r="F189" s="130" t="s">
        <v>576</v>
      </c>
      <c r="G189" s="130" t="s">
        <v>405</v>
      </c>
      <c r="H189" s="130" t="n">
        <v>1</v>
      </c>
      <c r="I189" s="133"/>
      <c r="J189" s="134" t="n">
        <f aca="false">$J$120*H189</f>
        <v>1</v>
      </c>
      <c r="N189" s="107" t="s">
        <v>448</v>
      </c>
      <c r="O189" s="62" t="s">
        <v>454</v>
      </c>
      <c r="P189" s="62" t="s">
        <v>455</v>
      </c>
      <c r="Q189" s="55" t="s">
        <v>456</v>
      </c>
      <c r="R189" s="158"/>
      <c r="S189" s="158" t="s">
        <v>456</v>
      </c>
      <c r="T189" s="158" t="s">
        <v>409</v>
      </c>
      <c r="U189" s="168" t="n">
        <f aca="false">((($I$141*$G$141*2)+($I$143*$G$143*2)+($I$144*$G$144*2))/1000)*$J$120</f>
        <v>84.232</v>
      </c>
      <c r="V189" s="168" t="n">
        <v>100</v>
      </c>
      <c r="W189" s="169" t="n">
        <f aca="false">ROUNDUP((U189)/V189,0)</f>
        <v>1</v>
      </c>
    </row>
    <row r="190" s="96" customFormat="true" ht="18" hidden="false" customHeight="true" outlineLevel="0" collapsed="false">
      <c r="A190" s="170" t="n">
        <f aca="false">IF(B190="","",+A189+1)</f>
        <v>16</v>
      </c>
      <c r="B190" s="131" t="s">
        <v>403</v>
      </c>
      <c r="C190" s="131" t="s">
        <v>404</v>
      </c>
      <c r="D190" s="132" t="s">
        <v>276</v>
      </c>
      <c r="E190" s="130"/>
      <c r="F190" s="130" t="s">
        <v>276</v>
      </c>
      <c r="G190" s="130" t="s">
        <v>405</v>
      </c>
      <c r="H190" s="130" t="n">
        <v>3</v>
      </c>
      <c r="I190" s="133"/>
      <c r="J190" s="134" t="n">
        <f aca="false">$J$120*H190</f>
        <v>3</v>
      </c>
    </row>
    <row r="191" s="96" customFormat="true" ht="18" hidden="false" customHeight="true" outlineLevel="0" collapsed="false">
      <c r="A191" s="170" t="n">
        <f aca="false">IF(B191="","",+A190+1)</f>
        <v>17</v>
      </c>
      <c r="B191" s="131" t="s">
        <v>577</v>
      </c>
      <c r="C191" s="131" t="s">
        <v>578</v>
      </c>
      <c r="D191" s="132" t="s">
        <v>215</v>
      </c>
      <c r="E191" s="130"/>
      <c r="F191" s="130" t="s">
        <v>215</v>
      </c>
      <c r="G191" s="130" t="s">
        <v>434</v>
      </c>
      <c r="H191" s="130" t="n">
        <v>1</v>
      </c>
      <c r="I191" s="133"/>
      <c r="J191" s="134" t="n">
        <f aca="false">$J$120*H191</f>
        <v>1</v>
      </c>
    </row>
    <row r="192" s="96" customFormat="true" ht="18" hidden="false" customHeight="true" outlineLevel="0" collapsed="false">
      <c r="A192" s="170" t="n">
        <f aca="false">IF(B192="","",+A191+1)</f>
        <v>18</v>
      </c>
      <c r="B192" s="131" t="s">
        <v>579</v>
      </c>
      <c r="C192" s="131" t="s">
        <v>578</v>
      </c>
      <c r="D192" s="132" t="s">
        <v>220</v>
      </c>
      <c r="E192" s="130"/>
      <c r="F192" s="130" t="s">
        <v>220</v>
      </c>
      <c r="G192" s="130" t="s">
        <v>434</v>
      </c>
      <c r="H192" s="130" t="n">
        <v>1</v>
      </c>
      <c r="I192" s="133"/>
      <c r="J192" s="134" t="str">
        <f aca="false">IFERROR($J$120*G192,"")</f>
        <v/>
      </c>
    </row>
    <row r="193" s="96" customFormat="true" ht="18" hidden="false" customHeight="true" outlineLevel="0" collapsed="false">
      <c r="A193" s="170" t="n">
        <f aca="false">IF(B193="","",+A192+1)</f>
        <v>19</v>
      </c>
      <c r="B193" s="131" t="s">
        <v>580</v>
      </c>
      <c r="C193" s="131" t="s">
        <v>581</v>
      </c>
      <c r="D193" s="132" t="s">
        <v>582</v>
      </c>
      <c r="E193" s="130"/>
      <c r="F193" s="130" t="s">
        <v>582</v>
      </c>
      <c r="G193" s="130" t="s">
        <v>409</v>
      </c>
      <c r="H193" s="173" t="n">
        <f aca="false">((($I$149*$G$149)+($I$150*$G$150))/1000)*$J$120</f>
        <v>5.216</v>
      </c>
      <c r="I193" s="174" t="n">
        <v>100</v>
      </c>
      <c r="J193" s="175" t="n">
        <f aca="false">ROUNDUP((H193)/100,0)</f>
        <v>1</v>
      </c>
    </row>
    <row r="194" s="96" customFormat="true" ht="18" hidden="false" customHeight="true" outlineLevel="0" collapsed="false">
      <c r="A194" s="170" t="n">
        <f aca="false">IF(B194="","",+A193+1)</f>
        <v>20</v>
      </c>
      <c r="B194" s="131" t="s">
        <v>583</v>
      </c>
      <c r="C194" s="131" t="s">
        <v>584</v>
      </c>
      <c r="D194" s="132" t="s">
        <v>585</v>
      </c>
      <c r="E194" s="130"/>
      <c r="F194" s="130" t="s">
        <v>585</v>
      </c>
      <c r="G194" s="130" t="s">
        <v>409</v>
      </c>
      <c r="H194" s="173" t="n">
        <f aca="false">((($I$144*$G$144)+($I$146*$G$146))/1000)*$J$120</f>
        <v>7.824</v>
      </c>
      <c r="I194" s="174" t="n">
        <v>100</v>
      </c>
      <c r="J194" s="175" t="n">
        <f aca="false">ROUNDUP((H194)/100,0)</f>
        <v>1</v>
      </c>
    </row>
    <row r="195" customFormat="false" ht="18" hidden="false" customHeight="true" outlineLevel="0" collapsed="false">
      <c r="A195" s="170" t="n">
        <f aca="false">IF(B195="","",+A194+1)</f>
        <v>21</v>
      </c>
      <c r="B195" s="132" t="str">
        <f aca="false">IF($D$129="Standard",$O$186,IF($D$129="Soumdproof",$O$187,))</f>
        <v>ยางเฟรมกันน้ำ (ธรรมดา)</v>
      </c>
      <c r="C195" s="132" t="str">
        <f aca="false">IF($D$129="Standard",$P$186,IF($D$129="Soumdproof",$P$187,))</f>
        <v>FRAME SEAL (Standard)</v>
      </c>
      <c r="D195" s="132" t="str">
        <f aca="false">IF($D$129="Standard",$Q$186,IF($D$129="Soumdproof",$Q$187,))</f>
        <v>02-026</v>
      </c>
      <c r="E195" s="130" t="n">
        <f aca="false">IF($D$129="Standard",R191,IF($D$129="Soumdproof",R192,))</f>
        <v>0</v>
      </c>
      <c r="F195" s="130" t="str">
        <f aca="false">IF($D$129="Standard",$S$186,IF($D$129="Soumdproof",$S$187,))</f>
        <v>02-026</v>
      </c>
      <c r="G195" s="130" t="str">
        <f aca="false">IF($D$129="Standard",$T$186,IF($D$129="Soumdproof",$T$187,))</f>
        <v>M</v>
      </c>
      <c r="H195" s="173" t="n">
        <f aca="false">IF($D$129="Standard",$U$186,IF($D$129="Soumdproof",$U$187,))</f>
        <v>13.858</v>
      </c>
      <c r="I195" s="174" t="n">
        <f aca="false">IF($D$129="Standard",$V$186,IF($D$129="Soumdproof",$V$187,))</f>
        <v>300</v>
      </c>
      <c r="J195" s="175" t="n">
        <f aca="false">ROUNDUP((H195)/100,0)</f>
        <v>1</v>
      </c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</row>
    <row r="196" s="96" customFormat="true" ht="18" hidden="false" customHeight="true" outlineLevel="0" collapsed="false">
      <c r="A196" s="170" t="n">
        <f aca="false">IF(B196="","",+A195+1)</f>
        <v>22</v>
      </c>
      <c r="B196" s="132" t="str">
        <f aca="false">IF($D$129="Standard",$O$188,IF($D$129="Soumdproof",$O$189,))</f>
        <v>ยางแซชกันน้ำ (ธรรมดา)</v>
      </c>
      <c r="C196" s="132" t="str">
        <f aca="false">IF($D$129="Standard",$P$188,IF($D$129="Soumdproof",$P$189,))</f>
        <v>SASH SEAL FOAM (Standard)</v>
      </c>
      <c r="D196" s="132" t="str">
        <f aca="false">IF($D$129="Standard",$Q$188,IF($D$129="Soumdproof",$Q$189,))</f>
        <v>02-031</v>
      </c>
      <c r="E196" s="130" t="n">
        <f aca="false">IF($D$129="Standard",R193,IF($D$129="Soumdproof",R194,))</f>
        <v>0</v>
      </c>
      <c r="F196" s="130" t="str">
        <f aca="false">IF($D$129="Standard",$S$188,IF($D$129="Soumdproof",$S$189,))</f>
        <v>02-031</v>
      </c>
      <c r="G196" s="130" t="str">
        <f aca="false">IF($D$129="Standard",$T$188,IF($D$129="Soumdproof",$T$189,))</f>
        <v>M</v>
      </c>
      <c r="H196" s="173" t="n">
        <f aca="false">IF($D$129="Standard",$U$188,IF($D$129="Soumdproof",$U$189,))</f>
        <v>84.232</v>
      </c>
      <c r="I196" s="174" t="n">
        <f aca="false">IF($D$129="Standard",$V$188,IF($D$129="Soumdproof",$V$189,))</f>
        <v>350</v>
      </c>
      <c r="J196" s="175" t="n">
        <f aca="false">ROUNDUP((H196)/100,0)</f>
        <v>1</v>
      </c>
    </row>
    <row r="197" s="96" customFormat="true" ht="18" hidden="false" customHeight="true" outlineLevel="0" collapsed="false">
      <c r="A197" s="170" t="n">
        <f aca="false">IF(B197="","",+A196+1)</f>
        <v>23</v>
      </c>
      <c r="B197" s="176" t="str">
        <f aca="false">IF($D$127=5,$O$177,IF($D$127=6,$O$178,IF($D$127=8,$O$179,IF($D$127=10,$O$177,IF($D$127=12,$O$177,IF($D$127=14,$O$179,IF($D$127=18,$O$177,IF($D$127=20,$O$178,IF($D$127=22,"")))))))))</f>
        <v>6,20 mm ยางอัดกระจก</v>
      </c>
      <c r="C197" s="176" t="str">
        <f aca="false">IF($D$127=5,$P$177,IF($D$127=6,$P$178,IF($D$127=8,$P$179,IF($D$127=10,$P$177,IF($D$127=12,$P$177,IF($D$127=14,$P$179,IF($D$127=18,$P$177,IF($D$127=20,$P$178,IF($D$127=22,"")))))))))</f>
        <v>6,20 mm ROLL IN WEDGE</v>
      </c>
      <c r="D197" s="176" t="str">
        <f aca="false">IF($D$127=5,$Q$177,IF($D$127=6,$Q$178,IF($D$127=8,$Q$179,IF($D$127=10,$Q$177,IF($D$127=12,$Q$177,IF($D$127=14,$Q$179,IF($D$127=18,$Q$177,IF($D$127=20,$Q$178,IF($D$127=22,"")))))))))</f>
        <v>02-034</v>
      </c>
      <c r="E197" s="176" t="n">
        <f aca="false">IF($D$127=5,R182,IF($D$127=6,R183,IF($D$127=8,R184,IF($D$127=10,R182,IF($D$127=12,R182,IF($D$127=14,R184,IF($D$127=18,R182,IF($D$127=20,R183,IF($D$127=22,"",)))))))))</f>
        <v>0</v>
      </c>
      <c r="F197" s="167" t="str">
        <f aca="false">IF($D$127=5,$S$177,IF($D$127=6,$S$178,IF($D$127=8,$S$179,IF($D$127=10,$S$177,IF($D$127=12,$S$177,IF($D$127=14,$S$179,IF($D$127=18,$S$177,IF($D$127=20,$S$178,IF($D$127=22,"")))))))))</f>
        <v>02-034</v>
      </c>
      <c r="G197" s="167" t="str">
        <f aca="false">IF($D$127=5,$T$177,IF($D$127=6,$T$178,IF($D$127=8,$T$179,IF($D$127=10,$T$177,IF($D$127=12,$T$177,IF($D$127=14,$T$179,IF($D$127=18,$T$177,IF($D$127=20,$T$178,IF($D$127=22,"")))))))))</f>
        <v>M</v>
      </c>
      <c r="H197" s="173" t="n">
        <f aca="false">IF($D$127=5,$U$177,IF($D$127=6,$U$178,IF($D$127=8,$U$179,IF($D$127=10,$U$177*2,IF($D$127=12,$U$177,IF($D$127=14,$U$179*2,IF($D$127=18,$U$177,IF($D$127=20,$U$178,IF($D$127=22,"")))))))))</f>
        <v>52.936</v>
      </c>
      <c r="I197" s="174" t="n">
        <f aca="false">IF($D$127=5,$V$177,IF($D$127=6,$V$178,IF($D$127=8,$V$179,IF($D$127=10,$V$177,IF($D$127=12,$V$177,IF($D$127=14,$V$179,IF($D$127=18,$V$177,IF($D$127=20,$V$178,IF($D$127=22,"")))))))))</f>
        <v>100</v>
      </c>
      <c r="J197" s="175" t="n">
        <f aca="false">ROUNDUP((H197)/100,0)</f>
        <v>1</v>
      </c>
    </row>
    <row r="198" s="96" customFormat="true" ht="18" hidden="false" customHeight="true" outlineLevel="0" collapsed="false">
      <c r="A198" s="170" t="n">
        <f aca="false">IF(B198="","",+A197+1)</f>
        <v>24</v>
      </c>
      <c r="B198" s="176" t="str">
        <f aca="false">IF($D$127=5,$O$175,IF($D$127=6,$O$175,IF($D$127=8,$O$177,IF($D$127=10,"",IF($D$127=12,$O$176,IF($D$127=14,"",IF($D$127=18,$O$175,IF($D$127=20,$O$176,IF($D$127=22,"",)))))))))</f>
        <v>5,6,18 mm ยางรองกระจก</v>
      </c>
      <c r="C198" s="176" t="str">
        <f aca="false">IF($D$127=5,$P$175,IF($D$127=6,$P$175,IF($D$127=8,$P$177,IF($D$127=10,"",IF($D$127=12,$P$176,IF($D$127=14,"",IF($D$127=18,$P$175,IF($D$127=20,$P$176,IF($D$127=22,"",)))))))))</f>
        <v>5,6,18 mm CAPTIVE WEDGE</v>
      </c>
      <c r="D198" s="176" t="str">
        <f aca="false">IF($D$127=5,$Q$175,IF($D$127=6,$Q$175,IF($D$127=8,$Q$177,IF($D$127=10,"",IF($D$127=12,$Q$176,IF($D$127=14,"",IF($D$127=18,$Q$175,IF($D$127=20,$Q$176,IF($D$127=22,"",)))))))))</f>
        <v>02-022</v>
      </c>
      <c r="E198" s="176" t="n">
        <f aca="false">IF($D$127=5,R180,IF($D$127=6,R180,IF($D$127=8,R182,IF($D$127=10,"",IF($D$127=12,R181,IF($D$127=14,"",IF($D$127=18,R180,IF($D$127=20,R181,IF($D$127=22,"",)))))))))</f>
        <v>0</v>
      </c>
      <c r="F198" s="167" t="str">
        <f aca="false">IF($D$127=5,$S$175,IF($D$127=6,$S$175,IF($D$127=8,$S$177,IF($D$127=10,"",IF($D$127=12,$S$176,IF($D$127=14,"",IF($D$127=18,$S$175,IF($D$127=20,$S$176,IF($D$127=22,"",)))))))))</f>
        <v>02-022</v>
      </c>
      <c r="G198" s="167" t="str">
        <f aca="false">IF($D$127=5,$T$175,IF($D$127=6,$T$175,IF($D$127=8,$T$177,IF($D$127=10,"",IF($D$127=12,$T$176,IF($D$127=14,"",IF($D$127=18,$T$175,IF($D$127=20,$T$176,IF($D$127=22,"",)))))))))</f>
        <v>M</v>
      </c>
      <c r="H198" s="173" t="n">
        <f aca="false">IF($D$127=5,$U$175,IF($D$127=6,$U$175,IF($D$127=8,$U$177,IF($D$127=10,"",IF($D$127=12,$U$176,IF($D$127=14,"",IF($D$127=18,$U$175,IF($D$127=20,$U$176,IF($D$127=22,"")))))))))</f>
        <v>52.936</v>
      </c>
      <c r="I198" s="174" t="n">
        <f aca="false">IF($D$127=5,$V$175,IF($D$127=6,$V$175,IF($D$127=8,$V$177,IF($D$127=10,"",IF($D$127=12,$V$176,IF($D$127=14,"",IF($D$127=18,$V$175,IF($D$127=20,$V$176,IF($D$127=22,"",)))))))))</f>
        <v>100</v>
      </c>
      <c r="J198" s="175" t="n">
        <f aca="false">ROUNDUP((H198)/100,0)</f>
        <v>1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/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$J$120*G200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$J$120*G201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$J$120*G202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$J$120*G203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$J$120*G204</f>
        <v>0</v>
      </c>
    </row>
    <row r="205" s="96" customFormat="true" ht="18" hidden="false" customHeight="true" outlineLevel="0" collapsed="false">
      <c r="A205" s="179" t="str">
        <f aca="false">IF(B205="","",+A204+1)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$J$120*G205</f>
        <v>0</v>
      </c>
    </row>
    <row r="206" s="96" customFormat="true" ht="18" hidden="false" customHeight="true" outlineLevel="0" collapsed="false">
      <c r="A206" s="200"/>
      <c r="B206" s="98"/>
      <c r="D206" s="98"/>
      <c r="E206" s="97"/>
      <c r="F206" s="98"/>
      <c r="G206" s="98"/>
      <c r="H206" s="98"/>
      <c r="I206" s="196"/>
      <c r="J206" s="196"/>
    </row>
    <row r="207" customFormat="false" ht="18" hidden="false" customHeight="true" outlineLevel="0" collapsed="false">
      <c r="A207" s="97"/>
      <c r="J207" s="92" t="str">
        <f aca="false">LEFT($J$111,13)&amp;"-02"</f>
        <v>FG-240-8P3L5R-02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458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5640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461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5614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464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5640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97"/>
      <c r="H252" s="97"/>
      <c r="I252" s="196"/>
      <c r="J252" s="196"/>
    </row>
    <row r="253" s="96" customFormat="true" ht="15.75" hidden="false" customHeight="true" outlineLevel="0" collapsed="false">
      <c r="A253" s="191"/>
      <c r="B253" s="191"/>
      <c r="D253" s="192"/>
      <c r="E253" s="191"/>
      <c r="F253" s="191"/>
      <c r="G253" s="97"/>
      <c r="H253" s="97"/>
      <c r="I253" s="196"/>
      <c r="J253" s="196"/>
    </row>
    <row r="254" s="96" customFormat="true" ht="15.75" hidden="false" customHeight="true" outlineLevel="0" collapsed="false">
      <c r="A254" s="190"/>
      <c r="B254" s="190"/>
      <c r="C254" s="184" t="s">
        <v>465</v>
      </c>
      <c r="D254" s="194"/>
      <c r="E254" s="190"/>
      <c r="F254" s="189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459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460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5" t="n">
        <f aca="false">$I$136</f>
        <v>5640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7" t="n">
        <f aca="false">$J$136</f>
        <v>1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C262" s="98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184" t="s">
        <v>466</v>
      </c>
      <c r="D264" s="98"/>
      <c r="E264" s="97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522</v>
      </c>
      <c r="D265" s="181"/>
      <c r="E265" s="181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468</v>
      </c>
      <c r="D266" s="181"/>
      <c r="E266" s="181"/>
      <c r="F266" s="97"/>
      <c r="G266" s="97"/>
      <c r="H266" s="97"/>
      <c r="J266" s="97"/>
    </row>
    <row r="267" s="96" customFormat="true" ht="15.75" hidden="false" customHeight="true" outlineLevel="0" collapsed="false">
      <c r="A267" s="200"/>
      <c r="C267" s="185" t="n">
        <f aca="false">$I$137</f>
        <v>2700</v>
      </c>
      <c r="D267" s="98"/>
      <c r="E267" s="97"/>
      <c r="F267" s="97"/>
      <c r="J267" s="97"/>
    </row>
    <row r="268" s="96" customFormat="true" ht="15.75" hidden="false" customHeight="true" outlineLevel="0" collapsed="false">
      <c r="A268" s="200"/>
      <c r="C268" s="187" t="n">
        <f aca="false">$J$137+$J$138</f>
        <v>2</v>
      </c>
      <c r="D268" s="98"/>
      <c r="E268" s="97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H272" s="97"/>
      <c r="J272" s="97"/>
    </row>
    <row r="273" s="96" customFormat="true" ht="15.75" hidden="false" customHeight="true" outlineLevel="0" collapsed="false">
      <c r="A273" s="200"/>
      <c r="D273" s="181"/>
      <c r="E273" s="181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D274" s="98"/>
      <c r="E274" s="97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4" t="s">
        <v>469</v>
      </c>
      <c r="D275" s="201"/>
      <c r="E275" s="196"/>
      <c r="F275" s="97"/>
      <c r="G275" s="97"/>
      <c r="I275" s="196"/>
      <c r="J275" s="196"/>
    </row>
    <row r="276" s="96" customFormat="true" ht="15.75" hidden="false" customHeight="true" outlineLevel="0" collapsed="false">
      <c r="A276" s="200"/>
      <c r="C276" s="181" t="s">
        <v>470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1" t="s">
        <v>471</v>
      </c>
      <c r="D277" s="181"/>
      <c r="E277" s="181"/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5" t="n">
        <f aca="false">$I$139</f>
        <v>2604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C279" s="187" t="n">
        <f aca="false">$J$139+$J$140</f>
        <v>2</v>
      </c>
      <c r="F279" s="97"/>
      <c r="G279" s="97"/>
      <c r="I279" s="97"/>
      <c r="J279" s="196"/>
    </row>
    <row r="280" s="96" customFormat="true" ht="15.75" hidden="false" customHeight="true" outlineLevel="0" collapsed="false">
      <c r="A280" s="200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D281" s="98"/>
      <c r="E281" s="97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D282" s="98"/>
      <c r="E282" s="97"/>
      <c r="F282" s="97"/>
      <c r="G282" s="97"/>
      <c r="H282" s="97"/>
      <c r="J282" s="97"/>
    </row>
    <row r="283" s="96" customFormat="true" ht="15.75" hidden="false" customHeight="true" outlineLevel="0" collapsed="false">
      <c r="A283" s="200"/>
      <c r="F283" s="97"/>
      <c r="G283" s="97"/>
      <c r="H283" s="97"/>
      <c r="J283" s="97"/>
    </row>
    <row r="284" s="96" customFormat="true" ht="15.75" hidden="false" customHeight="true" outlineLevel="0" collapsed="false">
      <c r="A284" s="200"/>
      <c r="F284" s="97"/>
      <c r="G284" s="97"/>
      <c r="H284" s="97"/>
      <c r="I284" s="201"/>
      <c r="J284" s="196"/>
    </row>
    <row r="285" s="96" customFormat="true" ht="15.75" hidden="false" customHeight="true" outlineLevel="0" collapsed="false">
      <c r="A285" s="200"/>
      <c r="C285" s="184" t="s">
        <v>472</v>
      </c>
      <c r="F285" s="97"/>
      <c r="G285" s="97"/>
      <c r="H285" s="97"/>
      <c r="I285" s="97"/>
      <c r="J285" s="196"/>
    </row>
    <row r="286" s="96" customFormat="true" ht="15.75" hidden="false" customHeight="true" outlineLevel="0" collapsed="false">
      <c r="A286" s="200"/>
      <c r="C286" s="83" t="s">
        <v>742</v>
      </c>
      <c r="D286" s="98"/>
      <c r="E286" s="97"/>
      <c r="F286" s="97"/>
      <c r="G286" s="97"/>
      <c r="H286" s="97"/>
      <c r="I286" s="196"/>
      <c r="J286" s="196"/>
    </row>
    <row r="287" s="96" customFormat="true" ht="15.75" hidden="false" customHeight="true" outlineLevel="0" collapsed="false">
      <c r="A287" s="200"/>
      <c r="C287" s="181" t="s">
        <v>743</v>
      </c>
      <c r="D287" s="98"/>
      <c r="E287" s="97"/>
      <c r="F287" s="97"/>
      <c r="G287" s="97"/>
      <c r="H287" s="97"/>
      <c r="I287" s="196"/>
      <c r="J287" s="196"/>
    </row>
    <row r="288" s="96" customFormat="true" ht="15.75" hidden="false" customHeight="true" outlineLevel="0" collapsed="false">
      <c r="A288" s="200"/>
      <c r="C288" s="181" t="s">
        <v>475</v>
      </c>
      <c r="D288" s="181"/>
      <c r="E288" s="181"/>
      <c r="F288" s="97"/>
      <c r="G288" s="97"/>
      <c r="I288" s="196"/>
      <c r="J288" s="196"/>
    </row>
    <row r="289" s="202" customFormat="true" ht="15.75" hidden="false" customHeight="true" outlineLevel="0" collapsed="false">
      <c r="A289" s="200"/>
      <c r="B289" s="96"/>
      <c r="C289" s="181" t="s">
        <v>476</v>
      </c>
      <c r="D289" s="181"/>
      <c r="E289" s="181"/>
      <c r="F289" s="97"/>
      <c r="G289" s="97"/>
      <c r="H289" s="96"/>
      <c r="I289" s="97"/>
      <c r="J289" s="97"/>
    </row>
    <row r="290" s="96" customFormat="true" ht="15.75" hidden="false" customHeight="true" outlineLevel="0" collapsed="false">
      <c r="A290" s="200"/>
      <c r="C290" s="185" t="n">
        <f aca="false">$I$141</f>
        <v>700.5</v>
      </c>
      <c r="F290" s="97"/>
      <c r="G290" s="97"/>
      <c r="I290" s="191"/>
      <c r="J290" s="199"/>
    </row>
    <row r="291" s="96" customFormat="true" ht="15.75" hidden="false" customHeight="true" outlineLevel="0" collapsed="false">
      <c r="A291" s="200"/>
      <c r="C291" s="187" t="n">
        <f aca="false">$J$141+$J$142</f>
        <v>16</v>
      </c>
      <c r="D291" s="98"/>
      <c r="E291" s="97"/>
      <c r="F291" s="97"/>
      <c r="G291" s="97"/>
      <c r="H291" s="98"/>
      <c r="I291" s="189"/>
      <c r="J291" s="190"/>
    </row>
    <row r="292" s="96" customFormat="true" ht="15.75" hidden="false" customHeight="true" outlineLevel="0" collapsed="false">
      <c r="A292" s="200"/>
      <c r="C292" s="185" t="n">
        <f aca="false">$I$143</f>
        <v>2608</v>
      </c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C293" s="187" t="n">
        <f aca="false">$J$143+$J$144+$J$145+$J$146</f>
        <v>16</v>
      </c>
      <c r="D293" s="98"/>
      <c r="E293" s="97"/>
      <c r="F293" s="97"/>
      <c r="G293" s="97"/>
      <c r="H293" s="97"/>
      <c r="I293" s="196"/>
      <c r="J293" s="196"/>
    </row>
    <row r="294" s="96" customFormat="true" ht="15.75" hidden="false" customHeight="true" outlineLevel="0" collapsed="false">
      <c r="A294" s="200"/>
      <c r="D294" s="98"/>
      <c r="E294" s="97"/>
      <c r="F294" s="97"/>
      <c r="G294" s="97"/>
      <c r="H294" s="97"/>
      <c r="I294" s="196"/>
      <c r="J294" s="196"/>
    </row>
    <row r="295" s="96" customFormat="true" ht="15.75" hidden="false" customHeight="true" outlineLevel="0" collapsed="false">
      <c r="A295" s="200"/>
      <c r="D295" s="98"/>
      <c r="E295" s="97"/>
      <c r="F295" s="97"/>
      <c r="G295" s="97"/>
      <c r="H295" s="97"/>
      <c r="I295" s="97"/>
      <c r="J295" s="196"/>
    </row>
    <row r="296" s="96" customFormat="true" ht="15.75" hidden="false" customHeight="true" outlineLevel="0" collapsed="false">
      <c r="A296" s="200"/>
      <c r="C296" s="202"/>
      <c r="D296" s="98"/>
      <c r="E296" s="97"/>
      <c r="F296" s="97"/>
      <c r="G296" s="97"/>
      <c r="H296" s="97"/>
      <c r="I296" s="97"/>
      <c r="J296" s="196"/>
    </row>
    <row r="297" s="96" customFormat="true" ht="15.75" hidden="false" customHeight="true" outlineLevel="0" collapsed="false">
      <c r="A297" s="200"/>
      <c r="C297" s="184" t="s">
        <v>477</v>
      </c>
      <c r="D297" s="98"/>
      <c r="E297" s="97"/>
      <c r="F297" s="97"/>
      <c r="G297" s="97"/>
      <c r="H297" s="97"/>
      <c r="I297" s="97"/>
      <c r="J297" s="196"/>
    </row>
    <row r="298" s="96" customFormat="true" ht="15.75" hidden="false" customHeight="true" outlineLevel="0" collapsed="false">
      <c r="A298" s="200"/>
      <c r="C298" s="83" t="s">
        <v>742</v>
      </c>
      <c r="D298" s="98"/>
      <c r="E298" s="97"/>
      <c r="F298" s="97"/>
      <c r="G298" s="191"/>
      <c r="H298" s="191"/>
      <c r="I298" s="97"/>
      <c r="J298" s="196"/>
    </row>
    <row r="299" s="96" customFormat="true" ht="15.75" hidden="false" customHeight="true" outlineLevel="0" collapsed="false">
      <c r="A299" s="200"/>
      <c r="C299" s="181" t="s">
        <v>743</v>
      </c>
      <c r="D299" s="181"/>
      <c r="E299" s="181"/>
      <c r="F299" s="97"/>
      <c r="G299" s="190"/>
      <c r="H299" s="189"/>
      <c r="I299" s="97"/>
      <c r="J299" s="196"/>
    </row>
    <row r="300" s="96" customFormat="true" ht="15.75" hidden="false" customHeight="true" outlineLevel="0" collapsed="false">
      <c r="A300" s="107"/>
      <c r="C300" s="181" t="s">
        <v>478</v>
      </c>
      <c r="D300" s="181"/>
      <c r="E300" s="181"/>
      <c r="F300" s="97"/>
      <c r="G300" s="97"/>
      <c r="H300" s="97"/>
      <c r="I300" s="97"/>
      <c r="J300" s="196"/>
    </row>
    <row r="301" s="96" customFormat="true" ht="15.75" hidden="false" customHeight="true" outlineLevel="0" collapsed="false">
      <c r="A301" s="191"/>
      <c r="B301" s="191"/>
      <c r="C301" s="181" t="s">
        <v>479</v>
      </c>
      <c r="D301" s="203"/>
      <c r="E301" s="204"/>
      <c r="F301" s="191"/>
      <c r="G301" s="97"/>
      <c r="H301" s="97"/>
      <c r="I301" s="97"/>
      <c r="J301" s="196"/>
    </row>
    <row r="302" s="96" customFormat="true" ht="15.75" hidden="false" customHeight="true" outlineLevel="0" collapsed="false">
      <c r="A302" s="190"/>
      <c r="B302" s="190"/>
      <c r="C302" s="185" t="n">
        <f aca="false">$I$147</f>
        <v>590.28125</v>
      </c>
      <c r="D302" s="205"/>
      <c r="E302" s="206"/>
      <c r="F302" s="189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7" t="n">
        <f aca="false">$J$147</f>
        <v>16</v>
      </c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C304" s="185" t="n">
        <f aca="false">$I$148</f>
        <v>2458</v>
      </c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C305" s="187" t="n">
        <f aca="false">$J$148</f>
        <v>16</v>
      </c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D306" s="98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D307" s="98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184" t="s">
        <v>744</v>
      </c>
      <c r="D308" s="98"/>
      <c r="E308" s="97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1" t="s">
        <v>475</v>
      </c>
      <c r="D309" s="181"/>
      <c r="E309" s="181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249" t="s">
        <v>476</v>
      </c>
      <c r="D310" s="249"/>
      <c r="E310" s="249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C311" s="185" t="n">
        <f aca="false">$I$149</f>
        <v>2608</v>
      </c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C312" s="187" t="n">
        <f aca="false">$J$149+$J$150</f>
        <v>2</v>
      </c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LEFT($J$111,13)&amp;"-03"</f>
        <v>FG-240-8P3L5R-03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A316" s="97"/>
      <c r="B316" s="49"/>
      <c r="C316" s="49"/>
      <c r="D316" s="207"/>
      <c r="E316" s="200"/>
      <c r="F316" s="200"/>
      <c r="G316" s="200"/>
      <c r="H316" s="200"/>
      <c r="I316" s="208"/>
      <c r="J316" s="77" t="str">
        <f aca="false">$J$2</f>
        <v>HOMELIFE</v>
      </c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B324" s="81"/>
      <c r="D324" s="98"/>
      <c r="E324" s="83"/>
      <c r="F324" s="183"/>
      <c r="G324" s="183"/>
      <c r="H324" s="183"/>
      <c r="I324" s="83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240-8 Panel (3L5R)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195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91"/>
      <c r="D405" s="98"/>
      <c r="E405" s="97"/>
      <c r="F405" s="97"/>
      <c r="G405" s="97"/>
      <c r="H405" s="97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LEFT($J$111,13)&amp;"-04"</f>
        <v>FG-240-8P3L5R-04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77" t="str">
        <f aca="false">$J$2</f>
        <v>HOMELIFE</v>
      </c>
      <c r="K423" s="78"/>
      <c r="L423" s="78"/>
      <c r="M423" s="79"/>
      <c r="N423" s="79"/>
    </row>
    <row r="424" customFormat="false" ht="24.75" hidden="false" customHeight="true" outlineLevel="0" collapsed="false">
      <c r="A424" s="97"/>
      <c r="B424" s="96"/>
      <c r="C424" s="96"/>
      <c r="D424" s="98"/>
      <c r="E424" s="97"/>
      <c r="F424" s="97"/>
      <c r="G424" s="97"/>
      <c r="H424" s="97"/>
      <c r="I424" s="97"/>
      <c r="J424" s="80" t="str">
        <f aca="false">$J$3</f>
        <v>Fabricators Guide</v>
      </c>
      <c r="K424" s="78"/>
      <c r="L424" s="78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$J$4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240-8 Panel (3L5R)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191"/>
      <c r="C442" s="212"/>
      <c r="D442" s="98"/>
      <c r="E442" s="97"/>
      <c r="F442" s="97"/>
      <c r="H442" s="191"/>
      <c r="I442" s="191"/>
      <c r="J442" s="199"/>
    </row>
    <row r="443" s="96" customFormat="true" ht="15.75" hidden="false" customHeight="true" outlineLevel="0" collapsed="false">
      <c r="A443" s="190"/>
      <c r="C443" s="191"/>
      <c r="D443" s="192"/>
      <c r="E443" s="191"/>
      <c r="F443" s="191"/>
      <c r="H443" s="191"/>
      <c r="I443" s="191"/>
      <c r="J443" s="199"/>
    </row>
    <row r="444" customFormat="false" ht="15" hidden="false" customHeight="true" outlineLevel="0" collapsed="false">
      <c r="B444" s="211"/>
      <c r="C444" s="98"/>
      <c r="D444" s="98"/>
      <c r="E444" s="97"/>
      <c r="F444" s="98"/>
      <c r="G444" s="97"/>
      <c r="H444" s="97"/>
    </row>
    <row r="449" s="96" customFormat="true" ht="15.75" hidden="false" customHeight="true" outlineLevel="0" collapsed="false">
      <c r="A449" s="97"/>
      <c r="D449" s="73"/>
      <c r="I449" s="196"/>
      <c r="J449" s="196"/>
    </row>
    <row r="450" s="96" customFormat="true" ht="15.75" hidden="false" customHeight="true" outlineLevel="0" collapsed="false">
      <c r="A450" s="97"/>
      <c r="D450" s="98"/>
      <c r="E450" s="97"/>
      <c r="F450" s="98"/>
      <c r="G450" s="97"/>
      <c r="H450" s="97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C453" s="191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98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97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196"/>
      <c r="J456" s="196"/>
    </row>
    <row r="457" s="96" customFormat="true" ht="15.75" hidden="false" customHeight="true" outlineLevel="0" collapsed="false">
      <c r="A457" s="97"/>
      <c r="D457" s="98"/>
      <c r="E457" s="97"/>
      <c r="F457" s="97"/>
      <c r="G457" s="97"/>
      <c r="H457" s="97"/>
      <c r="I457" s="196"/>
      <c r="J457" s="196"/>
    </row>
    <row r="458" s="96" customFormat="true" ht="15" hidden="false" customHeight="true" outlineLevel="0" collapsed="false">
      <c r="A458" s="97"/>
      <c r="D458" s="98"/>
      <c r="E458" s="97"/>
      <c r="F458" s="97"/>
      <c r="G458" s="97"/>
      <c r="H458" s="195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97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202" customFormat="true" ht="15.75" hidden="false" customHeight="true" outlineLevel="0" collapsed="false">
      <c r="A476" s="97"/>
      <c r="B476" s="96"/>
      <c r="C476" s="96"/>
      <c r="D476" s="98"/>
      <c r="E476" s="97"/>
      <c r="F476" s="97"/>
      <c r="G476" s="97"/>
      <c r="H476" s="97"/>
      <c r="I476" s="97"/>
      <c r="J476" s="97"/>
    </row>
    <row r="477" s="96" customFormat="true" ht="15.75" hidden="false" customHeight="true" outlineLevel="0" collapsed="false">
      <c r="A477" s="191"/>
      <c r="D477" s="98"/>
      <c r="E477" s="97"/>
      <c r="F477" s="97"/>
      <c r="G477" s="97"/>
      <c r="H477" s="97"/>
      <c r="I477" s="191"/>
      <c r="J477" s="199"/>
    </row>
    <row r="478" s="96" customFormat="true" ht="15.75" hidden="false" customHeight="true" outlineLevel="0" collapsed="false">
      <c r="A478" s="190"/>
      <c r="B478" s="191"/>
      <c r="C478" s="191"/>
      <c r="D478" s="192"/>
      <c r="E478" s="191"/>
      <c r="F478" s="191"/>
      <c r="G478" s="191"/>
      <c r="H478" s="191"/>
      <c r="I478" s="189"/>
      <c r="J478" s="190"/>
    </row>
    <row r="479" s="96" customFormat="true" ht="15.75" hidden="false" customHeight="true" outlineLevel="0" collapsed="false">
      <c r="A479" s="200"/>
      <c r="B479" s="190"/>
      <c r="C479" s="191"/>
      <c r="D479" s="194"/>
      <c r="E479" s="190"/>
      <c r="F479" s="189"/>
      <c r="G479" s="190"/>
      <c r="H479" s="189"/>
      <c r="I479" s="196"/>
      <c r="J479" s="196"/>
    </row>
    <row r="480" s="96" customFormat="true" ht="15.75" hidden="false" customHeight="true" outlineLevel="0" collapsed="false">
      <c r="A480" s="200"/>
      <c r="C480" s="182"/>
      <c r="D480" s="98"/>
      <c r="E480" s="97"/>
      <c r="F480" s="97"/>
      <c r="G480" s="97"/>
      <c r="H480" s="182"/>
      <c r="J480" s="97"/>
    </row>
    <row r="481" s="96" customFormat="true" ht="15.75" hidden="false" customHeight="true" outlineLevel="0" collapsed="false">
      <c r="A481" s="200"/>
      <c r="C481" s="98"/>
      <c r="D481" s="98"/>
      <c r="E481" s="97"/>
      <c r="F481" s="97"/>
      <c r="G481" s="97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I482" s="196"/>
      <c r="J482" s="196"/>
    </row>
    <row r="483" s="96" customFormat="true" ht="15.75" hidden="false" customHeight="true" outlineLevel="0" collapsed="false">
      <c r="A483" s="200"/>
      <c r="D483" s="98"/>
      <c r="E483" s="97"/>
      <c r="F483" s="97"/>
      <c r="G483" s="97"/>
      <c r="H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C486" s="98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G495" s="97"/>
      <c r="H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182"/>
      <c r="J498" s="97"/>
    </row>
    <row r="499" s="96" customFormat="true" ht="15.75" hidden="false" customHeight="true" outlineLevel="0" collapsed="false">
      <c r="A499" s="200"/>
      <c r="C499" s="188"/>
      <c r="D499" s="98"/>
      <c r="E499" s="97"/>
      <c r="F499" s="97"/>
      <c r="G499" s="97"/>
      <c r="J499" s="97"/>
    </row>
    <row r="500" s="96" customFormat="true" ht="15.75" hidden="false" customHeight="true" outlineLevel="0" collapsed="false">
      <c r="A500" s="200"/>
      <c r="D500" s="98"/>
      <c r="E500" s="97"/>
      <c r="F500" s="97"/>
      <c r="G500" s="97"/>
      <c r="I500" s="196"/>
      <c r="J500" s="196"/>
    </row>
    <row r="501" s="96" customFormat="true" ht="15.75" hidden="false" customHeight="true" outlineLevel="0" collapsed="false">
      <c r="A501" s="200"/>
      <c r="C501" s="98"/>
      <c r="D501" s="98"/>
      <c r="E501" s="97"/>
      <c r="F501" s="97"/>
      <c r="G501" s="97"/>
      <c r="H501" s="182"/>
      <c r="J501" s="97"/>
    </row>
    <row r="502" s="96" customFormat="true" ht="15.75" hidden="false" customHeight="true" outlineLevel="0" collapsed="false">
      <c r="A502" s="200"/>
      <c r="D502" s="98"/>
      <c r="E502" s="97"/>
      <c r="F502" s="97"/>
      <c r="G502" s="97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I503" s="196"/>
      <c r="J503" s="196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H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97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97"/>
      <c r="J513" s="196"/>
    </row>
    <row r="514" s="96" customFormat="true" ht="15.75" hidden="false" customHeight="true" outlineLevel="0" collapsed="false">
      <c r="A514" s="200"/>
      <c r="D514" s="98"/>
      <c r="E514" s="97"/>
      <c r="F514" s="97"/>
      <c r="G514" s="97"/>
      <c r="H514" s="97"/>
      <c r="I514" s="212"/>
      <c r="J514" s="195"/>
    </row>
    <row r="515" s="96" customFormat="true" ht="15.75" hidden="false" customHeight="true" outlineLevel="0" collapsed="false">
      <c r="A515" s="200"/>
      <c r="D515" s="98"/>
      <c r="E515" s="97"/>
      <c r="F515" s="97"/>
      <c r="G515" s="97"/>
      <c r="H515" s="238"/>
      <c r="J515" s="97"/>
    </row>
    <row r="516" s="96" customFormat="true" ht="15.75" hidden="false" customHeight="true" outlineLevel="0" collapsed="false">
      <c r="A516" s="191"/>
      <c r="B516" s="191"/>
      <c r="C516" s="191"/>
      <c r="D516" s="192"/>
      <c r="E516" s="191"/>
      <c r="F516" s="191"/>
      <c r="G516" s="191"/>
      <c r="H516" s="191"/>
      <c r="I516" s="191"/>
      <c r="J516" s="199"/>
    </row>
    <row r="517" s="96" customFormat="true" ht="15.75" hidden="false" customHeight="true" outlineLevel="0" collapsed="false">
      <c r="B517" s="191"/>
      <c r="C517" s="191"/>
      <c r="D517" s="192"/>
      <c r="E517" s="191"/>
      <c r="F517" s="191"/>
      <c r="G517" s="191"/>
      <c r="H517" s="191"/>
    </row>
    <row r="518" s="96" customFormat="true" ht="15.75" hidden="false" customHeight="true" outlineLevel="0" collapsed="false"/>
    <row r="519" s="96" customFormat="true" ht="24.75" hidden="false" customHeight="true" outlineLevel="0" collapsed="false">
      <c r="A519" s="88" t="s">
        <v>482</v>
      </c>
      <c r="B519" s="88"/>
      <c r="C519" s="88"/>
      <c r="D519" s="88"/>
      <c r="E519" s="88"/>
      <c r="F519" s="88"/>
      <c r="G519" s="88"/>
      <c r="H519" s="88"/>
      <c r="I519" s="88"/>
      <c r="J519" s="88"/>
    </row>
    <row r="520" s="96" customFormat="true" ht="34.5" hidden="false" customHeight="true" outlineLevel="0" collapsed="false">
      <c r="A520" s="114" t="s">
        <v>319</v>
      </c>
      <c r="B520" s="115" t="s">
        <v>168</v>
      </c>
      <c r="C520" s="115" t="s">
        <v>168</v>
      </c>
      <c r="D520" s="116" t="s">
        <v>483</v>
      </c>
      <c r="E520" s="115" t="s">
        <v>321</v>
      </c>
      <c r="F520" s="239" t="s">
        <v>484</v>
      </c>
      <c r="G520" s="240"/>
      <c r="H520" s="116" t="s">
        <v>484</v>
      </c>
      <c r="I520" s="116" t="s">
        <v>485</v>
      </c>
      <c r="J520" s="117" t="s">
        <v>323</v>
      </c>
      <c r="N520" s="118" t="s">
        <v>168</v>
      </c>
      <c r="O520" s="118" t="s">
        <v>168</v>
      </c>
    </row>
    <row r="521" s="96" customFormat="true" ht="15.75" hidden="false" customHeight="true" outlineLevel="0" collapsed="false">
      <c r="A521" s="120" t="n">
        <f aca="false">IF(C521="","",1)</f>
        <v>1</v>
      </c>
      <c r="B521" s="121" t="str">
        <f aca="false">IF($D$127=5,N521,IF($D$127=6,N522,IF($D$127=8,N523,IF($D$127=10,N524,IF($D$127=12,N525,IF($D$127=14,N526,IF($D$127=18,N527,IF($D$127=20,N528,IF($D$127=22,N529,)))))))))</f>
        <v>กระจก 6 mm (สูง) (กว้าง)</v>
      </c>
      <c r="C521" s="121" t="str">
        <f aca="false">IF($D$127=5,O521,IF($D$127=6,O522,IF($D$127=8,O523,IF($D$127=10,O524,IF($D$127=12,O525,IF($D$127=14,O526,IF($D$127=18,O527,IF($D$127=20,O528,IF($D$127=22,O529,)))))))))</f>
        <v>GLASS thk.6 mm (H) (W)</v>
      </c>
      <c r="D521" s="123" t="n">
        <f aca="false">$J$123-215</f>
        <v>2485</v>
      </c>
      <c r="E521" s="120" t="s">
        <v>486</v>
      </c>
      <c r="F521" s="224" t="s">
        <v>487</v>
      </c>
      <c r="G521" s="224"/>
      <c r="H521" s="120" t="s">
        <v>745</v>
      </c>
      <c r="I521" s="225" t="n">
        <f aca="false">(($J$126-185-(113.25*7))/8)-13</f>
        <v>577.28125</v>
      </c>
      <c r="J521" s="226" t="n">
        <f aca="false">$J$120*8</f>
        <v>8</v>
      </c>
      <c r="M521" s="96" t="n">
        <f aca="false">ROW()</f>
        <v>521</v>
      </c>
      <c r="N521" s="62" t="s">
        <v>489</v>
      </c>
      <c r="O521" s="62" t="s">
        <v>490</v>
      </c>
    </row>
    <row r="522" s="96" customFormat="true" ht="15.75" hidden="false" customHeight="true" outlineLevel="0" collapsed="false">
      <c r="A522" s="269"/>
      <c r="B522" s="228"/>
      <c r="C522" s="228"/>
      <c r="D522" s="176"/>
      <c r="E522" s="167"/>
      <c r="F522" s="229"/>
      <c r="G522" s="230"/>
      <c r="H522" s="167"/>
      <c r="I522" s="231"/>
      <c r="J522" s="232"/>
      <c r="M522" s="96" t="n">
        <f aca="false">ROW()</f>
        <v>522</v>
      </c>
      <c r="N522" s="62" t="s">
        <v>491</v>
      </c>
      <c r="O522" s="62" t="s">
        <v>492</v>
      </c>
    </row>
    <row r="523" s="96" customFormat="true" ht="15.75" hidden="false" customHeight="true" outlineLevel="0" collapsed="false">
      <c r="A523" s="269"/>
      <c r="B523" s="228"/>
      <c r="C523" s="228"/>
      <c r="D523" s="176"/>
      <c r="E523" s="167"/>
      <c r="F523" s="229"/>
      <c r="G523" s="230"/>
      <c r="H523" s="167"/>
      <c r="I523" s="231"/>
      <c r="J523" s="232"/>
      <c r="M523" s="96" t="n">
        <f aca="false">ROW()</f>
        <v>523</v>
      </c>
      <c r="N523" s="62" t="s">
        <v>493</v>
      </c>
      <c r="O523" s="62" t="s">
        <v>494</v>
      </c>
    </row>
    <row r="524" s="96" customFormat="true" ht="15.75" hidden="false" customHeight="true" outlineLevel="0" collapsed="false">
      <c r="A524" s="130" t="str">
        <f aca="false">IF(B524="","",+""+1)</f>
        <v/>
      </c>
      <c r="B524" s="131"/>
      <c r="C524" s="131"/>
      <c r="D524" s="132"/>
      <c r="E524" s="130"/>
      <c r="F524" s="233"/>
      <c r="G524" s="270"/>
      <c r="H524" s="130"/>
      <c r="I524" s="142"/>
      <c r="J524" s="133"/>
      <c r="M524" s="96" t="n">
        <f aca="false">ROW()</f>
        <v>524</v>
      </c>
      <c r="N524" s="62" t="s">
        <v>495</v>
      </c>
      <c r="O524" s="62" t="s">
        <v>496</v>
      </c>
    </row>
    <row r="525" s="96" customFormat="true" ht="15.75" hidden="false" customHeight="true" outlineLevel="0" collapsed="false">
      <c r="A525" s="136" t="str">
        <f aca="false">IF(B525="","",+A524+1)</f>
        <v/>
      </c>
      <c r="B525" s="135"/>
      <c r="C525" s="135"/>
      <c r="D525" s="139"/>
      <c r="E525" s="136"/>
      <c r="F525" s="236"/>
      <c r="G525" s="237"/>
      <c r="H525" s="136"/>
      <c r="I525" s="180"/>
      <c r="J525" s="140"/>
      <c r="M525" s="96" t="n">
        <f aca="false">ROW()</f>
        <v>525</v>
      </c>
      <c r="N525" s="62" t="s">
        <v>497</v>
      </c>
      <c r="O525" s="62" t="s">
        <v>498</v>
      </c>
    </row>
    <row r="526" s="96" customFormat="true" ht="15.75" hidden="false" customHeight="true" outlineLevel="0" collapsed="false">
      <c r="A526" s="97"/>
      <c r="D526" s="98"/>
      <c r="E526" s="97"/>
      <c r="F526" s="97"/>
      <c r="G526" s="97"/>
      <c r="H526" s="97"/>
      <c r="I526" s="97"/>
      <c r="J526" s="196"/>
      <c r="M526" s="96" t="n">
        <f aca="false">ROW()</f>
        <v>526</v>
      </c>
      <c r="N526" s="62" t="s">
        <v>499</v>
      </c>
      <c r="O526" s="62" t="s">
        <v>500</v>
      </c>
    </row>
    <row r="527" customFormat="false" ht="14.25" hidden="false" customHeight="false" outlineLevel="0" collapsed="false">
      <c r="J527" s="92" t="str">
        <f aca="false">LEFT($J$111,13)&amp;"-05"</f>
        <v>FG-240-8P3L5R-05</v>
      </c>
      <c r="M527" s="96" t="n">
        <f aca="false">ROW()</f>
        <v>527</v>
      </c>
      <c r="N527" s="62" t="s">
        <v>501</v>
      </c>
      <c r="O527" s="62" t="s">
        <v>502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503</v>
      </c>
      <c r="O528" s="62" t="s">
        <v>504</v>
      </c>
    </row>
    <row r="529" customFormat="false" ht="14.25" hidden="false" customHeight="false" outlineLevel="0" collapsed="false">
      <c r="M529" s="96" t="n">
        <f aca="false">ROW()</f>
        <v>529</v>
      </c>
      <c r="N529" s="62" t="s">
        <v>505</v>
      </c>
      <c r="O529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8"/>
    <mergeCell ref="H163:H168"/>
    <mergeCell ref="I166:J167"/>
    <mergeCell ref="I168:J168"/>
    <mergeCell ref="D169:D170"/>
    <mergeCell ref="H169:H170"/>
    <mergeCell ref="D171:D172"/>
    <mergeCell ref="H171:H172"/>
    <mergeCell ref="A173:J173"/>
    <mergeCell ref="A213:J213"/>
    <mergeCell ref="C310:E310"/>
    <mergeCell ref="A320:J320"/>
    <mergeCell ref="F330:G330"/>
    <mergeCell ref="F331:G331"/>
    <mergeCell ref="F334:G334"/>
    <mergeCell ref="A427:J427"/>
    <mergeCell ref="A519:J519"/>
    <mergeCell ref="F521:G521"/>
  </mergeCells>
  <dataValidations count="4">
    <dataValidation allowBlank="true" errorStyle="stop" operator="between" showDropDown="false" showErrorMessage="true" showInputMessage="true" sqref="C206" type="list">
      <formula1>$O$175:$O$193</formula1>
      <formula2>0</formula2>
    </dataValidation>
    <dataValidation allowBlank="true" errorStyle="stop" operator="between" showDropDown="false" showErrorMessage="true" showInputMessage="true" sqref="D123:G123" type="list">
      <formula1>$P$118:$P$128</formula1>
      <formula2>0</formula2>
    </dataValidation>
    <dataValidation allowBlank="true" errorStyle="stop" operator="between" showDropDown="false" showErrorMessage="true" showInputMessage="true" sqref="D127:G127" type="list">
      <formula1>$N$119:$N$127</formula1>
      <formula2>0</formula2>
    </dataValidation>
    <dataValidation allowBlank="true" errorStyle="stop" operator="between" showDropDown="false" showErrorMessage="true" showInputMessage="true" sqref="D129:G129" type="list">
      <formula1>$O$119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528"/>
  <sheetViews>
    <sheetView showFormulas="false" showGridLines="false" showRowColHeaders="true" showZeros="true" rightToLeft="false" tabSelected="false" showOutlineSymbols="true" defaultGridColor="true" view="pageBreakPreview" topLeftCell="A1" colorId="64" zoomScale="75" zoomScaleNormal="75" zoomScalePageLayoutView="75" workbookViewId="0">
      <selection pane="topLeft" activeCell="A1" activeCellId="0" sqref="A1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11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7.67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19.88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749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>
      <c r="G55" s="91"/>
    </row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750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8" hidden="false" customHeight="true" outlineLevel="0" collapsed="false">
      <c r="A118" s="97"/>
      <c r="C118" s="81"/>
      <c r="D118" s="98"/>
      <c r="E118" s="83"/>
      <c r="J118" s="99"/>
      <c r="K118" s="83"/>
      <c r="N118" s="258" t="s">
        <v>288</v>
      </c>
      <c r="O118" s="97" t="s">
        <v>289</v>
      </c>
      <c r="P118" s="102" t="s">
        <v>290</v>
      </c>
    </row>
    <row r="119" s="96" customFormat="true" ht="16.5" hidden="false" customHeight="true" outlineLevel="0" collapsed="false">
      <c r="A119" s="97"/>
      <c r="C119" s="100" t="s">
        <v>286</v>
      </c>
      <c r="D119" s="101" t="s">
        <v>751</v>
      </c>
      <c r="E119" s="101"/>
      <c r="F119" s="101"/>
      <c r="G119" s="101"/>
      <c r="I119" s="83"/>
      <c r="J119" s="97"/>
      <c r="N119" s="259" t="n">
        <v>5</v>
      </c>
      <c r="O119" s="97" t="s">
        <v>509</v>
      </c>
      <c r="P119" s="106" t="s">
        <v>294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6</v>
      </c>
      <c r="O120" s="97" t="s">
        <v>296</v>
      </c>
      <c r="P120" s="106" t="s">
        <v>297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8</v>
      </c>
      <c r="P121" s="106" t="s">
        <v>299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10</v>
      </c>
      <c r="P122" s="106" t="s">
        <v>303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303</v>
      </c>
      <c r="E123" s="101"/>
      <c r="F123" s="101"/>
      <c r="G123" s="101"/>
      <c r="H123" s="104" t="s">
        <v>302</v>
      </c>
      <c r="I123" s="104"/>
      <c r="J123" s="105" t="n">
        <v>2400</v>
      </c>
      <c r="N123" s="259" t="n">
        <v>12</v>
      </c>
      <c r="P123" s="106" t="s">
        <v>305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14</v>
      </c>
      <c r="P124" s="106" t="s">
        <v>308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18</v>
      </c>
      <c r="P125" s="106" t="s">
        <v>311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4170</v>
      </c>
      <c r="K126" s="110"/>
      <c r="L126" s="110"/>
      <c r="N126" s="259" t="n">
        <v>20</v>
      </c>
      <c r="P126" s="106" t="s">
        <v>313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259" t="n">
        <v>22</v>
      </c>
      <c r="P127" s="106" t="s">
        <v>315</v>
      </c>
    </row>
    <row r="128" s="96" customFormat="true" ht="18.75" hidden="false" customHeight="true" outlineLevel="0" collapsed="false">
      <c r="C128" s="108" t="s">
        <v>314</v>
      </c>
      <c r="I128" s="97"/>
      <c r="J128" s="97"/>
    </row>
    <row r="129" s="96" customFormat="true" ht="15" hidden="false" customHeight="true" outlineLevel="0" collapsed="false">
      <c r="A129" s="89" t="str">
        <f aca="false">A18</f>
        <v>240-8 Panel (4L4R)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4110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16</v>
      </c>
      <c r="U133" s="127" t="s">
        <v>736</v>
      </c>
      <c r="V133" s="128" t="n">
        <f aca="false">($J$126-185-(113.25*7))/8</f>
        <v>399.03125</v>
      </c>
      <c r="W133" s="129" t="n">
        <f aca="false">$J$120*T133</f>
        <v>16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4084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16</v>
      </c>
      <c r="U134" s="130" t="s">
        <v>736</v>
      </c>
      <c r="V134" s="142" t="n">
        <f aca="false">($J$126-185-(113.25*7))/8</f>
        <v>399.03125</v>
      </c>
      <c r="W134" s="134" t="n">
        <f aca="false">$J$120*T134</f>
        <v>16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4110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16</v>
      </c>
      <c r="U135" s="136" t="s">
        <v>736</v>
      </c>
      <c r="V135" s="180" t="n">
        <f aca="false">($J$126-185-(113.25*7))/8</f>
        <v>399.03125</v>
      </c>
      <c r="W135" s="137" t="n">
        <f aca="false">$J$120*T135</f>
        <v>16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4110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16</v>
      </c>
      <c r="U136" s="127" t="s">
        <v>360</v>
      </c>
      <c r="V136" s="138" t="n">
        <f aca="false">$J$123-242</f>
        <v>2158</v>
      </c>
      <c r="W136" s="129" t="n">
        <f aca="false">$J$120*T136</f>
        <v>16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2400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16</v>
      </c>
      <c r="U137" s="130" t="s">
        <v>360</v>
      </c>
      <c r="V137" s="133" t="n">
        <f aca="false">$J$123-242</f>
        <v>2158</v>
      </c>
      <c r="W137" s="134" t="n">
        <f aca="false">$J$120*T137</f>
        <v>16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2400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16</v>
      </c>
      <c r="U138" s="136" t="s">
        <v>360</v>
      </c>
      <c r="V138" s="140" t="n">
        <f aca="false">$J$123-242</f>
        <v>2158</v>
      </c>
      <c r="W138" s="137" t="n">
        <f aca="false">$J$120*T138</f>
        <v>16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2304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2304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8</v>
      </c>
      <c r="H141" s="130" t="s">
        <v>752</v>
      </c>
      <c r="I141" s="141" t="n">
        <f aca="false">(($J$126/2)-60-(4+1)*4)/4</f>
        <v>501.25</v>
      </c>
      <c r="J141" s="134" t="n">
        <f aca="false">$J$120*G141</f>
        <v>8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8</v>
      </c>
      <c r="H142" s="130" t="s">
        <v>752</v>
      </c>
      <c r="I142" s="141" t="n">
        <f aca="false">(($J$126/2)-60-(4+1)*4)/4</f>
        <v>501.25</v>
      </c>
      <c r="J142" s="134" t="n">
        <f aca="false">$J$120*G142</f>
        <v>8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12</v>
      </c>
      <c r="H143" s="130" t="s">
        <v>389</v>
      </c>
      <c r="I143" s="133" t="n">
        <f aca="false">$J$123-92</f>
        <v>2308</v>
      </c>
      <c r="J143" s="134" t="n">
        <f aca="false">$J$120*G143</f>
        <v>12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2</v>
      </c>
      <c r="H144" s="130" t="s">
        <v>389</v>
      </c>
      <c r="I144" s="133" t="n">
        <f aca="false">$J$123-92</f>
        <v>2308</v>
      </c>
      <c r="J144" s="134" t="n">
        <f aca="false">$J$120*G144</f>
        <v>2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390</v>
      </c>
      <c r="C145" s="131" t="s">
        <v>656</v>
      </c>
      <c r="D145" s="132" t="s">
        <v>74</v>
      </c>
      <c r="E145" s="130" t="n">
        <v>1.106</v>
      </c>
      <c r="F145" s="132" t="s">
        <v>563</v>
      </c>
      <c r="G145" s="130" t="n">
        <v>2</v>
      </c>
      <c r="H145" s="130" t="s">
        <v>389</v>
      </c>
      <c r="I145" s="133" t="n">
        <f aca="false">$J$123-92</f>
        <v>2308</v>
      </c>
      <c r="J145" s="134" t="n">
        <f aca="false">$J$120*G145</f>
        <v>2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6" s="131" t="str">
        <f aca="false">IF($D$127=5,Q133,IF($D$127=6,Q133,IF($D$127=8,Q134,IF($D$127=10,Q134,IF($D$127=12,Q134,IF($D$127=14,Q135,IF($D$127=18,Q135,IF($D$127=20,Q135,IF($D$127=22,Q135,)))))))))</f>
        <v>B24008</v>
      </c>
      <c r="E146" s="131" t="n">
        <f aca="false">IF($D$127=5,R133,IF($D$127=6,R133,IF($D$127=8,R134,IF($D$127=10,R134,IF($D$127=12,R134,IF($D$127=14,R135,IF($D$127=18,R135,IF($D$127=20,R135,IF($D$127=22,R135,)))))))))</f>
        <v>0.231</v>
      </c>
      <c r="F146" s="131" t="str">
        <f aca="false">IF($D$127=5,S133,IF($D$127=6,S133,IF($D$127=8,S134,IF($D$127=10,S134,IF($D$127=12,S134,IF($D$127=14,S135,IF($D$127=18,S135,IF($D$127=20,S135,IF($D$127=22,S135,)))))))))</f>
        <v>B24008-001</v>
      </c>
      <c r="G146" s="130" t="n">
        <f aca="false">IF($D$127=5,T133,IF($D$127=6,T133,IF($D$127=8,T134,IF($D$127=10,T134,IF($D$127=12,T134,IF($D$127=14,T135,IF($D$127=18,T135,IF($D$127=20,T135,IF($D$127=22,T135,)))))))))</f>
        <v>16</v>
      </c>
      <c r="H146" s="130" t="str">
        <f aca="false">IF($D$127=5,U133,IF($D$127=6,U133,IF($D$127=8,U134,IF($D$127=10,U134,IF($D$127=12,U134,IF($D$127=14,U135,IF($D$127=18,U135,IF($D$127=20,U135,IF($D$127=22,U135,)))))))))</f>
        <v>(W-185-(113.25 × 7))/8</v>
      </c>
      <c r="I146" s="141" t="n">
        <f aca="false">IF($D$127=5,V133,IF($D$127=6,V133,IF($D$127=8,V134,IF($D$127=10,V134,IF($D$127=12,V134,IF($D$127=14,V135,IF($D$127=18,V135,IF($D$127=20,V135,IF($D$127=22,V135,)))))))))</f>
        <v>399.03125</v>
      </c>
      <c r="J146" s="134" t="n">
        <f aca="false">$J$120*G146</f>
        <v>16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7" s="131" t="str">
        <f aca="false">IF($D$127=5,Q136,IF($D$127=6,Q136,IF($D$127=8,Q137,IF($D$127=10,Q137,IF($D$127=12,Q137,IF($D$127=14,Q138,IF($D$127=18,Q138,IF($D$127=20,Q138,IF($D$127=22,Q138,)))))))))</f>
        <v>B24008</v>
      </c>
      <c r="E147" s="131" t="n">
        <f aca="false">IF($D$127=5,R136,IF($D$127=6,R136,IF($D$127=8,R137,IF($D$127=10,R137,IF($D$127=12,R137,IF($D$127=14,R138,IF($D$127=18,R138,IF($D$127=20,R138,IF($D$127=22,R138,)))))))))</f>
        <v>0.231</v>
      </c>
      <c r="F147" s="131" t="str">
        <f aca="false">IF($D$127=5,S136,IF($D$127=6,S136,IF($D$127=8,S137,IF($D$127=10,S137,IF($D$127=12,S137,IF($D$127=14,S138,IF($D$127=18,S138,IF($D$127=20,S138,IF($D$127=22,S138,)))))))))</f>
        <v>B24008-002</v>
      </c>
      <c r="G147" s="130" t="n">
        <f aca="false">IF($D$127=5,T136,IF($D$127=6,T136,IF($D$127=8,T137,IF($D$127=10,T137,IF($D$127=12,T137,IF($D$127=14,T138,IF($D$127=18,T138,IF($D$127=20,T138,IF($D$127=22,T138,)))))))))</f>
        <v>16</v>
      </c>
      <c r="H147" s="130" t="str">
        <f aca="false">IF($D$127=5,U136,IF($D$127=6,U136,IF($D$127=8,U137,IF($D$127=10,U137,IF($D$127=12,U137,IF($D$127=14,U138,IF($D$127=18,U138,IF($D$127=20,U138,IF($D$127=22,U138,)))))))))</f>
        <v>H-242</v>
      </c>
      <c r="I147" s="133" t="n">
        <f aca="false">IF($D$127=5,V136,IF($D$127=6,V136,IF($D$127=8,V137,IF($D$127=10,V137,IF($D$127=12,V137,IF($D$127=14,V138,IF($D$127=18,V138,IF($D$127=20,V138,IF($D$127=22,V138,)))))))))</f>
        <v>2158</v>
      </c>
      <c r="J147" s="134" t="n">
        <f aca="false">$J$120*G147</f>
        <v>16</v>
      </c>
    </row>
    <row r="148" s="96" customFormat="true" ht="18" hidden="false" customHeight="true" outlineLevel="0" collapsed="false">
      <c r="A148" s="130" t="str">
        <f aca="false">IF(B148="","",+A147+1)</f>
        <v/>
      </c>
      <c r="B148" s="131"/>
      <c r="C148" s="131"/>
      <c r="D148" s="132"/>
      <c r="E148" s="130"/>
      <c r="F148" s="132"/>
      <c r="G148" s="130"/>
      <c r="H148" s="130"/>
      <c r="I148" s="133"/>
      <c r="J148" s="134"/>
    </row>
    <row r="149" s="96" customFormat="true" ht="18" hidden="false" customHeight="true" outlineLevel="0" collapsed="false">
      <c r="A149" s="130" t="str">
        <f aca="false">IF(B149="","",+A148+1)</f>
        <v/>
      </c>
      <c r="B149" s="131"/>
      <c r="C149" s="131"/>
      <c r="D149" s="132"/>
      <c r="E149" s="130"/>
      <c r="F149" s="132"/>
      <c r="G149" s="130"/>
      <c r="H149" s="130"/>
      <c r="I149" s="133"/>
      <c r="J149" s="134"/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33"/>
      <c r="J150" s="134" t="n">
        <f aca="false">$J$120*G150</f>
        <v>0</v>
      </c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33"/>
      <c r="J151" s="134" t="n">
        <f aca="false">$J$120*G151</f>
        <v>0</v>
      </c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33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4110</v>
      </c>
      <c r="G155" s="155" t="n">
        <f aca="false">VLOOKUP(C155,$C$133:$J$153,8,0)</f>
        <v>1</v>
      </c>
      <c r="H155" s="264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VLOOKUP(C156,$C$133:$I$153,7,0)</f>
        <v>4084</v>
      </c>
      <c r="G156" s="155" t="n">
        <f aca="false">VLOOKUP(C156,$C$133:$J$153,8,0)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VLOOKUP(C157,$C$133:$I$153,7,0)</f>
        <v>4110</v>
      </c>
      <c r="G157" s="155" t="n">
        <f aca="false">VLOOKUP(C157,$C$133:$J$153,8,0)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VLOOKUP(C158,$C$133:$I$153,7,0)</f>
        <v>4110</v>
      </c>
      <c r="G158" s="155" t="n">
        <f aca="false">VLOOKUP(C158,$C$133:$J$153,8,0)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VLOOKUP(C159,$C$133:$I$153,7,0)</f>
        <v>2400</v>
      </c>
      <c r="G159" s="155" t="n">
        <f aca="false">VLOOKUP(C159,$C$133:$J$153,8,0)</f>
        <v>1</v>
      </c>
      <c r="H159" s="160" t="n">
        <f aca="false">ROUNDUP(((F159*G159)+(F160*G160))/6400,0)</f>
        <v>1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VLOOKUP(C160,$C$133:$I$153,7,0)</f>
        <v>2400</v>
      </c>
      <c r="G160" s="155" t="n">
        <f aca="false">VLOOKUP(C160,$C$133:$J$153,8,0)</f>
        <v>1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VLOOKUP(C161,$C$133:$I$153,7,0)</f>
        <v>2304</v>
      </c>
      <c r="G161" s="155" t="n">
        <f aca="false">VLOOKUP(C161,$C$133:$J$153,8,0)</f>
        <v>1</v>
      </c>
      <c r="H161" s="160" t="n">
        <f aca="false">ROUNDUP(((F161*G161)+(F162*G162))/6400,0)</f>
        <v>1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155" t="n">
        <f aca="false">VLOOKUP(C162,$C$133:$H$153,3,0)</f>
        <v>0.235</v>
      </c>
      <c r="F162" s="263" t="n">
        <f aca="false">VLOOKUP(C162,$C$133:$I$153,7,0)</f>
        <v>2304</v>
      </c>
      <c r="G162" s="155" t="n">
        <f aca="false">VLOOKUP(C162,$C$133:$J$153,8,0)</f>
        <v>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155" t="n">
        <f aca="false">VLOOKUP(C163,$C$133:$H$153,3,0)</f>
        <v>1.106</v>
      </c>
      <c r="F163" s="267" t="n">
        <f aca="false">VLOOKUP(C163,$C$133:$I$153,7,0)</f>
        <v>501.25</v>
      </c>
      <c r="G163" s="155" t="n">
        <f aca="false">VLOOKUP(C163,$C$133:$J$153,8,0)</f>
        <v>8</v>
      </c>
      <c r="H163" s="160" t="n">
        <f aca="false">ROUNDUP(((F163*G163)+(F164*G164)+(F165*G165)+(F166*G166)+(F167*G167))/6400,0)</f>
        <v>8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155" t="n">
        <f aca="false">VLOOKUP(C164,$C$133:$H$153,3,0)</f>
        <v>1.106</v>
      </c>
      <c r="F164" s="267" t="n">
        <f aca="false">VLOOKUP(C164,$C$133:$I$153,7,0)</f>
        <v>501.25</v>
      </c>
      <c r="G164" s="155" t="n">
        <f aca="false">VLOOKUP(C164,$C$133:$J$153,8,0)</f>
        <v>8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155" t="n">
        <f aca="false">VLOOKUP(C165,$C$133:$H$153,3,0)</f>
        <v>1.106</v>
      </c>
      <c r="F165" s="263" t="n">
        <f aca="false">VLOOKUP(C165,$C$133:$I$153,7,0)</f>
        <v>2308</v>
      </c>
      <c r="G165" s="155" t="n">
        <f aca="false">VLOOKUP(C165,$C$133:$J$153,8,0)</f>
        <v>12</v>
      </c>
      <c r="H165" s="160"/>
      <c r="I165" s="161"/>
      <c r="J165" s="161"/>
    </row>
    <row r="166" s="96" customFormat="true" ht="13.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155" t="n">
        <f aca="false">VLOOKUP(C166,$C$133:$H$153,3,0)</f>
        <v>1.106</v>
      </c>
      <c r="F166" s="263" t="n">
        <f aca="false">VLOOKUP(C166,$C$133:$I$153,7,0)</f>
        <v>2308</v>
      </c>
      <c r="G166" s="155" t="n">
        <f aca="false">VLOOKUP(C166,$C$133:$J$153,8,0)</f>
        <v>2</v>
      </c>
      <c r="H166" s="160"/>
      <c r="I166" s="161"/>
      <c r="J166" s="161"/>
    </row>
    <row r="167" s="96" customFormat="true" ht="15" hidden="false" customHeight="true" outlineLevel="1" collapsed="false">
      <c r="A167" s="158" t="n">
        <f aca="false">IF(B167="","",+A166+1)</f>
        <v>13</v>
      </c>
      <c r="B167" s="153" t="str">
        <f aca="false">B145</f>
        <v>เสากุญแจ</v>
      </c>
      <c r="C167" s="153" t="str">
        <f aca="false">C145</f>
        <v>SASH (Ver) LOCK  </v>
      </c>
      <c r="D167" s="159"/>
      <c r="E167" s="155" t="n">
        <f aca="false">VLOOKUP(C167,$C$133:$H$153,3,0)</f>
        <v>1.106</v>
      </c>
      <c r="F167" s="263" t="n">
        <f aca="false">VLOOKUP(C167,$C$133:$I$153,7,0)</f>
        <v>2308</v>
      </c>
      <c r="G167" s="155" t="n">
        <f aca="false">VLOOKUP(C167,$C$133:$J$153,8,0)</f>
        <v>2</v>
      </c>
      <c r="H167" s="160"/>
      <c r="I167" s="161"/>
      <c r="J167" s="161"/>
    </row>
    <row r="168" s="96" customFormat="true" ht="13.5" hidden="false" customHeight="true" outlineLevel="1" collapsed="false">
      <c r="A168" s="158" t="n">
        <f aca="false">IF(B168="","",+A167+1)</f>
        <v>14</v>
      </c>
      <c r="B168" s="153" t="str">
        <f aca="false">B146</f>
        <v>5-6mm คิ้วตบกระจกแนวนอน</v>
      </c>
      <c r="C168" s="153" t="str">
        <f aca="false">C146</f>
        <v>5-6mm GLAZING BEAD HORIZONTAL</v>
      </c>
      <c r="D168" s="163" t="str">
        <f aca="false">VLOOKUP(C168,$C$133:$H$153,2,0)</f>
        <v>B24008</v>
      </c>
      <c r="E168" s="155" t="n">
        <f aca="false">VLOOKUP(C168,$C$133:$H$153,3,0)</f>
        <v>0.231</v>
      </c>
      <c r="F168" s="267" t="n">
        <f aca="false">VLOOKUP(C168,$C$133:$I$153,7,0)</f>
        <v>399.03125</v>
      </c>
      <c r="G168" s="155" t="n">
        <f aca="false">VLOOKUP(C168,$C$133:$J$153,8,0)</f>
        <v>16</v>
      </c>
      <c r="H168" s="160" t="n">
        <f aca="false">ROUNDUP(((F168*G168)+(F169*G169))/6400,0)</f>
        <v>7</v>
      </c>
      <c r="I168" s="265"/>
      <c r="J168" s="265"/>
    </row>
    <row r="169" s="96" customFormat="true" ht="14.25" hidden="false" customHeight="false" outlineLevel="1" collapsed="false">
      <c r="A169" s="158" t="n">
        <f aca="false">IF(B169="","",+A168+1)</f>
        <v>15</v>
      </c>
      <c r="B169" s="153" t="str">
        <f aca="false">B147</f>
        <v>5-6mm คิ้วตบกระจกแนวตั้ง</v>
      </c>
      <c r="C169" s="153" t="str">
        <f aca="false">C147</f>
        <v>5-6mm GLAZING BEAD VERTICAL</v>
      </c>
      <c r="D169" s="163"/>
      <c r="E169" s="155" t="n">
        <f aca="false">VLOOKUP(C169,$C$133:$H$153,3,0)</f>
        <v>0.231</v>
      </c>
      <c r="F169" s="263" t="n">
        <f aca="false">VLOOKUP(C169,$C$133:$I$153,7,0)</f>
        <v>2158</v>
      </c>
      <c r="G169" s="155" t="n">
        <f aca="false">VLOOKUP(C169,$C$133:$J$153,8,0)</f>
        <v>16</v>
      </c>
      <c r="H169" s="160"/>
      <c r="I169" s="196"/>
      <c r="J169" s="196"/>
    </row>
    <row r="170" s="96" customFormat="true" ht="24.75" hidden="false" customHeight="true" outlineLevel="0" collapsed="false">
      <c r="A170" s="113" t="s">
        <v>396</v>
      </c>
      <c r="B170" s="113"/>
      <c r="C170" s="113"/>
      <c r="D170" s="113"/>
      <c r="E170" s="113"/>
      <c r="F170" s="113"/>
      <c r="G170" s="113"/>
      <c r="H170" s="113"/>
      <c r="I170" s="113"/>
      <c r="J170" s="113"/>
    </row>
    <row r="171" s="96" customFormat="true" ht="34.5" hidden="false" customHeight="true" outlineLevel="0" collapsed="false">
      <c r="A171" s="114" t="s">
        <v>319</v>
      </c>
      <c r="B171" s="115" t="s">
        <v>320</v>
      </c>
      <c r="C171" s="115" t="s">
        <v>168</v>
      </c>
      <c r="D171" s="115" t="s">
        <v>397</v>
      </c>
      <c r="E171" s="115" t="s">
        <v>321</v>
      </c>
      <c r="F171" s="116" t="s">
        <v>398</v>
      </c>
      <c r="G171" s="115" t="s">
        <v>399</v>
      </c>
      <c r="H171" s="116" t="s">
        <v>400</v>
      </c>
      <c r="I171" s="116" t="s">
        <v>401</v>
      </c>
      <c r="J171" s="117" t="s">
        <v>402</v>
      </c>
      <c r="N171" s="107" t="s">
        <v>288</v>
      </c>
      <c r="O171" s="165" t="s">
        <v>320</v>
      </c>
      <c r="P171" s="165" t="s">
        <v>168</v>
      </c>
      <c r="Q171" s="165" t="s">
        <v>397</v>
      </c>
      <c r="R171" s="165" t="s">
        <v>321</v>
      </c>
      <c r="S171" s="165" t="s">
        <v>398</v>
      </c>
      <c r="T171" s="165" t="s">
        <v>399</v>
      </c>
      <c r="U171" s="165" t="s">
        <v>400</v>
      </c>
      <c r="V171" s="165" t="s">
        <v>401</v>
      </c>
      <c r="W171" s="165" t="s">
        <v>402</v>
      </c>
    </row>
    <row r="172" s="96" customFormat="true" ht="18" hidden="false" customHeight="true" outlineLevel="0" collapsed="false">
      <c r="A172" s="166" t="n">
        <f aca="false">IF(B172="","",1)</f>
        <v>1</v>
      </c>
      <c r="B172" s="131" t="s">
        <v>410</v>
      </c>
      <c r="C172" s="131" t="s">
        <v>411</v>
      </c>
      <c r="D172" s="132" t="s">
        <v>267</v>
      </c>
      <c r="E172" s="130"/>
      <c r="F172" s="130" t="s">
        <v>267</v>
      </c>
      <c r="G172" s="130" t="s">
        <v>405</v>
      </c>
      <c r="H172" s="130" t="n">
        <v>16</v>
      </c>
      <c r="I172" s="133"/>
      <c r="J172" s="134" t="n">
        <f aca="false">$J$120*H172</f>
        <v>16</v>
      </c>
      <c r="N172" s="107" t="s">
        <v>406</v>
      </c>
      <c r="O172" s="55" t="s">
        <v>407</v>
      </c>
      <c r="P172" s="62" t="s">
        <v>408</v>
      </c>
      <c r="Q172" s="55" t="s">
        <v>227</v>
      </c>
      <c r="R172" s="158"/>
      <c r="S172" s="158" t="s">
        <v>227</v>
      </c>
      <c r="T172" s="158" t="s">
        <v>409</v>
      </c>
      <c r="U172" s="168" t="n">
        <f aca="false">((($I$141*$G$141)+($I$142*$G$142)+($I$143*$G$143)+($I$144*$G$144)+($I$145*$G$145))/1000)*$J$120</f>
        <v>44.948</v>
      </c>
      <c r="V172" s="168" t="n">
        <v>100</v>
      </c>
      <c r="W172" s="169" t="n">
        <f aca="false">ROUNDUP((U172)/100,0)</f>
        <v>1</v>
      </c>
    </row>
    <row r="173" s="96" customFormat="true" ht="18" hidden="false" customHeight="true" outlineLevel="0" collapsed="false">
      <c r="A173" s="170" t="n">
        <f aca="false">IF(B173="","",+A172+1)</f>
        <v>2</v>
      </c>
      <c r="B173" s="131" t="s">
        <v>415</v>
      </c>
      <c r="C173" s="131" t="s">
        <v>416</v>
      </c>
      <c r="D173" s="132" t="s">
        <v>222</v>
      </c>
      <c r="E173" s="130"/>
      <c r="F173" s="130" t="s">
        <v>222</v>
      </c>
      <c r="G173" s="130" t="s">
        <v>405</v>
      </c>
      <c r="H173" s="130" t="n">
        <v>2</v>
      </c>
      <c r="I173" s="133"/>
      <c r="J173" s="134" t="n">
        <f aca="false">$J$120*H173</f>
        <v>2</v>
      </c>
      <c r="N173" s="107" t="s">
        <v>412</v>
      </c>
      <c r="O173" s="55" t="s">
        <v>413</v>
      </c>
      <c r="P173" s="62" t="s">
        <v>414</v>
      </c>
      <c r="Q173" s="55" t="s">
        <v>234</v>
      </c>
      <c r="R173" s="158"/>
      <c r="S173" s="158" t="s">
        <v>234</v>
      </c>
      <c r="T173" s="158" t="s">
        <v>409</v>
      </c>
      <c r="U173" s="168" t="n">
        <f aca="false">((($I$141*$G$141)+($I$142*$G$142)+($I$143*$G$143)+($I$144*$G$144)+($I$145*$G$145))/1000)*$J$120</f>
        <v>44.948</v>
      </c>
      <c r="V173" s="168" t="n">
        <v>100</v>
      </c>
      <c r="W173" s="169" t="n">
        <f aca="false">ROUNDUP((U173)/100,0)</f>
        <v>1</v>
      </c>
    </row>
    <row r="174" s="96" customFormat="true" ht="18" hidden="false" customHeight="true" outlineLevel="0" collapsed="false">
      <c r="A174" s="170" t="n">
        <f aca="false">IF(B174="","",+A173+1)</f>
        <v>3</v>
      </c>
      <c r="B174" s="131" t="s">
        <v>420</v>
      </c>
      <c r="C174" s="131" t="s">
        <v>421</v>
      </c>
      <c r="D174" s="132" t="s">
        <v>225</v>
      </c>
      <c r="E174" s="130"/>
      <c r="F174" s="130" t="s">
        <v>225</v>
      </c>
      <c r="G174" s="130" t="s">
        <v>405</v>
      </c>
      <c r="H174" s="130" t="n">
        <v>2</v>
      </c>
      <c r="I174" s="133"/>
      <c r="J174" s="134" t="n">
        <f aca="false">$J$120*H174</f>
        <v>2</v>
      </c>
      <c r="N174" s="107" t="s">
        <v>417</v>
      </c>
      <c r="O174" s="62" t="s">
        <v>418</v>
      </c>
      <c r="P174" s="62" t="s">
        <v>419</v>
      </c>
      <c r="Q174" s="55" t="s">
        <v>236</v>
      </c>
      <c r="R174" s="158"/>
      <c r="S174" s="158" t="s">
        <v>236</v>
      </c>
      <c r="T174" s="158" t="s">
        <v>409</v>
      </c>
      <c r="U174" s="168" t="n">
        <f aca="false">((($I$141*$G$141)+($I$142*$G$142)+($I$143*$G$143)+($I$144*$G$144)+($I$145*$G$145))/1000)*$J$120</f>
        <v>44.948</v>
      </c>
      <c r="V174" s="168" t="n">
        <v>100</v>
      </c>
      <c r="W174" s="169" t="n">
        <f aca="false">ROUNDUP((U174)/100,0)</f>
        <v>1</v>
      </c>
    </row>
    <row r="175" s="96" customFormat="true" ht="18" hidden="false" customHeight="true" outlineLevel="0" collapsed="false">
      <c r="A175" s="170" t="n">
        <f aca="false">IF(B175="","",+A174+1)</f>
        <v>4</v>
      </c>
      <c r="B175" s="131" t="s">
        <v>425</v>
      </c>
      <c r="C175" s="131" t="s">
        <v>426</v>
      </c>
      <c r="D175" s="132" t="n">
        <v>9</v>
      </c>
      <c r="E175" s="130"/>
      <c r="F175" s="130" t="n">
        <v>9</v>
      </c>
      <c r="G175" s="130" t="s">
        <v>405</v>
      </c>
      <c r="H175" s="130" t="n">
        <v>8</v>
      </c>
      <c r="I175" s="133"/>
      <c r="J175" s="134" t="n">
        <f aca="false">$J$120*H175</f>
        <v>8</v>
      </c>
      <c r="N175" s="107" t="s">
        <v>422</v>
      </c>
      <c r="O175" s="62" t="s">
        <v>423</v>
      </c>
      <c r="P175" s="62" t="s">
        <v>424</v>
      </c>
      <c r="Q175" s="55" t="s">
        <v>238</v>
      </c>
      <c r="R175" s="158"/>
      <c r="S175" s="158" t="s">
        <v>238</v>
      </c>
      <c r="T175" s="158" t="s">
        <v>409</v>
      </c>
      <c r="U175" s="168" t="n">
        <f aca="false">((($I$141*$G$141)+($I$142*$G$142)+($I$143*$G$143)+($I$144*$G$144)+($I$145*$G$145))/1000)*$J$120</f>
        <v>44.948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5</v>
      </c>
      <c r="B176" s="131" t="s">
        <v>430</v>
      </c>
      <c r="C176" s="131" t="s">
        <v>431</v>
      </c>
      <c r="D176" s="132" t="n">
        <v>9</v>
      </c>
      <c r="E176" s="130"/>
      <c r="F176" s="130" t="n">
        <v>9</v>
      </c>
      <c r="G176" s="130" t="s">
        <v>405</v>
      </c>
      <c r="H176" s="130" t="n">
        <v>110</v>
      </c>
      <c r="I176" s="133"/>
      <c r="J176" s="134" t="n">
        <f aca="false">$J$120*H176</f>
        <v>110</v>
      </c>
      <c r="N176" s="107" t="s">
        <v>427</v>
      </c>
      <c r="O176" s="62" t="s">
        <v>428</v>
      </c>
      <c r="P176" s="62" t="s">
        <v>429</v>
      </c>
      <c r="Q176" s="55" t="s">
        <v>240</v>
      </c>
      <c r="R176" s="158"/>
      <c r="S176" s="158" t="s">
        <v>240</v>
      </c>
      <c r="T176" s="158" t="s">
        <v>409</v>
      </c>
      <c r="U176" s="168" t="n">
        <f aca="false">((($I$141*$G$141)+($I$142*$G$142)+($I$143*$G$143)+($I$144*$G$144)+($I$145*$G$145))/1000)*$J$120</f>
        <v>44.948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6</v>
      </c>
      <c r="B177" s="131" t="s">
        <v>556</v>
      </c>
      <c r="C177" s="131" t="s">
        <v>557</v>
      </c>
      <c r="D177" s="132" t="s">
        <v>5</v>
      </c>
      <c r="E177" s="130"/>
      <c r="F177" s="130" t="s">
        <v>5</v>
      </c>
      <c r="G177" s="130" t="s">
        <v>434</v>
      </c>
      <c r="H177" s="130" t="n">
        <v>4</v>
      </c>
      <c r="I177" s="133"/>
      <c r="J177" s="134" t="n">
        <f aca="false">$J$120*H177</f>
        <v>4</v>
      </c>
    </row>
    <row r="178" s="96" customFormat="true" ht="18" hidden="false" customHeight="true" outlineLevel="0" collapsed="false">
      <c r="A178" s="170" t="n">
        <f aca="false">IF(B178="","",+A177+1)</f>
        <v>7</v>
      </c>
      <c r="B178" s="131" t="s">
        <v>432</v>
      </c>
      <c r="C178" s="131" t="s">
        <v>433</v>
      </c>
      <c r="D178" s="132" t="s">
        <v>6</v>
      </c>
      <c r="E178" s="130"/>
      <c r="F178" s="130" t="s">
        <v>6</v>
      </c>
      <c r="G178" s="130" t="s">
        <v>434</v>
      </c>
      <c r="H178" s="130" t="n">
        <v>1</v>
      </c>
      <c r="I178" s="133"/>
      <c r="J178" s="134" t="n">
        <f aca="false">$J$120*H178</f>
        <v>1</v>
      </c>
    </row>
    <row r="179" s="96" customFormat="true" ht="18" hidden="false" customHeight="true" outlineLevel="0" collapsed="false">
      <c r="A179" s="170" t="n">
        <f aca="false">IF(B179="","",+A178+1)</f>
        <v>8</v>
      </c>
      <c r="B179" s="131" t="s">
        <v>512</v>
      </c>
      <c r="C179" s="131" t="s">
        <v>513</v>
      </c>
      <c r="D179" s="132" t="s">
        <v>7</v>
      </c>
      <c r="E179" s="130"/>
      <c r="F179" s="130" t="s">
        <v>7</v>
      </c>
      <c r="G179" s="130" t="s">
        <v>434</v>
      </c>
      <c r="H179" s="130" t="n">
        <v>1</v>
      </c>
      <c r="I179" s="133"/>
      <c r="J179" s="134" t="n">
        <f aca="false">$J$120*H179</f>
        <v>1</v>
      </c>
    </row>
    <row r="180" s="96" customFormat="true" ht="18" hidden="false" customHeight="true" outlineLevel="0" collapsed="false">
      <c r="A180" s="170" t="n">
        <f aca="false">IF(B180="","",+A179+1)</f>
        <v>9</v>
      </c>
      <c r="B180" s="131" t="s">
        <v>554</v>
      </c>
      <c r="C180" s="131" t="s">
        <v>604</v>
      </c>
      <c r="D180" s="132" t="s">
        <v>10</v>
      </c>
      <c r="E180" s="130"/>
      <c r="F180" s="130" t="s">
        <v>10</v>
      </c>
      <c r="G180" s="130" t="s">
        <v>434</v>
      </c>
      <c r="H180" s="130" t="n">
        <v>1</v>
      </c>
      <c r="I180" s="133"/>
      <c r="J180" s="134" t="n">
        <f aca="false">$J$120*H180</f>
        <v>1</v>
      </c>
    </row>
    <row r="181" s="96" customFormat="true" ht="18" hidden="false" customHeight="true" outlineLevel="0" collapsed="false">
      <c r="A181" s="170" t="n">
        <f aca="false">IF(B181="","",+A180+1)</f>
        <v>10</v>
      </c>
      <c r="B181" s="131" t="s">
        <v>554</v>
      </c>
      <c r="C181" s="131" t="s">
        <v>555</v>
      </c>
      <c r="D181" s="132" t="s">
        <v>11</v>
      </c>
      <c r="E181" s="130"/>
      <c r="F181" s="130" t="s">
        <v>11</v>
      </c>
      <c r="G181" s="130" t="s">
        <v>434</v>
      </c>
      <c r="H181" s="130" t="n">
        <v>2</v>
      </c>
      <c r="I181" s="133"/>
      <c r="J181" s="134" t="n">
        <f aca="false">$J$120*H181</f>
        <v>2</v>
      </c>
      <c r="Q181" s="172"/>
      <c r="R181" s="172"/>
      <c r="S181" s="172"/>
      <c r="T181" s="97"/>
      <c r="U181" s="97"/>
      <c r="V181" s="97"/>
    </row>
    <row r="182" s="96" customFormat="true" ht="18" hidden="false" customHeight="true" outlineLevel="0" collapsed="false">
      <c r="A182" s="170" t="n">
        <f aca="false">IF(B182="","",+A181+1)</f>
        <v>11</v>
      </c>
      <c r="B182" s="131" t="s">
        <v>439</v>
      </c>
      <c r="C182" s="131" t="s">
        <v>440</v>
      </c>
      <c r="D182" s="132" t="s">
        <v>12</v>
      </c>
      <c r="E182" s="130"/>
      <c r="F182" s="130" t="s">
        <v>12</v>
      </c>
      <c r="G182" s="130" t="s">
        <v>434</v>
      </c>
      <c r="H182" s="130" t="n">
        <v>4</v>
      </c>
      <c r="I182" s="142"/>
      <c r="J182" s="134" t="n">
        <f aca="false">$J$120*H182</f>
        <v>4</v>
      </c>
      <c r="N182" s="107" t="s">
        <v>289</v>
      </c>
      <c r="O182" s="165" t="s">
        <v>320</v>
      </c>
      <c r="P182" s="165" t="s">
        <v>168</v>
      </c>
      <c r="Q182" s="165" t="s">
        <v>397</v>
      </c>
      <c r="R182" s="165" t="s">
        <v>321</v>
      </c>
      <c r="S182" s="165" t="s">
        <v>398</v>
      </c>
      <c r="T182" s="165" t="s">
        <v>399</v>
      </c>
      <c r="U182" s="165" t="s">
        <v>400</v>
      </c>
      <c r="V182" s="165" t="s">
        <v>401</v>
      </c>
      <c r="W182" s="165" t="s">
        <v>402</v>
      </c>
    </row>
    <row r="183" s="96" customFormat="true" ht="18" hidden="false" customHeight="true" outlineLevel="0" collapsed="false">
      <c r="A183" s="170" t="n">
        <f aca="false">IF(B183="","",+A182+1)</f>
        <v>12</v>
      </c>
      <c r="B183" s="131" t="s">
        <v>441</v>
      </c>
      <c r="C183" s="131" t="s">
        <v>442</v>
      </c>
      <c r="D183" s="132" t="s">
        <v>274</v>
      </c>
      <c r="E183" s="130"/>
      <c r="F183" s="130" t="s">
        <v>274</v>
      </c>
      <c r="G183" s="130" t="s">
        <v>405</v>
      </c>
      <c r="H183" s="130" t="n">
        <v>8</v>
      </c>
      <c r="I183" s="133"/>
      <c r="J183" s="134" t="n">
        <f aca="false">$J$120*H183</f>
        <v>8</v>
      </c>
      <c r="N183" s="107" t="s">
        <v>445</v>
      </c>
      <c r="O183" s="62" t="s">
        <v>446</v>
      </c>
      <c r="P183" s="62" t="s">
        <v>447</v>
      </c>
      <c r="Q183" s="55" t="s">
        <v>230</v>
      </c>
      <c r="R183" s="158"/>
      <c r="S183" s="158" t="s">
        <v>230</v>
      </c>
      <c r="T183" s="158" t="s">
        <v>409</v>
      </c>
      <c r="U183" s="168" t="n">
        <f aca="false">((($I$134*$G$134)+($I$136*$G$136)+($I$139*$G$139))/1000)*$J$120</f>
        <v>10.498</v>
      </c>
      <c r="V183" s="168" t="n">
        <v>300</v>
      </c>
      <c r="W183" s="169" t="n">
        <f aca="false">ROUNDUP((U183)/V183,0)</f>
        <v>1</v>
      </c>
    </row>
    <row r="184" s="96" customFormat="true" ht="18" hidden="false" customHeight="true" outlineLevel="0" collapsed="false">
      <c r="A184" s="170" t="n">
        <f aca="false">IF(B184="","",+A183+1)</f>
        <v>13</v>
      </c>
      <c r="B184" s="131" t="s">
        <v>443</v>
      </c>
      <c r="C184" s="131" t="s">
        <v>444</v>
      </c>
      <c r="D184" s="132" t="s">
        <v>272</v>
      </c>
      <c r="E184" s="130"/>
      <c r="F184" s="130" t="s">
        <v>272</v>
      </c>
      <c r="G184" s="130" t="s">
        <v>405</v>
      </c>
      <c r="H184" s="130" t="n">
        <v>1</v>
      </c>
      <c r="I184" s="133"/>
      <c r="J184" s="134" t="n">
        <f aca="false">$J$120*H184</f>
        <v>1</v>
      </c>
      <c r="N184" s="107" t="s">
        <v>448</v>
      </c>
      <c r="O184" s="62" t="s">
        <v>449</v>
      </c>
      <c r="P184" s="62" t="s">
        <v>450</v>
      </c>
      <c r="Q184" s="55" t="s">
        <v>451</v>
      </c>
      <c r="R184" s="158"/>
      <c r="S184" s="158" t="s">
        <v>451</v>
      </c>
      <c r="T184" s="158" t="s">
        <v>409</v>
      </c>
      <c r="U184" s="168" t="n">
        <f aca="false">((($I$134*$G$134)+($I$136*$G$136)+($I$139*$G$139))/1000)*$J$120</f>
        <v>10.498</v>
      </c>
      <c r="V184" s="168" t="n">
        <v>100</v>
      </c>
      <c r="W184" s="169" t="n">
        <f aca="false">ROUNDUP((U184)/V184,0)</f>
        <v>1</v>
      </c>
    </row>
    <row r="185" s="96" customFormat="true" ht="18" hidden="false" customHeight="true" outlineLevel="0" collapsed="false">
      <c r="A185" s="170" t="n">
        <f aca="false">IF(B185="","",+A184+1)</f>
        <v>14</v>
      </c>
      <c r="B185" s="131" t="s">
        <v>403</v>
      </c>
      <c r="C185" s="131" t="s">
        <v>404</v>
      </c>
      <c r="D185" s="132" t="s">
        <v>276</v>
      </c>
      <c r="E185" s="130"/>
      <c r="F185" s="130" t="s">
        <v>276</v>
      </c>
      <c r="G185" s="130" t="s">
        <v>405</v>
      </c>
      <c r="H185" s="130" t="n">
        <v>4</v>
      </c>
      <c r="I185" s="174"/>
      <c r="J185" s="134" t="n">
        <f aca="false">$J$120*H185</f>
        <v>4</v>
      </c>
      <c r="N185" s="107" t="s">
        <v>445</v>
      </c>
      <c r="O185" s="62" t="s">
        <v>452</v>
      </c>
      <c r="P185" s="62" t="s">
        <v>453</v>
      </c>
      <c r="Q185" s="55" t="s">
        <v>232</v>
      </c>
      <c r="R185" s="158"/>
      <c r="S185" s="158" t="s">
        <v>232</v>
      </c>
      <c r="T185" s="158" t="s">
        <v>409</v>
      </c>
      <c r="U185" s="168" t="n">
        <f aca="false">((($I$141*$G$141*2)+($I$143*$G$143*2)+($I$144*$G$144*2))/1000)*$J$120</f>
        <v>72.644</v>
      </c>
      <c r="V185" s="168" t="n">
        <v>350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15</v>
      </c>
      <c r="B186" s="132" t="str">
        <f aca="false">IF($D$129="Standard",$O$183,IF($D$129="Soumdproof",$O$184,))</f>
        <v>ยางเฟรมกันน้ำ (ธรรมดา)</v>
      </c>
      <c r="C186" s="132" t="str">
        <f aca="false">IF($D$129="Standard",$P$183,IF($D$129="Soumdproof",$P$184,))</f>
        <v>FRAME SEAL (Standard)</v>
      </c>
      <c r="D186" s="132" t="str">
        <f aca="false">IF($D$129="Standard",$Q$183,IF($D$129="Soumdproof",$Q$184,))</f>
        <v>02-026</v>
      </c>
      <c r="E186" s="130" t="n">
        <f aca="false">IF($D$129="Standard",R188,IF($D$129="Soumdproof",R189,))</f>
        <v>0</v>
      </c>
      <c r="F186" s="130" t="str">
        <f aca="false">IF($D$129="Standard",$S$183,IF($D$129="Soumdproof",$S$184,))</f>
        <v>02-026</v>
      </c>
      <c r="G186" s="130" t="str">
        <f aca="false">IF($D$129="Standard",$T$183,IF($D$129="Soumdproof",$T$184,))</f>
        <v>M</v>
      </c>
      <c r="H186" s="173" t="n">
        <f aca="false">IF($D$129="Standard",$U$183,IF($D$129="Soumdproof",$U$184,))</f>
        <v>10.498</v>
      </c>
      <c r="I186" s="174" t="n">
        <f aca="false">IF($D$129="Standard",$V$183,IF($D$129="Soumdproof",$V$184,))</f>
        <v>300</v>
      </c>
      <c r="J186" s="175" t="n">
        <f aca="false">ROUNDUP((H186)/100,0)</f>
        <v>1</v>
      </c>
      <c r="N186" s="107" t="s">
        <v>448</v>
      </c>
      <c r="O186" s="62" t="s">
        <v>454</v>
      </c>
      <c r="P186" s="62" t="s">
        <v>455</v>
      </c>
      <c r="Q186" s="55" t="s">
        <v>456</v>
      </c>
      <c r="R186" s="158"/>
      <c r="S186" s="158" t="s">
        <v>456</v>
      </c>
      <c r="T186" s="158" t="s">
        <v>409</v>
      </c>
      <c r="U186" s="168" t="n">
        <f aca="false">((($I$141*$G$141*2)+($I$143*$G$143*2)+($I$144*$G$144*2))/1000)*$J$120</f>
        <v>72.644</v>
      </c>
      <c r="V186" s="168" t="n">
        <v>100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16</v>
      </c>
      <c r="B187" s="132" t="str">
        <f aca="false">IF($D$129="Standard",$O$185,IF($D$129="Soumdproof",$O$186,))</f>
        <v>ยางแซชกันน้ำ (ธรรมดา)</v>
      </c>
      <c r="C187" s="132" t="str">
        <f aca="false">IF($D$129="Standard",$P$185,IF($D$129="Soumdproof",$P$186,))</f>
        <v>SASH SEAL FOAM (Standard)</v>
      </c>
      <c r="D187" s="132" t="str">
        <f aca="false">IF($D$129="Standard",$Q$185,IF($D$129="Soumdproof",$Q$186,))</f>
        <v>02-031</v>
      </c>
      <c r="E187" s="130" t="n">
        <f aca="false">IF($D$129="Standard",R190,IF($D$129="Soumdproof",R191,))</f>
        <v>0</v>
      </c>
      <c r="F187" s="130" t="str">
        <f aca="false">IF($D$129="Standard",$S$185,IF($D$129="Soumdproof",$S$186,))</f>
        <v>02-031</v>
      </c>
      <c r="G187" s="130" t="str">
        <f aca="false">IF($D$129="Standard",$T$185,IF($D$129="Soumdproof",$T$186,))</f>
        <v>M</v>
      </c>
      <c r="H187" s="173" t="n">
        <f aca="false">IF($D$129="Standard",$U$185,IF($D$129="Soumdproof",$U$186,))</f>
        <v>72.644</v>
      </c>
      <c r="I187" s="174" t="n">
        <f aca="false">IF($D$129="Standard",$V$185,IF($D$129="Soumdproof",$V$186,))</f>
        <v>350</v>
      </c>
      <c r="J187" s="175" t="n">
        <f aca="false">ROUNDUP((H187)/100,0)</f>
        <v>1</v>
      </c>
    </row>
    <row r="188" s="96" customFormat="true" ht="18" hidden="false" customHeight="true" outlineLevel="0" collapsed="false">
      <c r="A188" s="170" t="n">
        <f aca="false">IF(B188="","",+A187+1)</f>
        <v>17</v>
      </c>
      <c r="B188" s="176" t="str">
        <f aca="false">IF($D$127=5,$O$174,IF($D$127=6,$O$175,IF($D$127=8,$O$176,IF($D$127=10,$O$174,IF($D$127=12,$O$174,IF($D$127=14,$O$176,IF($D$127=18,$O$174,IF($D$127=20,$O$175,IF($D$127=22,"")))))))))</f>
        <v>6,20 mm ยางอัดกระจก</v>
      </c>
      <c r="C188" s="176" t="str">
        <f aca="false">IF($D$127=5,$P$174,IF($D$127=6,$P$175,IF($D$127=8,$P$176,IF($D$127=10,$P$174,IF($D$127=12,$P$174,IF($D$127=14,$P$176,IF($D$127=18,$P$174,IF($D$127=20,$P$175,IF($D$127=22,"")))))))))</f>
        <v>6,20 mm ROLL IN WEDGE</v>
      </c>
      <c r="D188" s="176" t="str">
        <f aca="false">IF($D$127=5,$Q$174,IF($D$127=6,$Q$175,IF($D$127=8,$Q$176,IF($D$127=10,$Q$174,IF($D$127=12,$Q$174,IF($D$127=14,$Q$176,IF($D$127=18,$Q$174,IF($D$127=20,$Q$175,IF($D$127=22,"")))))))))</f>
        <v>02-034</v>
      </c>
      <c r="E188" s="176" t="n">
        <f aca="false">IF($D$127=5,R179,IF($D$127=6,R180,IF($D$127=8,R181,IF($D$127=10,R179,IF($D$127=12,R179,IF($D$127=14,R181,IF($D$127=18,R179,IF($D$127=20,R180,IF($D$127=22,"",)))))))))</f>
        <v>0</v>
      </c>
      <c r="F188" s="167" t="str">
        <f aca="false">IF($D$127=5,$S$174,IF($D$127=6,$S$175,IF($D$127=8,$S$176,IF($D$127=10,$S$174,IF($D$127=12,$S$174,IF($D$127=14,$S$176,IF($D$127=18,$S$174,IF($D$127=20,$S$175,IF($D$127=22,"")))))))))</f>
        <v>02-034</v>
      </c>
      <c r="G188" s="167" t="str">
        <f aca="false">IF($D$127=5,$T$174,IF($D$127=6,$T$175,IF($D$127=8,$T$176,IF($D$127=10,$T$174,IF($D$127=12,$T$174,IF($D$127=14,$T$176,IF($D$127=18,$T$174,IF($D$127=20,$T$175,IF($D$127=22,"")))))))))</f>
        <v>M</v>
      </c>
      <c r="H188" s="173" t="n">
        <f aca="false">IF($D$127=5,$U$174,IF($D$127=6,$U$175,IF($D$127=8,$U$176,IF($D$127=10,$U$174*2,IF($D$127=12,$U$174,IF($D$127=14,$U$176*2,IF($D$127=18,$U$174,IF($D$127=20,$U$175,IF($D$127=22,"")))))))))</f>
        <v>44.948</v>
      </c>
      <c r="I188" s="174" t="n">
        <f aca="false">IF($D$127=5,$V$174,IF($D$127=6,$V$175,IF($D$127=8,$V$176,IF($D$127=10,$V$174,IF($D$127=12,$V$174,IF($D$127=14,$V$176,IF($D$127=18,$V$174,IF($D$127=20,$V$175,IF($D$127=22,"")))))))))</f>
        <v>100</v>
      </c>
      <c r="J188" s="175" t="n">
        <f aca="false">ROUNDUP((H188)/100,0)</f>
        <v>1</v>
      </c>
    </row>
    <row r="189" s="96" customFormat="true" ht="18" hidden="false" customHeight="true" outlineLevel="0" collapsed="false">
      <c r="A189" s="170" t="n">
        <f aca="false">IF(B189="","",+A188+1)</f>
        <v>18</v>
      </c>
      <c r="B189" s="176" t="str">
        <f aca="false">IF($D$127=5,$O$172,IF($D$127=6,$O$172,IF($D$127=8,$O$174,IF($D$127=10,"",IF($D$127=12,$O$173,IF($D$127=14,"",IF($D$127=18,$O$172,IF($D$127=20,$O$173,IF($D$127=22,"",)))))))))</f>
        <v>5,6,18 mm ยางรองกระจก</v>
      </c>
      <c r="C189" s="176" t="str">
        <f aca="false">IF($D$127=5,$P$172,IF($D$127=6,$P$172,IF($D$127=8,$P$174,IF($D$127=10,"",IF($D$127=12,$P$173,IF($D$127=14,"",IF($D$127=18,$P$172,IF($D$127=20,$P$173,IF($D$127=22,"",)))))))))</f>
        <v>5,6,18 mm CAPTIVE WEDGE</v>
      </c>
      <c r="D189" s="176" t="str">
        <f aca="false">IF($D$127=5,$Q$172,IF($D$127=6,$Q$172,IF($D$127=8,$Q$174,IF($D$127=10,"",IF($D$127=12,$Q$173,IF($D$127=14,"",IF($D$127=18,$Q$172,IF($D$127=20,$Q$173,IF($D$127=22,"",)))))))))</f>
        <v>02-022</v>
      </c>
      <c r="E189" s="176" t="n">
        <f aca="false">IF($D$127=5,R177,IF($D$127=6,R177,IF($D$127=8,R179,IF($D$127=10,"",IF($D$127=12,R178,IF($D$127=14,"",IF($D$127=18,R177,IF($D$127=20,R178,IF($D$127=22,"",)))))))))</f>
        <v>0</v>
      </c>
      <c r="F189" s="167" t="str">
        <f aca="false">IF($D$127=5,$S$172,IF($D$127=6,$S$172,IF($D$127=8,$S$174,IF($D$127=10,"",IF($D$127=12,$S$173,IF($D$127=14,"",IF($D$127=18,$S$172,IF($D$127=20,$S$173,IF($D$127=22,"",)))))))))</f>
        <v>02-022</v>
      </c>
      <c r="G189" s="167" t="str">
        <f aca="false">IF($D$127=5,$T$172,IF($D$127=6,$T$172,IF($D$127=8,$T$174,IF($D$127=10,"",IF($D$127=12,$T$173,IF($D$127=14,"",IF($D$127=18,$T$172,IF($D$127=20,$T$173,IF($D$127=22,"",)))))))))</f>
        <v>M</v>
      </c>
      <c r="H189" s="173" t="n">
        <f aca="false">IF($D$127=5,$U$172,IF($D$127=6,$U$172,IF($D$127=8,$U$174,IF($D$127=10,"",IF($D$127=12,$U$173,IF($D$127=14,"",IF($D$127=18,$U$172,IF($D$127=20,$U$173,IF($D$127=22,"")))))))))</f>
        <v>44.948</v>
      </c>
      <c r="I189" s="174" t="n">
        <f aca="false">IF($D$127=5,$V$172,IF($D$127=6,$V$172,IF($D$127=8,$V$174,IF($D$127=10,"",IF($D$127=12,$V$173,IF($D$127=14,"",IF($D$127=18,$V$172,IF($D$127=20,$V$173,IF($D$127=22,"",)))))))))</f>
        <v>100</v>
      </c>
      <c r="J189" s="175" t="n">
        <f aca="false">ROUNDUP((H189)/100,0)</f>
        <v>1</v>
      </c>
    </row>
    <row r="190" s="96" customFormat="true" ht="18" hidden="false" customHeight="true" outlineLevel="0" collapsed="false">
      <c r="A190" s="170" t="str">
        <f aca="false">IF(B190="","",+A189+1)</f>
        <v/>
      </c>
      <c r="B190" s="131"/>
      <c r="C190" s="131"/>
      <c r="D190" s="132"/>
      <c r="E190" s="130"/>
      <c r="F190" s="130"/>
      <c r="G190" s="130"/>
      <c r="H190" s="130"/>
      <c r="I190" s="133"/>
      <c r="J190" s="134"/>
    </row>
    <row r="191" s="96" customFormat="true" ht="18" hidden="false" customHeight="true" outlineLevel="0" collapsed="false">
      <c r="A191" s="170" t="str">
        <f aca="false">IF(B191="","",+A190+1)</f>
        <v/>
      </c>
      <c r="B191" s="131"/>
      <c r="C191" s="131"/>
      <c r="D191" s="132"/>
      <c r="E191" s="130"/>
      <c r="F191" s="130"/>
      <c r="G191" s="130"/>
      <c r="H191" s="130"/>
      <c r="I191" s="133"/>
      <c r="J191" s="134"/>
    </row>
    <row r="192" customFormat="false" ht="18" hidden="false" customHeight="true" outlineLevel="0" collapsed="false">
      <c r="A192" s="170" t="str">
        <f aca="false">IF(B192="","",+A191+1)</f>
        <v/>
      </c>
      <c r="B192" s="131"/>
      <c r="C192" s="131"/>
      <c r="D192" s="131"/>
      <c r="E192" s="131"/>
      <c r="F192" s="131"/>
      <c r="G192" s="131"/>
      <c r="H192" s="131"/>
      <c r="I192" s="319"/>
      <c r="J192" s="319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</row>
    <row r="193" s="96" customFormat="true" ht="18" hidden="false" customHeight="true" outlineLevel="0" collapsed="false">
      <c r="A193" s="170" t="str">
        <f aca="false">IF(B193="","",+A192+1)</f>
        <v/>
      </c>
      <c r="B193" s="131"/>
      <c r="C193" s="131"/>
      <c r="D193" s="132"/>
      <c r="E193" s="130"/>
      <c r="F193" s="130"/>
      <c r="G193" s="130"/>
      <c r="H193" s="130"/>
      <c r="I193" s="133"/>
      <c r="J193" s="134"/>
    </row>
    <row r="194" s="96" customFormat="true" ht="18" hidden="false" customHeight="true" outlineLevel="0" collapsed="false">
      <c r="A194" s="170" t="str">
        <f aca="false">IF(B194="","",+A193+1)</f>
        <v/>
      </c>
      <c r="B194" s="131"/>
      <c r="C194" s="131"/>
      <c r="D194" s="132"/>
      <c r="E194" s="130"/>
      <c r="F194" s="130"/>
      <c r="G194" s="130"/>
      <c r="H194" s="173"/>
      <c r="I194" s="174"/>
      <c r="J194" s="175"/>
    </row>
    <row r="195" s="96" customFormat="true" ht="18" hidden="false" customHeight="true" outlineLevel="0" collapsed="false">
      <c r="A195" s="170" t="str">
        <f aca="false">IF(B195="","",+A194+1)</f>
        <v/>
      </c>
      <c r="B195" s="131"/>
      <c r="C195" s="131"/>
      <c r="D195" s="132"/>
      <c r="E195" s="130"/>
      <c r="F195" s="130"/>
      <c r="G195" s="130"/>
      <c r="H195" s="173"/>
      <c r="I195" s="174"/>
      <c r="J195" s="175"/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73"/>
      <c r="I196" s="174"/>
      <c r="J196" s="175"/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73"/>
      <c r="I197" s="174"/>
      <c r="J197" s="175"/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73"/>
      <c r="I198" s="174"/>
      <c r="J198" s="175"/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73"/>
      <c r="I199" s="174"/>
      <c r="J199" s="175"/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73"/>
      <c r="I200" s="174"/>
      <c r="J200" s="175"/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73"/>
      <c r="I201" s="174"/>
      <c r="J201" s="175"/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73"/>
      <c r="I202" s="174"/>
      <c r="J202" s="175"/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73"/>
      <c r="I203" s="174"/>
      <c r="J203" s="175"/>
    </row>
    <row r="204" s="96" customFormat="true" ht="18" hidden="false" customHeight="true" outlineLevel="0" collapsed="false">
      <c r="A204" s="179" t="str">
        <f aca="false">IF(B204="","",+A203+1)</f>
        <v/>
      </c>
      <c r="B204" s="135"/>
      <c r="C204" s="135"/>
      <c r="D204" s="139"/>
      <c r="E204" s="136"/>
      <c r="F204" s="136"/>
      <c r="G204" s="136"/>
      <c r="H204" s="136"/>
      <c r="I204" s="140"/>
      <c r="J204" s="137" t="n">
        <f aca="false">$J$120*G204</f>
        <v>0</v>
      </c>
    </row>
    <row r="205" s="96" customFormat="true" ht="18" hidden="false" customHeight="true" outlineLevel="0" collapsed="false">
      <c r="A205" s="200"/>
      <c r="B205" s="98"/>
      <c r="D205" s="98"/>
      <c r="E205" s="97"/>
      <c r="F205" s="98"/>
      <c r="G205" s="98"/>
      <c r="H205" s="98"/>
      <c r="I205" s="196"/>
      <c r="J205" s="196"/>
    </row>
    <row r="206" customFormat="false" ht="18" hidden="false" customHeight="true" outlineLevel="0" collapsed="false">
      <c r="A206" s="97"/>
      <c r="J206" s="92" t="str">
        <f aca="false">LEFT($J$111,13)&amp;"-02"</f>
        <v>FG-240-8P4L4R-02</v>
      </c>
    </row>
    <row r="207" customFormat="false" ht="12.75" hidden="false" customHeight="true" outlineLevel="0" collapsed="false">
      <c r="B207" s="96"/>
      <c r="C207" s="96"/>
      <c r="D207" s="98"/>
      <c r="E207" s="97"/>
      <c r="F207" s="97"/>
      <c r="G207" s="97"/>
      <c r="H207" s="97"/>
      <c r="K207" s="78"/>
      <c r="L207" s="78"/>
      <c r="M207" s="79"/>
      <c r="N207" s="79"/>
    </row>
    <row r="208" customFormat="false" ht="30" hidden="false" customHeight="true" outlineLevel="0" collapsed="false">
      <c r="I208" s="76"/>
      <c r="J208" s="77" t="str">
        <f aca="false">$J$2</f>
        <v>HOMELIFE</v>
      </c>
      <c r="K208" s="83"/>
      <c r="L208" s="83"/>
      <c r="M208" s="79"/>
      <c r="N208" s="79"/>
    </row>
    <row r="209" customFormat="false" ht="24.75" hidden="false" customHeight="true" outlineLevel="0" collapsed="false">
      <c r="C209" s="75"/>
      <c r="D209" s="76"/>
      <c r="E209" s="76"/>
      <c r="F209" s="76"/>
      <c r="G209" s="76"/>
      <c r="H209" s="76"/>
      <c r="I209" s="82"/>
      <c r="J209" s="80" t="str">
        <f aca="false">$J$3</f>
        <v>Fabricators Guide</v>
      </c>
      <c r="K209" s="83"/>
      <c r="L209" s="83"/>
      <c r="M209" s="79"/>
      <c r="N209" s="79"/>
    </row>
    <row r="210" customFormat="false" ht="24.75" hidden="false" customHeight="true" outlineLevel="0" collapsed="false">
      <c r="C210" s="82"/>
      <c r="D210" s="82"/>
      <c r="E210" s="82"/>
      <c r="F210" s="82"/>
      <c r="G210" s="82"/>
      <c r="H210" s="82"/>
      <c r="I210" s="82"/>
      <c r="J210" s="80" t="str">
        <f aca="false">$J$4</f>
        <v>240 Series Bi Fold Door </v>
      </c>
      <c r="M210" s="87"/>
      <c r="N210" s="87"/>
    </row>
    <row r="211" s="96" customFormat="true" ht="15" hidden="false" customHeight="true" outlineLevel="0" collapsed="false">
      <c r="A211" s="84"/>
      <c r="B211" s="81"/>
      <c r="C211" s="82"/>
      <c r="D211" s="82"/>
      <c r="E211" s="82"/>
      <c r="F211" s="82"/>
      <c r="G211" s="82"/>
      <c r="H211" s="82"/>
      <c r="I211" s="84"/>
      <c r="J211" s="94"/>
      <c r="K211" s="87"/>
      <c r="L211" s="87"/>
      <c r="M211" s="87"/>
      <c r="N211" s="87"/>
    </row>
    <row r="212" s="96" customFormat="true" ht="24.75" hidden="false" customHeight="true" outlineLevel="0" collapsed="false">
      <c r="A212" s="88" t="s">
        <v>457</v>
      </c>
      <c r="B212" s="88"/>
      <c r="C212" s="88"/>
      <c r="D212" s="88"/>
      <c r="E212" s="88"/>
      <c r="F212" s="88"/>
      <c r="G212" s="88"/>
      <c r="H212" s="88"/>
      <c r="I212" s="88"/>
      <c r="J212" s="88"/>
    </row>
    <row r="214" s="96" customFormat="true" ht="15" hidden="false" customHeight="true" outlineLevel="0" collapsed="false">
      <c r="A214" s="182"/>
      <c r="D214" s="73"/>
      <c r="I214" s="183"/>
      <c r="J214" s="99"/>
    </row>
    <row r="215" s="96" customFormat="true" ht="15" hidden="false" customHeight="true" outlineLevel="0" collapsed="false">
      <c r="A215" s="97"/>
      <c r="B215" s="182"/>
      <c r="D215" s="98"/>
      <c r="E215" s="83"/>
      <c r="F215" s="183"/>
      <c r="G215" s="183"/>
      <c r="H215" s="183"/>
      <c r="J215" s="97"/>
    </row>
    <row r="216" s="96" customFormat="true" ht="15" hidden="false" customHeight="true" outlineLevel="0" collapsed="false">
      <c r="A216" s="97"/>
      <c r="C216" s="181"/>
      <c r="D216" s="98"/>
      <c r="E216" s="83"/>
      <c r="F216" s="98"/>
      <c r="J216" s="97"/>
    </row>
    <row r="217" s="96" customFormat="true" ht="15" hidden="false" customHeight="true" outlineLevel="0" collapsed="false">
      <c r="A217" s="97"/>
      <c r="C217" s="181"/>
      <c r="D217" s="98"/>
      <c r="E217" s="97"/>
      <c r="F217" s="98"/>
      <c r="H217" s="181"/>
      <c r="J217" s="97"/>
    </row>
    <row r="218" s="96" customFormat="true" ht="15" hidden="false" customHeight="true" outlineLevel="0" collapsed="false">
      <c r="A218" s="182"/>
      <c r="B218" s="182"/>
      <c r="D218" s="98"/>
      <c r="E218" s="83"/>
      <c r="F218" s="183"/>
      <c r="H218" s="181"/>
      <c r="I218" s="97"/>
      <c r="J218" s="97"/>
    </row>
    <row r="219" s="96" customFormat="true" ht="15" hidden="false" customHeight="true" outlineLevel="0" collapsed="false">
      <c r="A219" s="97"/>
      <c r="C219" s="184" t="s">
        <v>458</v>
      </c>
      <c r="D219" s="98"/>
      <c r="E219" s="83"/>
      <c r="F219" s="98"/>
      <c r="I219" s="97"/>
      <c r="J219" s="97"/>
    </row>
    <row r="220" s="96" customFormat="true" ht="15" hidden="false" customHeight="true" outlineLevel="0" collapsed="false">
      <c r="A220" s="97"/>
      <c r="C220" s="181" t="s">
        <v>459</v>
      </c>
      <c r="D220" s="98"/>
      <c r="E220" s="83"/>
      <c r="F220" s="98"/>
      <c r="H220" s="184"/>
      <c r="J220" s="97"/>
    </row>
    <row r="221" s="96" customFormat="true" ht="15" hidden="false" customHeight="true" outlineLevel="0" collapsed="false">
      <c r="A221" s="97"/>
      <c r="C221" s="181" t="s">
        <v>460</v>
      </c>
      <c r="D221" s="98"/>
      <c r="E221" s="97"/>
      <c r="F221" s="98"/>
      <c r="J221" s="97"/>
    </row>
    <row r="222" s="96" customFormat="true" ht="15" hidden="false" customHeight="true" outlineLevel="0" collapsed="false">
      <c r="A222" s="97"/>
      <c r="C222" s="185" t="n">
        <f aca="false">$I$133</f>
        <v>4110</v>
      </c>
      <c r="D222" s="98"/>
      <c r="E222" s="83"/>
      <c r="F222" s="98"/>
      <c r="G222" s="186"/>
      <c r="J222" s="97"/>
    </row>
    <row r="223" s="96" customFormat="true" ht="15" hidden="false" customHeight="true" outlineLevel="0" collapsed="false">
      <c r="A223" s="97"/>
      <c r="C223" s="187" t="n">
        <f aca="false">$J$133</f>
        <v>1</v>
      </c>
      <c r="D223" s="98"/>
      <c r="E223" s="83"/>
      <c r="F223" s="98"/>
      <c r="G223" s="110"/>
      <c r="I223" s="97"/>
      <c r="J223" s="97"/>
    </row>
    <row r="224" s="96" customFormat="true" ht="15" hidden="false" customHeight="true" outlineLevel="0" collapsed="false">
      <c r="A224" s="97"/>
      <c r="D224" s="98"/>
      <c r="E224" s="97"/>
      <c r="F224" s="98"/>
      <c r="G224" s="110"/>
      <c r="I224" s="97"/>
      <c r="J224" s="97"/>
    </row>
    <row r="225" s="96" customFormat="true" ht="15.75" hidden="false" customHeight="true" outlineLevel="0" collapsed="false">
      <c r="A225" s="99"/>
      <c r="B225" s="99"/>
      <c r="C225" s="83"/>
      <c r="D225" s="98"/>
      <c r="E225" s="97"/>
      <c r="F225" s="98"/>
      <c r="G225" s="186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H226" s="97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189"/>
      <c r="J227" s="190"/>
    </row>
    <row r="228" s="96" customFormat="true" ht="15.75" hidden="false" customHeight="true" outlineLevel="0" collapsed="false">
      <c r="A228" s="99"/>
      <c r="B228" s="99"/>
      <c r="C228" s="181"/>
      <c r="D228" s="98"/>
      <c r="E228" s="97"/>
      <c r="F228" s="98"/>
      <c r="H228" s="97"/>
      <c r="I228" s="181"/>
      <c r="J228" s="193"/>
    </row>
    <row r="229" s="96" customFormat="true" ht="15.75" hidden="false" customHeight="true" outlineLevel="0" collapsed="false">
      <c r="A229" s="188"/>
      <c r="B229" s="188"/>
      <c r="D229" s="98"/>
      <c r="E229" s="97"/>
      <c r="F229" s="98"/>
      <c r="I229" s="181"/>
      <c r="J229" s="193"/>
    </row>
    <row r="230" s="96" customFormat="true" ht="15.75" hidden="false" customHeight="true" outlineLevel="0" collapsed="false">
      <c r="A230" s="97"/>
      <c r="B230" s="97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81"/>
      <c r="D231" s="98"/>
      <c r="E231" s="97"/>
      <c r="F231" s="97"/>
      <c r="I231" s="181"/>
      <c r="J231" s="193"/>
    </row>
    <row r="232" s="96" customFormat="true" ht="15.75" hidden="false" customHeight="true" outlineLevel="0" collapsed="false">
      <c r="A232" s="191"/>
      <c r="B232" s="191"/>
      <c r="C232" s="184" t="s">
        <v>461</v>
      </c>
      <c r="D232" s="192"/>
      <c r="E232" s="191"/>
      <c r="F232" s="191"/>
      <c r="G232" s="97"/>
      <c r="H232" s="97"/>
      <c r="I232" s="181"/>
      <c r="J232" s="193"/>
    </row>
    <row r="233" s="96" customFormat="true" ht="15.75" hidden="false" customHeight="true" outlineLevel="0" collapsed="false">
      <c r="A233" s="190"/>
      <c r="B233" s="190"/>
      <c r="C233" s="181" t="s">
        <v>462</v>
      </c>
      <c r="D233" s="194"/>
      <c r="E233" s="190"/>
      <c r="F233" s="189"/>
      <c r="G233" s="97"/>
      <c r="H233" s="97"/>
      <c r="J233" s="97"/>
    </row>
    <row r="234" s="96" customFormat="true" ht="15.75" hidden="false" customHeight="true" outlineLevel="0" collapsed="false">
      <c r="A234" s="97"/>
      <c r="C234" s="181" t="s">
        <v>518</v>
      </c>
      <c r="D234" s="98"/>
      <c r="E234" s="97"/>
      <c r="F234" s="98"/>
      <c r="G234" s="97"/>
      <c r="H234" s="97"/>
      <c r="I234" s="97"/>
      <c r="J234" s="196"/>
    </row>
    <row r="235" s="96" customFormat="true" ht="15.75" hidden="false" customHeight="true" outlineLevel="0" collapsed="false">
      <c r="A235" s="97"/>
      <c r="C235" s="185" t="n">
        <f aca="false">$I$134</f>
        <v>4084</v>
      </c>
      <c r="D235" s="98"/>
      <c r="E235" s="97"/>
      <c r="F235" s="98"/>
      <c r="G235" s="97"/>
      <c r="H235" s="97"/>
      <c r="I235" s="196"/>
      <c r="J235" s="196"/>
    </row>
    <row r="236" s="96" customFormat="true" ht="15.75" hidden="false" customHeight="true" outlineLevel="0" collapsed="false">
      <c r="A236" s="97"/>
      <c r="C236" s="187" t="n">
        <f aca="false">$J$134</f>
        <v>1</v>
      </c>
      <c r="D236" s="98"/>
      <c r="E236" s="97"/>
      <c r="F236" s="98"/>
      <c r="G236" s="97"/>
      <c r="H236" s="195"/>
      <c r="I236" s="184"/>
      <c r="J236" s="198"/>
    </row>
    <row r="237" s="96" customFormat="true" ht="15.75" hidden="false" customHeight="true" outlineLevel="0" collapsed="false">
      <c r="A237" s="97"/>
      <c r="C237" s="191"/>
      <c r="D237" s="98"/>
      <c r="E237" s="97"/>
      <c r="F237" s="98"/>
      <c r="G237" s="97"/>
      <c r="H237" s="195"/>
      <c r="I237" s="181"/>
      <c r="J237" s="193"/>
    </row>
    <row r="238" s="96" customFormat="true" ht="15.75" hidden="false" customHeight="true" outlineLevel="0" collapsed="false">
      <c r="A238" s="97"/>
      <c r="D238" s="98"/>
      <c r="E238" s="97"/>
      <c r="F238" s="98"/>
      <c r="G238" s="97"/>
      <c r="H238" s="97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96"/>
      <c r="J239" s="196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1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97"/>
      <c r="I241" s="97"/>
      <c r="J241" s="196"/>
    </row>
    <row r="242" s="96" customFormat="true" ht="15.75" hidden="false" customHeight="true" outlineLevel="0" collapsed="false">
      <c r="A242" s="97"/>
      <c r="C242" s="184" t="s">
        <v>464</v>
      </c>
      <c r="D242" s="98"/>
      <c r="E242" s="97"/>
      <c r="F242" s="98"/>
      <c r="G242" s="97"/>
      <c r="H242" s="97"/>
      <c r="I242" s="196"/>
      <c r="J242" s="196"/>
    </row>
    <row r="243" s="96" customFormat="true" ht="15.75" hidden="false" customHeight="true" outlineLevel="0" collapsed="false">
      <c r="A243" s="97"/>
      <c r="C243" s="181" t="s">
        <v>459</v>
      </c>
      <c r="D243" s="98"/>
      <c r="E243" s="97"/>
      <c r="F243" s="98"/>
      <c r="G243" s="97"/>
      <c r="H243" s="97"/>
      <c r="I243" s="196"/>
      <c r="J243" s="196"/>
    </row>
    <row r="244" s="96" customFormat="true" ht="15" hidden="false" customHeight="true" outlineLevel="0" collapsed="false">
      <c r="A244" s="97"/>
      <c r="C244" s="181" t="s">
        <v>460</v>
      </c>
      <c r="D244" s="98"/>
      <c r="E244" s="97"/>
      <c r="F244" s="98"/>
      <c r="G244" s="97"/>
      <c r="H244" s="97"/>
      <c r="I244" s="196"/>
      <c r="J244" s="196"/>
    </row>
    <row r="245" s="96" customFormat="true" ht="15.75" hidden="false" customHeight="true" outlineLevel="0" collapsed="false">
      <c r="A245" s="97"/>
      <c r="C245" s="185" t="n">
        <f aca="false">$I$135</f>
        <v>4110</v>
      </c>
      <c r="D245" s="98"/>
      <c r="E245" s="97"/>
      <c r="F245" s="98"/>
      <c r="G245" s="97"/>
      <c r="H245" s="97"/>
      <c r="I245" s="191"/>
      <c r="J245" s="199"/>
    </row>
    <row r="246" s="96" customFormat="true" ht="15.75" hidden="false" customHeight="true" outlineLevel="0" collapsed="false">
      <c r="A246" s="97"/>
      <c r="C246" s="187" t="n">
        <f aca="false">$J$135</f>
        <v>1</v>
      </c>
      <c r="D246" s="98"/>
      <c r="E246" s="97"/>
      <c r="F246" s="98"/>
      <c r="G246" s="97"/>
      <c r="H246" s="97"/>
      <c r="I246" s="189"/>
      <c r="J246" s="190"/>
    </row>
    <row r="247" s="96" customFormat="true" ht="15.75" hidden="false" customHeight="true" outlineLevel="0" collapsed="false">
      <c r="A247" s="97"/>
      <c r="C247" s="98"/>
      <c r="D247" s="98"/>
      <c r="E247" s="97"/>
      <c r="F247" s="98"/>
      <c r="G247" s="97"/>
      <c r="H247" s="97"/>
      <c r="J247" s="97"/>
    </row>
    <row r="248" s="96" customFormat="true" ht="15.75" hidden="false" customHeight="true" outlineLevel="0" collapsed="false">
      <c r="A248" s="97"/>
      <c r="D248" s="98"/>
      <c r="E248" s="97"/>
      <c r="F248" s="97"/>
      <c r="G248" s="191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0"/>
      <c r="H250" s="97"/>
      <c r="I250" s="196"/>
      <c r="J250" s="196"/>
    </row>
    <row r="251" s="96" customFormat="true" ht="15.75" hidden="false" customHeight="true" outlineLevel="0" collapsed="false">
      <c r="A251" s="97"/>
      <c r="D251" s="98"/>
      <c r="E251" s="97"/>
      <c r="F251" s="97"/>
      <c r="G251" s="97"/>
      <c r="H251" s="97"/>
      <c r="I251" s="196"/>
      <c r="J251" s="196"/>
    </row>
    <row r="252" s="96" customFormat="true" ht="15.75" hidden="false" customHeight="true" outlineLevel="0" collapsed="false">
      <c r="A252" s="191"/>
      <c r="B252" s="191"/>
      <c r="D252" s="192"/>
      <c r="E252" s="191"/>
      <c r="F252" s="191"/>
      <c r="G252" s="97"/>
      <c r="H252" s="97"/>
      <c r="I252" s="196"/>
      <c r="J252" s="196"/>
    </row>
    <row r="253" s="96" customFormat="true" ht="15.75" hidden="false" customHeight="true" outlineLevel="0" collapsed="false">
      <c r="A253" s="190"/>
      <c r="B253" s="190"/>
      <c r="C253" s="184" t="s">
        <v>465</v>
      </c>
      <c r="D253" s="194"/>
      <c r="E253" s="190"/>
      <c r="F253" s="189"/>
      <c r="G253" s="97"/>
      <c r="I253" s="196"/>
      <c r="J253" s="196"/>
    </row>
    <row r="254" s="96" customFormat="true" ht="15.75" hidden="false" customHeight="true" outlineLevel="0" collapsed="false">
      <c r="A254" s="200"/>
      <c r="C254" s="181" t="s">
        <v>459</v>
      </c>
      <c r="D254" s="98"/>
      <c r="E254" s="97"/>
      <c r="F254" s="97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460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5" t="n">
        <f aca="false">$I$136</f>
        <v>4110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7" t="n">
        <f aca="false">$J$136</f>
        <v>1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C261" s="98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C263" s="184" t="s">
        <v>466</v>
      </c>
      <c r="D263" s="98"/>
      <c r="E263" s="97"/>
      <c r="F263" s="97"/>
      <c r="G263" s="97"/>
      <c r="H263" s="97"/>
      <c r="I263" s="196"/>
      <c r="J263" s="196"/>
    </row>
    <row r="264" s="96" customFormat="true" ht="15.75" hidden="false" customHeight="true" outlineLevel="0" collapsed="false">
      <c r="A264" s="200"/>
      <c r="C264" s="181" t="s">
        <v>467</v>
      </c>
      <c r="D264" s="181"/>
      <c r="E264" s="181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468</v>
      </c>
      <c r="D265" s="181"/>
      <c r="E265" s="181"/>
      <c r="F265" s="97"/>
      <c r="G265" s="97"/>
      <c r="H265" s="97"/>
      <c r="J265" s="97"/>
    </row>
    <row r="266" s="96" customFormat="true" ht="15.75" hidden="false" customHeight="true" outlineLevel="0" collapsed="false">
      <c r="A266" s="200"/>
      <c r="C266" s="185" t="n">
        <f aca="false">$I$137</f>
        <v>2400</v>
      </c>
      <c r="D266" s="98"/>
      <c r="E266" s="97"/>
      <c r="F266" s="97"/>
      <c r="J266" s="97"/>
    </row>
    <row r="267" s="96" customFormat="true" ht="15.75" hidden="false" customHeight="true" outlineLevel="0" collapsed="false">
      <c r="A267" s="200"/>
      <c r="C267" s="187" t="n">
        <f aca="false">$J$137+$J$138</f>
        <v>2</v>
      </c>
      <c r="D267" s="98"/>
      <c r="E267" s="97"/>
      <c r="F267" s="97"/>
      <c r="G267" s="97"/>
      <c r="H267" s="97"/>
      <c r="J267" s="97"/>
    </row>
    <row r="268" s="96" customFormat="true" ht="15.75" hidden="false" customHeight="true" outlineLevel="0" collapsed="false">
      <c r="A268" s="200"/>
      <c r="D268" s="184"/>
      <c r="E268" s="184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I272" s="196"/>
      <c r="J272" s="196"/>
    </row>
    <row r="273" s="96" customFormat="true" ht="15.75" hidden="false" customHeight="true" outlineLevel="0" collapsed="false">
      <c r="A273" s="200"/>
      <c r="D273" s="98"/>
      <c r="E273" s="97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C274" s="184" t="s">
        <v>469</v>
      </c>
      <c r="D274" s="201"/>
      <c r="E274" s="196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1" t="s">
        <v>470</v>
      </c>
      <c r="D275" s="181"/>
      <c r="E275" s="181"/>
      <c r="F275" s="97"/>
      <c r="G275" s="97"/>
      <c r="I275" s="97"/>
      <c r="J275" s="196"/>
    </row>
    <row r="276" s="96" customFormat="true" ht="15.75" hidden="false" customHeight="true" outlineLevel="0" collapsed="false">
      <c r="A276" s="200"/>
      <c r="C276" s="181" t="s">
        <v>471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5" t="n">
        <f aca="false">$I$139</f>
        <v>2304</v>
      </c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7" t="n">
        <f aca="false">$J$139+$J$140</f>
        <v>2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F279" s="97"/>
      <c r="G279" s="97"/>
      <c r="H279" s="97"/>
      <c r="J279" s="97"/>
    </row>
    <row r="280" s="96" customFormat="true" ht="15.75" hidden="false" customHeight="true" outlineLevel="0" collapsed="false">
      <c r="A280" s="200"/>
      <c r="D280" s="98"/>
      <c r="E280" s="97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D281" s="98"/>
      <c r="E281" s="97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J282" s="97"/>
    </row>
    <row r="283" s="96" customFormat="true" ht="15.75" hidden="false" customHeight="true" outlineLevel="0" collapsed="false">
      <c r="A283" s="200"/>
      <c r="F283" s="97"/>
      <c r="G283" s="97"/>
      <c r="H283" s="97"/>
      <c r="I283" s="201"/>
      <c r="J283" s="196"/>
    </row>
    <row r="284" s="96" customFormat="true" ht="15.75" hidden="false" customHeight="true" outlineLevel="0" collapsed="false">
      <c r="A284" s="200"/>
      <c r="C284" s="184" t="s">
        <v>472</v>
      </c>
      <c r="F284" s="97"/>
      <c r="G284" s="97"/>
      <c r="H284" s="97"/>
      <c r="I284" s="97"/>
      <c r="J284" s="196"/>
    </row>
    <row r="285" s="96" customFormat="true" ht="15.75" hidden="false" customHeight="true" outlineLevel="0" collapsed="false">
      <c r="A285" s="200"/>
      <c r="C285" s="83" t="s">
        <v>753</v>
      </c>
      <c r="D285" s="98"/>
      <c r="E285" s="97"/>
      <c r="F285" s="97"/>
      <c r="G285" s="97"/>
      <c r="H285" s="97"/>
      <c r="I285" s="196"/>
      <c r="J285" s="196"/>
    </row>
    <row r="286" s="96" customFormat="true" ht="15.75" hidden="false" customHeight="true" outlineLevel="0" collapsed="false">
      <c r="A286" s="200"/>
      <c r="C286" s="181" t="s">
        <v>754</v>
      </c>
      <c r="D286" s="98"/>
      <c r="E286" s="97"/>
      <c r="F286" s="97"/>
      <c r="G286" s="97"/>
      <c r="H286" s="97"/>
      <c r="I286" s="196"/>
      <c r="J286" s="196"/>
    </row>
    <row r="287" s="96" customFormat="true" ht="15.75" hidden="false" customHeight="true" outlineLevel="0" collapsed="false">
      <c r="A287" s="200"/>
      <c r="C287" s="181" t="s">
        <v>475</v>
      </c>
      <c r="D287" s="181"/>
      <c r="E287" s="181"/>
      <c r="F287" s="97"/>
      <c r="G287" s="97"/>
      <c r="I287" s="196"/>
      <c r="J287" s="196"/>
    </row>
    <row r="288" s="202" customFormat="true" ht="15.75" hidden="false" customHeight="true" outlineLevel="0" collapsed="false">
      <c r="A288" s="200"/>
      <c r="B288" s="96"/>
      <c r="C288" s="181" t="s">
        <v>476</v>
      </c>
      <c r="D288" s="181"/>
      <c r="E288" s="181"/>
      <c r="F288" s="97"/>
      <c r="G288" s="97"/>
      <c r="H288" s="96"/>
      <c r="I288" s="97"/>
      <c r="J288" s="97"/>
    </row>
    <row r="289" s="96" customFormat="true" ht="15.75" hidden="false" customHeight="true" outlineLevel="0" collapsed="false">
      <c r="A289" s="200"/>
      <c r="C289" s="185" t="n">
        <f aca="false">$I$141</f>
        <v>501.25</v>
      </c>
      <c r="F289" s="97"/>
      <c r="G289" s="97"/>
      <c r="I289" s="191"/>
      <c r="J289" s="199"/>
    </row>
    <row r="290" s="96" customFormat="true" ht="15.75" hidden="false" customHeight="true" outlineLevel="0" collapsed="false">
      <c r="A290" s="200"/>
      <c r="C290" s="187" t="n">
        <f aca="false">$J$141+$J$142</f>
        <v>16</v>
      </c>
      <c r="D290" s="98"/>
      <c r="E290" s="97"/>
      <c r="F290" s="97"/>
      <c r="G290" s="97"/>
      <c r="H290" s="98"/>
      <c r="I290" s="189"/>
      <c r="J290" s="190"/>
    </row>
    <row r="291" s="96" customFormat="true" ht="15.75" hidden="false" customHeight="true" outlineLevel="0" collapsed="false">
      <c r="A291" s="200"/>
      <c r="C291" s="185" t="n">
        <f aca="false">$I$143</f>
        <v>2308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C292" s="187" t="n">
        <f aca="false">$J$143+$J$144+$J$145</f>
        <v>16</v>
      </c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D293" s="98"/>
      <c r="E293" s="97"/>
      <c r="F293" s="97"/>
      <c r="G293" s="97"/>
      <c r="H293" s="97"/>
      <c r="I293" s="196"/>
      <c r="J293" s="196"/>
    </row>
    <row r="294" s="96" customFormat="true" ht="15.75" hidden="false" customHeight="true" outlineLevel="0" collapsed="false">
      <c r="A294" s="200"/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202"/>
      <c r="D295" s="98"/>
      <c r="E295" s="97"/>
      <c r="F295" s="97"/>
      <c r="G295" s="97"/>
      <c r="H295" s="97"/>
      <c r="I295" s="97"/>
      <c r="J295" s="196"/>
    </row>
    <row r="296" s="96" customFormat="true" ht="15.75" hidden="false" customHeight="true" outlineLevel="0" collapsed="false">
      <c r="A296" s="200"/>
      <c r="C296" s="184" t="s">
        <v>477</v>
      </c>
      <c r="D296" s="98"/>
      <c r="E296" s="97"/>
      <c r="F296" s="97"/>
      <c r="G296" s="97"/>
      <c r="H296" s="97"/>
      <c r="I296" s="97"/>
      <c r="J296" s="196"/>
    </row>
    <row r="297" s="96" customFormat="true" ht="15.75" hidden="false" customHeight="true" outlineLevel="0" collapsed="false">
      <c r="A297" s="200"/>
      <c r="C297" s="83" t="s">
        <v>753</v>
      </c>
      <c r="D297" s="98"/>
      <c r="E297" s="97"/>
      <c r="F297" s="97"/>
      <c r="G297" s="191"/>
      <c r="H297" s="191"/>
      <c r="I297" s="97"/>
      <c r="J297" s="196"/>
    </row>
    <row r="298" s="96" customFormat="true" ht="15.75" hidden="false" customHeight="true" outlineLevel="0" collapsed="false">
      <c r="A298" s="200"/>
      <c r="C298" s="181" t="s">
        <v>754</v>
      </c>
      <c r="D298" s="181"/>
      <c r="E298" s="181"/>
      <c r="F298" s="97"/>
      <c r="G298" s="190"/>
      <c r="H298" s="189"/>
      <c r="I298" s="97"/>
      <c r="J298" s="196"/>
    </row>
    <row r="299" s="96" customFormat="true" ht="15.75" hidden="false" customHeight="true" outlineLevel="0" collapsed="false">
      <c r="A299" s="107"/>
      <c r="C299" s="181" t="s">
        <v>478</v>
      </c>
      <c r="D299" s="181"/>
      <c r="E299" s="181"/>
      <c r="F299" s="97"/>
      <c r="G299" s="97"/>
      <c r="H299" s="97"/>
      <c r="I299" s="97"/>
      <c r="J299" s="196"/>
    </row>
    <row r="300" s="96" customFormat="true" ht="15.75" hidden="false" customHeight="true" outlineLevel="0" collapsed="false">
      <c r="A300" s="191"/>
      <c r="B300" s="191"/>
      <c r="C300" s="181" t="s">
        <v>479</v>
      </c>
      <c r="D300" s="203"/>
      <c r="E300" s="204"/>
      <c r="F300" s="191"/>
      <c r="G300" s="97"/>
      <c r="H300" s="97"/>
      <c r="I300" s="97"/>
      <c r="J300" s="196"/>
    </row>
    <row r="301" s="96" customFormat="true" ht="15.75" hidden="false" customHeight="true" outlineLevel="0" collapsed="false">
      <c r="A301" s="190"/>
      <c r="B301" s="190"/>
      <c r="C301" s="185" t="n">
        <f aca="false">$I$146</f>
        <v>399.03125</v>
      </c>
      <c r="D301" s="205"/>
      <c r="E301" s="206"/>
      <c r="F301" s="189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7" t="n">
        <f aca="false">$J$146</f>
        <v>16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5" t="n">
        <f aca="false">$I$147</f>
        <v>2158</v>
      </c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C304" s="187" t="n">
        <f aca="false">$J$147</f>
        <v>16</v>
      </c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D306" s="98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D307" s="98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184"/>
      <c r="D308" s="98"/>
      <c r="E308" s="97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249"/>
      <c r="D309" s="249"/>
      <c r="E309" s="249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D310" s="98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200"/>
      <c r="D313" s="201"/>
      <c r="E313" s="196"/>
      <c r="F313" s="97"/>
      <c r="G313" s="97"/>
      <c r="H313" s="97"/>
      <c r="I313" s="200"/>
      <c r="J313" s="92" t="str">
        <f aca="false">LEFT($J$111,13)&amp;"-03"</f>
        <v>FG-240-8P4L4R-03</v>
      </c>
    </row>
    <row r="314" customFormat="false" ht="12.75" hidden="false" customHeight="true" outlineLevel="0" collapsed="false">
      <c r="A314" s="97"/>
      <c r="B314" s="49"/>
      <c r="C314" s="49"/>
      <c r="D314" s="207"/>
      <c r="E314" s="200"/>
      <c r="F314" s="200"/>
      <c r="G314" s="200"/>
      <c r="H314" s="200"/>
      <c r="I314" s="208"/>
      <c r="J314" s="208"/>
    </row>
    <row r="315" customFormat="false" ht="30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77" t="str">
        <f aca="false">$J$2</f>
        <v>HOMELIFE</v>
      </c>
    </row>
    <row r="316" customFormat="false" ht="24.75" hidden="false" customHeight="true" outlineLevel="0" collapsed="false">
      <c r="C316" s="75"/>
      <c r="D316" s="76"/>
      <c r="E316" s="76"/>
      <c r="F316" s="76"/>
      <c r="G316" s="76"/>
      <c r="H316" s="76"/>
      <c r="I316" s="82"/>
      <c r="J316" s="80" t="str">
        <f aca="false">$J$3</f>
        <v>Fabricators Guide</v>
      </c>
      <c r="K316" s="83"/>
      <c r="L316" s="83"/>
      <c r="M316" s="79"/>
      <c r="N316" s="79"/>
    </row>
    <row r="317" customFormat="false" ht="24.75" hidden="false" customHeight="true" outlineLevel="0" collapsed="false">
      <c r="C317" s="82"/>
      <c r="D317" s="82"/>
      <c r="E317" s="82"/>
      <c r="F317" s="82"/>
      <c r="G317" s="82"/>
      <c r="H317" s="82"/>
      <c r="I317" s="82"/>
      <c r="J317" s="80" t="str">
        <f aca="false">$J$4</f>
        <v>240 Series Bi Fold Door </v>
      </c>
      <c r="M317" s="87"/>
      <c r="N317" s="87"/>
    </row>
    <row r="318" s="96" customFormat="true" ht="15" hidden="false" customHeight="true" outlineLevel="0" collapsed="false">
      <c r="A318" s="84"/>
      <c r="B318" s="81"/>
      <c r="C318" s="82"/>
      <c r="D318" s="82"/>
      <c r="E318" s="82"/>
      <c r="F318" s="82"/>
      <c r="G318" s="82"/>
      <c r="H318" s="82"/>
      <c r="I318" s="84"/>
      <c r="J318" s="94"/>
      <c r="K318" s="87"/>
      <c r="L318" s="87"/>
      <c r="M318" s="87"/>
      <c r="N318" s="87"/>
    </row>
    <row r="319" customFormat="false" ht="24.75" hidden="false" customHeight="true" outlineLevel="0" collapsed="false">
      <c r="A319" s="88" t="s">
        <v>480</v>
      </c>
      <c r="B319" s="88"/>
      <c r="C319" s="88"/>
      <c r="D319" s="88"/>
      <c r="E319" s="88"/>
      <c r="F319" s="88"/>
      <c r="G319" s="88"/>
      <c r="H319" s="88"/>
      <c r="I319" s="88"/>
      <c r="J319" s="88"/>
      <c r="K319" s="87"/>
      <c r="L319" s="87"/>
      <c r="M319" s="87"/>
      <c r="N319" s="87"/>
    </row>
    <row r="321" s="96" customFormat="true" ht="15" hidden="false" customHeight="true" outlineLevel="0" collapsed="false">
      <c r="A321" s="188"/>
      <c r="D321" s="73"/>
      <c r="I321" s="183"/>
      <c r="J321" s="99"/>
    </row>
    <row r="322" s="96" customFormat="true" ht="15" hidden="false" customHeight="true" outlineLevel="0" collapsed="false">
      <c r="A322" s="97"/>
      <c r="B322" s="81"/>
      <c r="D322" s="98"/>
      <c r="E322" s="83"/>
      <c r="F322" s="183"/>
      <c r="G322" s="183"/>
      <c r="H322" s="183"/>
      <c r="I322" s="83"/>
      <c r="J322" s="97"/>
    </row>
    <row r="323" s="96" customFormat="true" ht="15" hidden="false" customHeight="true" outlineLevel="0" collapsed="false">
      <c r="A323" s="97"/>
      <c r="D323" s="98"/>
      <c r="E323" s="83"/>
      <c r="F323" s="98"/>
      <c r="G323" s="83"/>
      <c r="H323" s="83"/>
      <c r="I323" s="97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C325" s="98"/>
      <c r="D325" s="98"/>
      <c r="E325" s="83"/>
      <c r="F325" s="98"/>
      <c r="G325" s="97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97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83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182"/>
      <c r="J328" s="97"/>
    </row>
    <row r="329" s="96" customFormat="true" ht="15" hidden="false" customHeight="true" outlineLevel="0" collapsed="false">
      <c r="A329" s="81"/>
      <c r="C329" s="182"/>
      <c r="D329" s="98"/>
      <c r="E329" s="97"/>
      <c r="F329" s="209"/>
      <c r="G329" s="209"/>
      <c r="H329" s="110"/>
      <c r="I329" s="98"/>
      <c r="J329" s="97"/>
    </row>
    <row r="330" s="96" customFormat="true" ht="15" hidden="false" customHeight="true" outlineLevel="0" collapsed="false">
      <c r="A330" s="99"/>
      <c r="B330" s="81"/>
      <c r="C330" s="98"/>
      <c r="D330" s="98"/>
      <c r="E330" s="97"/>
      <c r="F330" s="210"/>
      <c r="G330" s="210"/>
      <c r="H330" s="110"/>
      <c r="I330" s="98"/>
      <c r="J330" s="97"/>
    </row>
    <row r="331" s="96" customFormat="true" ht="15" hidden="false" customHeight="true" outlineLevel="0" collapsed="false">
      <c r="A331" s="211" t="str">
        <f aca="false">A18</f>
        <v>240-8 Panel (4L4R)</v>
      </c>
      <c r="B331" s="99"/>
      <c r="C331" s="98"/>
      <c r="D331" s="98"/>
      <c r="E331" s="97"/>
      <c r="F331" s="110"/>
      <c r="G331" s="110"/>
      <c r="H331" s="110"/>
      <c r="I331" s="97"/>
      <c r="J331" s="97"/>
    </row>
    <row r="332" s="96" customFormat="true" ht="15" hidden="false" customHeight="true" outlineLevel="0" collapsed="false">
      <c r="A332" s="90" t="str">
        <f aca="false">A19</f>
        <v>Outside Bi Fold Door 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.75" hidden="false" customHeight="true" outlineLevel="0" collapsed="false">
      <c r="A333" s="97"/>
      <c r="B333" s="188"/>
      <c r="C333" s="182"/>
      <c r="D333" s="98"/>
      <c r="E333" s="97"/>
      <c r="F333" s="210"/>
      <c r="G333" s="210"/>
      <c r="H333" s="110"/>
      <c r="I333" s="97"/>
      <c r="J333" s="97"/>
    </row>
    <row r="334" s="96" customFormat="true" ht="15.75" hidden="false" customHeight="true" outlineLevel="0" collapsed="false">
      <c r="A334" s="81"/>
      <c r="B334" s="97"/>
      <c r="C334" s="98"/>
      <c r="D334" s="98"/>
      <c r="E334" s="97"/>
      <c r="F334" s="78"/>
      <c r="H334" s="97"/>
      <c r="I334" s="97"/>
      <c r="J334" s="97"/>
    </row>
    <row r="335" s="96" customFormat="true" ht="15.75" hidden="false" customHeight="true" outlineLevel="0" collapsed="false">
      <c r="A335" s="191"/>
      <c r="C335" s="212"/>
      <c r="D335" s="98"/>
      <c r="E335" s="97"/>
      <c r="F335" s="97"/>
      <c r="G335" s="97"/>
      <c r="H335" s="97"/>
      <c r="I335" s="191"/>
      <c r="J335" s="199"/>
    </row>
    <row r="336" s="96" customFormat="true" ht="15.75" hidden="false" customHeight="true" outlineLevel="0" collapsed="false">
      <c r="A336" s="190"/>
      <c r="C336" s="191"/>
      <c r="D336" s="192"/>
      <c r="E336" s="191"/>
      <c r="F336" s="191"/>
      <c r="G336" s="191"/>
      <c r="H336" s="191"/>
      <c r="I336" s="189"/>
      <c r="J336" s="190"/>
    </row>
    <row r="337" s="96" customFormat="true" ht="15.75" hidden="false" customHeight="true" outlineLevel="0" collapsed="false">
      <c r="A337" s="97"/>
      <c r="C337" s="98"/>
      <c r="D337" s="194"/>
      <c r="E337" s="190"/>
      <c r="F337" s="189"/>
      <c r="G337" s="190"/>
      <c r="H337" s="189"/>
      <c r="I337" s="196"/>
      <c r="J337" s="196"/>
    </row>
    <row r="338" s="96" customFormat="true" ht="15.75" hidden="false" customHeight="true" outlineLevel="0" collapsed="false">
      <c r="A338" s="97"/>
      <c r="C338" s="98"/>
      <c r="D338" s="98"/>
      <c r="E338" s="97"/>
      <c r="F338" s="98"/>
      <c r="G338" s="97"/>
      <c r="H338" s="97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201"/>
      <c r="J339" s="201"/>
    </row>
    <row r="340" s="96" customFormat="true" ht="15.75" hidden="false" customHeight="true" outlineLevel="0" collapsed="false">
      <c r="A340" s="97"/>
      <c r="C340" s="191"/>
      <c r="D340" s="98"/>
      <c r="E340" s="97"/>
      <c r="F340" s="98"/>
      <c r="G340" s="97"/>
      <c r="H340" s="201"/>
      <c r="I340" s="98"/>
      <c r="J340" s="98"/>
    </row>
    <row r="341" s="96" customFormat="true" ht="15.75" hidden="false" customHeight="true" outlineLevel="0" collapsed="false">
      <c r="A341" s="97"/>
      <c r="C341" s="182"/>
      <c r="D341" s="98"/>
      <c r="E341" s="97"/>
      <c r="F341" s="98"/>
      <c r="G341" s="97"/>
      <c r="H341" s="98"/>
      <c r="I341" s="98"/>
      <c r="J341" s="98"/>
    </row>
    <row r="342" s="96" customFormat="true" ht="15.75" hidden="false" customHeight="true" outlineLevel="0" collapsed="false">
      <c r="A342" s="97"/>
      <c r="C342" s="98"/>
      <c r="D342" s="98"/>
      <c r="E342" s="97"/>
      <c r="F342" s="98"/>
      <c r="G342" s="97"/>
      <c r="H342" s="98"/>
      <c r="I342" s="97"/>
      <c r="J342" s="196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7"/>
      <c r="I343" s="196"/>
      <c r="J343" s="196"/>
    </row>
    <row r="344" s="96" customFormat="true" ht="15.75" hidden="false" customHeight="true" outlineLevel="0" collapsed="false">
      <c r="A344" s="97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C347" s="191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98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97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196"/>
      <c r="J350" s="196"/>
    </row>
    <row r="351" s="96" customFormat="true" ht="15.75" hidden="false" customHeight="true" outlineLevel="0" collapsed="false">
      <c r="A351" s="97"/>
      <c r="D351" s="98"/>
      <c r="E351" s="97"/>
      <c r="F351" s="97"/>
      <c r="G351" s="97"/>
      <c r="H351" s="97"/>
      <c r="I351" s="196"/>
      <c r="J351" s="196"/>
    </row>
    <row r="352" s="96" customFormat="true" ht="15" hidden="false" customHeight="true" outlineLevel="0" collapsed="false">
      <c r="A352" s="97"/>
      <c r="D352" s="98"/>
      <c r="E352" s="97"/>
      <c r="F352" s="97"/>
      <c r="G352" s="97"/>
      <c r="H352" s="195"/>
      <c r="I352" s="196"/>
      <c r="J352" s="196"/>
    </row>
    <row r="353" s="202" customFormat="true" ht="15.75" hidden="false" customHeight="true" outlineLevel="0" collapsed="false">
      <c r="A353" s="97"/>
      <c r="B353" s="96"/>
      <c r="C353" s="96"/>
      <c r="D353" s="98"/>
      <c r="E353" s="97"/>
      <c r="F353" s="97"/>
      <c r="G353" s="97"/>
      <c r="H353" s="97"/>
      <c r="I353" s="97"/>
      <c r="J353" s="97"/>
    </row>
    <row r="354" s="96" customFormat="true" ht="15.75" hidden="false" customHeight="true" outlineLevel="0" collapsed="false">
      <c r="A354" s="191"/>
      <c r="D354" s="98"/>
      <c r="E354" s="97"/>
      <c r="F354" s="97"/>
      <c r="G354" s="97"/>
      <c r="H354" s="97"/>
      <c r="I354" s="191"/>
      <c r="J354" s="199"/>
    </row>
    <row r="355" s="96" customFormat="true" ht="15.75" hidden="false" customHeight="true" outlineLevel="0" collapsed="false">
      <c r="A355" s="190"/>
      <c r="B355" s="191"/>
      <c r="C355" s="191"/>
      <c r="D355" s="192"/>
      <c r="E355" s="191"/>
      <c r="F355" s="191"/>
      <c r="G355" s="191"/>
      <c r="H355" s="191"/>
      <c r="I355" s="189"/>
      <c r="J355" s="190"/>
    </row>
    <row r="356" s="96" customFormat="true" ht="15.75" hidden="false" customHeight="true" outlineLevel="0" collapsed="false">
      <c r="A356" s="200"/>
      <c r="B356" s="190"/>
      <c r="C356" s="191"/>
      <c r="D356" s="194"/>
      <c r="E356" s="190"/>
      <c r="F356" s="189"/>
      <c r="G356" s="190"/>
      <c r="H356" s="189"/>
      <c r="I356" s="196"/>
      <c r="J356" s="196"/>
    </row>
    <row r="357" s="96" customFormat="true" ht="15.75" hidden="false" customHeight="true" outlineLevel="0" collapsed="false">
      <c r="A357" s="200"/>
      <c r="C357" s="182"/>
      <c r="D357" s="98"/>
      <c r="E357" s="97"/>
      <c r="F357" s="97"/>
      <c r="G357" s="97"/>
      <c r="H357" s="182"/>
      <c r="I357" s="98"/>
      <c r="J357" s="98"/>
    </row>
    <row r="358" s="96" customFormat="true" ht="15.75" hidden="false" customHeight="true" outlineLevel="0" collapsed="false">
      <c r="A358" s="200"/>
      <c r="C358" s="98"/>
      <c r="D358" s="98"/>
      <c r="E358" s="97"/>
      <c r="F358" s="97"/>
      <c r="G358" s="97"/>
      <c r="H358" s="98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196"/>
      <c r="J359" s="196"/>
    </row>
    <row r="360" s="96" customFormat="true" ht="15.75" hidden="false" customHeight="true" outlineLevel="0" collapsed="false">
      <c r="A360" s="200"/>
      <c r="D360" s="98"/>
      <c r="E360" s="97"/>
      <c r="F360" s="97"/>
      <c r="G360" s="97"/>
      <c r="H360" s="97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C363" s="98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G372" s="97"/>
      <c r="H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182"/>
      <c r="I375" s="98"/>
      <c r="J375" s="98"/>
    </row>
    <row r="376" s="96" customFormat="true" ht="15.75" hidden="false" customHeight="true" outlineLevel="0" collapsed="false">
      <c r="A376" s="200"/>
      <c r="C376" s="188"/>
      <c r="D376" s="98"/>
      <c r="E376" s="97"/>
      <c r="F376" s="97"/>
      <c r="G376" s="97"/>
      <c r="H376" s="98"/>
      <c r="I376" s="98"/>
      <c r="J376" s="98"/>
    </row>
    <row r="377" s="96" customFormat="true" ht="15.75" hidden="false" customHeight="true" outlineLevel="0" collapsed="false">
      <c r="A377" s="200"/>
      <c r="D377" s="98"/>
      <c r="E377" s="97"/>
      <c r="F377" s="97"/>
      <c r="G377" s="97"/>
      <c r="H377" s="98"/>
      <c r="I377" s="196"/>
      <c r="J377" s="196"/>
    </row>
    <row r="378" s="96" customFormat="true" ht="15.75" hidden="false" customHeight="true" outlineLevel="0" collapsed="false">
      <c r="A378" s="200"/>
      <c r="C378" s="98"/>
      <c r="D378" s="98"/>
      <c r="E378" s="97"/>
      <c r="F378" s="97"/>
      <c r="G378" s="97"/>
      <c r="H378" s="182"/>
      <c r="I378" s="98"/>
      <c r="J378" s="98"/>
    </row>
    <row r="379" s="96" customFormat="true" ht="15.75" hidden="false" customHeight="true" outlineLevel="0" collapsed="false">
      <c r="A379" s="200"/>
      <c r="D379" s="98"/>
      <c r="E379" s="97"/>
      <c r="F379" s="97"/>
      <c r="G379" s="97"/>
      <c r="H379" s="98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196"/>
      <c r="J380" s="196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7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97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213"/>
      <c r="J387" s="213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213"/>
      <c r="I388" s="97"/>
      <c r="J388" s="97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97"/>
      <c r="I389" s="98"/>
      <c r="J389" s="98"/>
    </row>
    <row r="390" s="96" customFormat="true" ht="15.75" hidden="false" customHeight="true" outlineLevel="0" collapsed="false">
      <c r="A390" s="200"/>
      <c r="C390" s="188"/>
      <c r="D390" s="98"/>
      <c r="E390" s="97"/>
      <c r="F390" s="97"/>
      <c r="G390" s="97"/>
      <c r="H390" s="98"/>
      <c r="I390" s="196"/>
      <c r="J390" s="196"/>
    </row>
    <row r="391" s="96" customFormat="true" ht="15.75" hidden="false" customHeight="true" outlineLevel="0" collapsed="false">
      <c r="A391" s="200"/>
      <c r="D391" s="98"/>
      <c r="E391" s="97"/>
      <c r="F391" s="97"/>
      <c r="G391" s="97"/>
      <c r="H391" s="97"/>
      <c r="I391" s="97"/>
      <c r="J391" s="196"/>
    </row>
    <row r="392" s="96" customFormat="true" ht="15.75" hidden="false" customHeight="true" outlineLevel="0" collapsed="false">
      <c r="A392" s="200"/>
      <c r="C392" s="98"/>
      <c r="D392" s="98"/>
      <c r="E392" s="97"/>
      <c r="F392" s="97"/>
      <c r="G392" s="97"/>
      <c r="H392" s="97"/>
      <c r="I392" s="196"/>
      <c r="J392" s="196"/>
    </row>
    <row r="393" s="96" customFormat="true" ht="15.75" hidden="false" customHeight="true" outlineLevel="0" collapsed="false">
      <c r="A393" s="200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107"/>
      <c r="D395" s="98"/>
      <c r="E395" s="97"/>
      <c r="F395" s="97"/>
      <c r="G395" s="97"/>
      <c r="H395" s="97"/>
      <c r="I395" s="97"/>
      <c r="J395" s="97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202" customFormat="true" ht="15.75" hidden="false" customHeight="true" outlineLevel="0" collapsed="false">
      <c r="A403" s="107"/>
      <c r="B403" s="96"/>
      <c r="C403" s="96"/>
      <c r="D403" s="98"/>
      <c r="E403" s="97"/>
      <c r="F403" s="97"/>
      <c r="G403" s="97"/>
      <c r="H403" s="97"/>
      <c r="I403" s="97"/>
      <c r="J403" s="97"/>
    </row>
    <row r="404" s="96" customFormat="true" ht="15.75" hidden="false" customHeight="true" outlineLevel="0" collapsed="false">
      <c r="A404" s="191"/>
      <c r="D404" s="98"/>
      <c r="E404" s="97"/>
      <c r="F404" s="97"/>
      <c r="G404" s="97"/>
      <c r="H404" s="97"/>
      <c r="I404" s="191"/>
      <c r="J404" s="199"/>
    </row>
    <row r="405" s="96" customFormat="true" ht="15.75" hidden="false" customHeight="true" outlineLevel="0" collapsed="false">
      <c r="A405" s="191"/>
      <c r="B405" s="191"/>
      <c r="C405" s="191"/>
      <c r="D405" s="192"/>
      <c r="E405" s="191"/>
      <c r="F405" s="191"/>
      <c r="G405" s="191"/>
      <c r="H405" s="191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97"/>
      <c r="B418" s="191"/>
      <c r="C418" s="191"/>
      <c r="D418" s="192"/>
      <c r="E418" s="191"/>
      <c r="F418" s="191"/>
      <c r="G418" s="191"/>
      <c r="H418" s="191"/>
      <c r="I418" s="196"/>
      <c r="J418" s="196"/>
      <c r="K418" s="214"/>
    </row>
    <row r="419" s="96" customFormat="true" ht="15.75" hidden="false" customHeight="true" outlineLevel="0" collapsed="false">
      <c r="A419" s="97"/>
      <c r="D419" s="98"/>
      <c r="E419" s="97"/>
      <c r="F419" s="97"/>
      <c r="G419" s="97"/>
      <c r="H419" s="97"/>
      <c r="I419" s="196"/>
    </row>
    <row r="420" customFormat="false" ht="18" hidden="false" customHeight="true" outlineLevel="0" collapsed="false">
      <c r="A420" s="97"/>
      <c r="B420" s="96"/>
      <c r="C420" s="96"/>
      <c r="D420" s="98"/>
      <c r="E420" s="97"/>
      <c r="F420" s="97"/>
      <c r="G420" s="97"/>
      <c r="H420" s="97"/>
      <c r="I420" s="97"/>
      <c r="J420" s="92" t="str">
        <f aca="false">LEFT($J$111,13)&amp;"-04"</f>
        <v>FG-240-8P4L4R-04</v>
      </c>
      <c r="K420" s="78"/>
      <c r="L420" s="78"/>
      <c r="M420" s="79"/>
      <c r="N420" s="79"/>
    </row>
    <row r="421" customFormat="false" ht="12.75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215"/>
      <c r="K421" s="78"/>
      <c r="L421" s="78"/>
      <c r="M421" s="79"/>
      <c r="N421" s="79"/>
    </row>
    <row r="422" customFormat="false" ht="30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77" t="str">
        <f aca="false">$J$2</f>
        <v>HOMELIFE</v>
      </c>
      <c r="K422" s="78"/>
      <c r="L422" s="78"/>
      <c r="M422" s="79"/>
      <c r="N422" s="79"/>
    </row>
    <row r="423" customFormat="false" ht="24.75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80" t="str">
        <f aca="false">$J$3</f>
        <v>Fabricators Guide</v>
      </c>
      <c r="K423" s="78"/>
      <c r="L423" s="78"/>
      <c r="M423" s="79"/>
      <c r="N423" s="79"/>
    </row>
    <row r="424" customFormat="false" ht="24.75" hidden="false" customHeight="true" outlineLevel="0" collapsed="false">
      <c r="C424" s="82"/>
      <c r="D424" s="82"/>
      <c r="E424" s="82"/>
      <c r="F424" s="82"/>
      <c r="G424" s="82"/>
      <c r="H424" s="82"/>
      <c r="I424" s="82"/>
      <c r="J424" s="80" t="str">
        <f aca="false">$J$4</f>
        <v>240 Series Bi Fold Door </v>
      </c>
      <c r="M424" s="87"/>
      <c r="N424" s="87"/>
    </row>
    <row r="425" s="96" customFormat="true" ht="15" hidden="false" customHeight="true" outlineLevel="0" collapsed="false">
      <c r="A425" s="84"/>
      <c r="B425" s="81"/>
      <c r="C425" s="82"/>
      <c r="D425" s="82"/>
      <c r="E425" s="82"/>
      <c r="F425" s="82"/>
      <c r="G425" s="82"/>
      <c r="H425" s="82"/>
      <c r="I425" s="84"/>
      <c r="J425" s="86"/>
      <c r="K425" s="87"/>
      <c r="L425" s="87"/>
      <c r="M425" s="87"/>
      <c r="N425" s="87"/>
    </row>
    <row r="426" s="96" customFormat="true" ht="24.75" hidden="false" customHeight="true" outlineLevel="0" collapsed="false">
      <c r="A426" s="88" t="s">
        <v>481</v>
      </c>
      <c r="B426" s="88"/>
      <c r="C426" s="88"/>
      <c r="D426" s="88"/>
      <c r="E426" s="88"/>
      <c r="F426" s="88"/>
      <c r="G426" s="88"/>
      <c r="H426" s="88"/>
      <c r="I426" s="88"/>
      <c r="J426" s="88"/>
      <c r="K426" s="87"/>
      <c r="L426" s="87"/>
      <c r="M426" s="87"/>
      <c r="N426" s="87"/>
    </row>
    <row r="427" s="96" customFormat="true" ht="15" hidden="false" customHeight="true" outlineLevel="0" collapsed="false">
      <c r="B427" s="268"/>
      <c r="C427" s="268"/>
      <c r="D427" s="268"/>
      <c r="E427" s="268"/>
      <c r="F427" s="268"/>
      <c r="G427" s="268"/>
      <c r="H427" s="268"/>
    </row>
    <row r="428" s="96" customFormat="true" ht="15" hidden="false" customHeight="true" outlineLevel="0" collapsed="false">
      <c r="A428" s="188"/>
      <c r="I428" s="191"/>
      <c r="J428" s="199"/>
    </row>
    <row r="429" s="96" customFormat="true" ht="15" hidden="false" customHeight="true" outlineLevel="0" collapsed="false">
      <c r="A429" s="97"/>
      <c r="B429" s="81"/>
      <c r="D429" s="98"/>
      <c r="E429" s="83"/>
      <c r="F429" s="81"/>
      <c r="H429" s="191"/>
      <c r="I429" s="191"/>
      <c r="J429" s="199"/>
    </row>
    <row r="430" s="96" customFormat="true" ht="15" hidden="false" customHeight="true" outlineLevel="0" collapsed="false">
      <c r="A430" s="97"/>
      <c r="D430" s="98"/>
      <c r="E430" s="83"/>
      <c r="F430" s="98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C432" s="98"/>
      <c r="D432" s="98"/>
      <c r="E432" s="97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83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81"/>
      <c r="C435" s="182"/>
      <c r="D435" s="98"/>
      <c r="E435" s="97"/>
      <c r="F435" s="216"/>
      <c r="H435" s="191"/>
      <c r="I435" s="191"/>
      <c r="J435" s="199"/>
    </row>
    <row r="436" s="96" customFormat="true" ht="15" hidden="false" customHeight="true" outlineLevel="0" collapsed="false">
      <c r="A436" s="99"/>
      <c r="B436" s="81"/>
      <c r="C436" s="98"/>
      <c r="D436" s="98"/>
      <c r="E436" s="97"/>
      <c r="F436" s="186"/>
      <c r="H436" s="191"/>
      <c r="I436" s="191"/>
      <c r="J436" s="199"/>
    </row>
    <row r="437" s="96" customFormat="true" ht="15" hidden="false" customHeight="true" outlineLevel="0" collapsed="false">
      <c r="B437" s="99"/>
      <c r="C437" s="98"/>
      <c r="D437" s="98"/>
      <c r="E437" s="97"/>
      <c r="F437" s="110"/>
      <c r="H437" s="191"/>
      <c r="I437" s="191"/>
      <c r="J437" s="199"/>
    </row>
    <row r="438" s="96" customFormat="true" ht="15" hidden="false" customHeight="true" outlineLevel="0" collapsed="false">
      <c r="A438" s="211" t="str">
        <f aca="false">A18</f>
        <v>240-8 Panel (4L4R)</v>
      </c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.75" hidden="false" customHeight="true" outlineLevel="0" collapsed="false">
      <c r="A439" s="90" t="str">
        <f aca="false">A19</f>
        <v>Outside Bi Fold Door </v>
      </c>
      <c r="C439" s="182"/>
      <c r="D439" s="98"/>
      <c r="E439" s="97"/>
      <c r="F439" s="186"/>
      <c r="H439" s="191"/>
      <c r="I439" s="191"/>
      <c r="J439" s="199"/>
    </row>
    <row r="440" s="96" customFormat="true" ht="15.75" hidden="false" customHeight="true" outlineLevel="0" collapsed="false">
      <c r="A440" s="81"/>
      <c r="C440" s="98"/>
      <c r="D440" s="98"/>
      <c r="E440" s="97"/>
      <c r="F440" s="78"/>
      <c r="H440" s="191"/>
      <c r="I440" s="191"/>
      <c r="J440" s="199"/>
    </row>
    <row r="441" s="96" customFormat="true" ht="15.75" hidden="false" customHeight="true" outlineLevel="0" collapsed="false">
      <c r="A441" s="191"/>
      <c r="C441" s="212"/>
      <c r="D441" s="98"/>
      <c r="E441" s="97"/>
      <c r="F441" s="97"/>
      <c r="H441" s="191"/>
      <c r="I441" s="191"/>
      <c r="J441" s="199"/>
    </row>
    <row r="442" s="96" customFormat="true" ht="15.75" hidden="false" customHeight="true" outlineLevel="0" collapsed="false">
      <c r="A442" s="190"/>
      <c r="C442" s="191"/>
      <c r="D442" s="192"/>
      <c r="E442" s="191"/>
      <c r="F442" s="191"/>
      <c r="H442" s="191"/>
      <c r="I442" s="191"/>
      <c r="J442" s="199"/>
    </row>
    <row r="443" customFormat="false" ht="15" hidden="false" customHeight="true" outlineLevel="0" collapsed="false">
      <c r="B443" s="211"/>
      <c r="C443" s="98"/>
      <c r="D443" s="98"/>
      <c r="E443" s="97"/>
      <c r="F443" s="98"/>
      <c r="G443" s="97"/>
      <c r="H443" s="97"/>
    </row>
    <row r="448" s="96" customFormat="true" ht="15.75" hidden="false" customHeight="true" outlineLevel="0" collapsed="false">
      <c r="A448" s="97"/>
      <c r="D448" s="73"/>
      <c r="I448" s="196"/>
      <c r="J448" s="196"/>
    </row>
    <row r="449" s="96" customFormat="true" ht="15.75" hidden="false" customHeight="true" outlineLevel="0" collapsed="false">
      <c r="A449" s="97"/>
      <c r="D449" s="98"/>
      <c r="E449" s="97"/>
      <c r="F449" s="98"/>
      <c r="G449" s="97"/>
      <c r="H449" s="97"/>
      <c r="I449" s="196"/>
      <c r="J449" s="196"/>
    </row>
    <row r="450" s="96" customFormat="true" ht="15.75" hidden="false" customHeight="true" outlineLevel="0" collapsed="false">
      <c r="A450" s="97"/>
      <c r="D450" s="98"/>
      <c r="E450" s="97"/>
      <c r="F450" s="98"/>
      <c r="G450" s="97"/>
      <c r="H450" s="97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C452" s="191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C453" s="98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98"/>
      <c r="D454" s="98"/>
      <c r="E454" s="97"/>
      <c r="F454" s="98"/>
      <c r="G454" s="97"/>
      <c r="H454" s="97"/>
      <c r="I454" s="97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D456" s="98"/>
      <c r="E456" s="97"/>
      <c r="F456" s="97"/>
      <c r="G456" s="97"/>
      <c r="H456" s="97"/>
      <c r="I456" s="196"/>
      <c r="J456" s="196"/>
    </row>
    <row r="457" s="96" customFormat="true" ht="15" hidden="false" customHeight="true" outlineLevel="0" collapsed="false">
      <c r="A457" s="97"/>
      <c r="D457" s="98"/>
      <c r="E457" s="97"/>
      <c r="F457" s="97"/>
      <c r="G457" s="97"/>
      <c r="H457" s="195"/>
      <c r="I457" s="196"/>
      <c r="J457" s="196"/>
    </row>
    <row r="458" s="96" customFormat="true" ht="1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97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202" customFormat="true" ht="15.75" hidden="false" customHeight="true" outlineLevel="0" collapsed="false">
      <c r="A475" s="97"/>
      <c r="B475" s="96"/>
      <c r="C475" s="96"/>
      <c r="D475" s="98"/>
      <c r="E475" s="97"/>
      <c r="F475" s="97"/>
      <c r="G475" s="97"/>
      <c r="H475" s="97"/>
      <c r="I475" s="97"/>
      <c r="J475" s="97"/>
    </row>
    <row r="476" s="96" customFormat="true" ht="15.75" hidden="false" customHeight="true" outlineLevel="0" collapsed="false">
      <c r="A476" s="191"/>
      <c r="D476" s="98"/>
      <c r="E476" s="97"/>
      <c r="F476" s="97"/>
      <c r="G476" s="97"/>
      <c r="H476" s="97"/>
      <c r="I476" s="191"/>
      <c r="J476" s="199"/>
    </row>
    <row r="477" s="96" customFormat="true" ht="15.75" hidden="false" customHeight="true" outlineLevel="0" collapsed="false">
      <c r="A477" s="190"/>
      <c r="B477" s="191"/>
      <c r="C477" s="191"/>
      <c r="D477" s="192"/>
      <c r="E477" s="191"/>
      <c r="F477" s="191"/>
      <c r="G477" s="191"/>
      <c r="H477" s="191"/>
      <c r="I477" s="189"/>
      <c r="J477" s="190"/>
    </row>
    <row r="478" s="96" customFormat="true" ht="15.75" hidden="false" customHeight="true" outlineLevel="0" collapsed="false">
      <c r="A478" s="200"/>
      <c r="B478" s="190"/>
      <c r="C478" s="191"/>
      <c r="D478" s="194"/>
      <c r="E478" s="190"/>
      <c r="F478" s="189"/>
      <c r="G478" s="190"/>
      <c r="H478" s="189"/>
      <c r="I478" s="196"/>
      <c r="J478" s="196"/>
    </row>
    <row r="479" s="96" customFormat="true" ht="15.75" hidden="false" customHeight="true" outlineLevel="0" collapsed="false">
      <c r="A479" s="200"/>
      <c r="C479" s="182"/>
      <c r="D479" s="98"/>
      <c r="E479" s="97"/>
      <c r="F479" s="97"/>
      <c r="G479" s="97"/>
      <c r="H479" s="182"/>
      <c r="J479" s="97"/>
    </row>
    <row r="480" s="96" customFormat="true" ht="15.75" hidden="false" customHeight="true" outlineLevel="0" collapsed="false">
      <c r="A480" s="200"/>
      <c r="C480" s="98"/>
      <c r="D480" s="98"/>
      <c r="E480" s="97"/>
      <c r="F480" s="97"/>
      <c r="G480" s="97"/>
      <c r="J480" s="97"/>
    </row>
    <row r="481" s="96" customFormat="true" ht="15.75" hidden="false" customHeight="true" outlineLevel="0" collapsed="false">
      <c r="A481" s="200"/>
      <c r="C481" s="98"/>
      <c r="D481" s="98"/>
      <c r="E481" s="97"/>
      <c r="F481" s="97"/>
      <c r="G481" s="97"/>
      <c r="I481" s="196"/>
      <c r="J481" s="196"/>
    </row>
    <row r="482" s="96" customFormat="true" ht="15.75" hidden="false" customHeight="true" outlineLevel="0" collapsed="false">
      <c r="A482" s="200"/>
      <c r="D482" s="98"/>
      <c r="E482" s="97"/>
      <c r="F482" s="97"/>
      <c r="G482" s="97"/>
      <c r="H482" s="97"/>
      <c r="I482" s="196"/>
      <c r="J482" s="196"/>
    </row>
    <row r="483" s="96" customFormat="true" ht="15.75" hidden="false" customHeight="true" outlineLevel="0" collapsed="false">
      <c r="A483" s="200"/>
      <c r="D483" s="98"/>
      <c r="E483" s="97"/>
      <c r="F483" s="97"/>
      <c r="G483" s="97"/>
      <c r="H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C485" s="98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G495" s="97"/>
      <c r="H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182"/>
      <c r="J497" s="97"/>
    </row>
    <row r="498" s="96" customFormat="true" ht="15.75" hidden="false" customHeight="true" outlineLevel="0" collapsed="false">
      <c r="A498" s="200"/>
      <c r="C498" s="188"/>
      <c r="D498" s="98"/>
      <c r="E498" s="97"/>
      <c r="F498" s="97"/>
      <c r="G498" s="97"/>
      <c r="J498" s="97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I499" s="196"/>
      <c r="J499" s="196"/>
    </row>
    <row r="500" s="96" customFormat="true" ht="15.75" hidden="false" customHeight="true" outlineLevel="0" collapsed="false">
      <c r="A500" s="200"/>
      <c r="C500" s="98"/>
      <c r="D500" s="98"/>
      <c r="E500" s="97"/>
      <c r="F500" s="97"/>
      <c r="G500" s="97"/>
      <c r="H500" s="182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J501" s="97"/>
    </row>
    <row r="502" s="96" customFormat="true" ht="15.75" hidden="false" customHeight="true" outlineLevel="0" collapsed="false">
      <c r="A502" s="200"/>
      <c r="D502" s="98"/>
      <c r="E502" s="97"/>
      <c r="F502" s="97"/>
      <c r="G502" s="97"/>
      <c r="I502" s="196"/>
      <c r="J502" s="196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H503" s="97"/>
      <c r="I503" s="196"/>
      <c r="J503" s="196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H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196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196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212"/>
      <c r="J512" s="195"/>
    </row>
    <row r="513" s="96" customFormat="true" ht="15.75" hidden="false" customHeight="true" outlineLevel="0" collapsed="false">
      <c r="A513" s="191"/>
      <c r="D513" s="98"/>
      <c r="E513" s="97"/>
      <c r="F513" s="97"/>
      <c r="G513" s="97"/>
      <c r="I513" s="191"/>
      <c r="J513" s="199"/>
    </row>
    <row r="514" s="96" customFormat="true" ht="15.75" hidden="false" customHeight="true" outlineLevel="0" collapsed="false">
      <c r="A514" s="191"/>
      <c r="B514" s="191"/>
      <c r="C514" s="191"/>
      <c r="D514" s="192"/>
      <c r="E514" s="191"/>
      <c r="F514" s="191"/>
      <c r="G514" s="191"/>
      <c r="H514" s="191"/>
      <c r="I514" s="191"/>
      <c r="J514" s="199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B516" s="191"/>
      <c r="C516" s="191"/>
      <c r="D516" s="192"/>
      <c r="E516" s="191"/>
      <c r="F516" s="191"/>
      <c r="G516" s="191"/>
      <c r="H516" s="191"/>
    </row>
    <row r="517" s="96" customFormat="true" ht="15.75" hidden="false" customHeight="true" outlineLevel="0" collapsed="false"/>
    <row r="518" s="96" customFormat="true" ht="24.75" hidden="false" customHeight="true" outlineLevel="0" collapsed="false">
      <c r="A518" s="88" t="s">
        <v>482</v>
      </c>
      <c r="B518" s="88"/>
      <c r="C518" s="88"/>
      <c r="D518" s="88"/>
      <c r="E518" s="88"/>
      <c r="F518" s="88"/>
      <c r="G518" s="88"/>
      <c r="H518" s="88"/>
      <c r="I518" s="88"/>
      <c r="J518" s="88"/>
    </row>
    <row r="519" s="96" customFormat="true" ht="34.5" hidden="false" customHeight="true" outlineLevel="0" collapsed="false">
      <c r="A519" s="114" t="s">
        <v>319</v>
      </c>
      <c r="B519" s="115" t="s">
        <v>168</v>
      </c>
      <c r="C519" s="115" t="s">
        <v>168</v>
      </c>
      <c r="D519" s="116" t="s">
        <v>483</v>
      </c>
      <c r="E519" s="115" t="s">
        <v>321</v>
      </c>
      <c r="F519" s="239" t="s">
        <v>484</v>
      </c>
      <c r="G519" s="240"/>
      <c r="H519" s="116" t="s">
        <v>484</v>
      </c>
      <c r="I519" s="116" t="s">
        <v>485</v>
      </c>
      <c r="J519" s="117" t="s">
        <v>323</v>
      </c>
      <c r="N519" s="118" t="s">
        <v>168</v>
      </c>
      <c r="O519" s="118" t="s">
        <v>168</v>
      </c>
    </row>
    <row r="520" s="96" customFormat="true" ht="15.75" hidden="false" customHeight="true" outlineLevel="0" collapsed="false">
      <c r="A520" s="120" t="n">
        <f aca="false">IF(C520="","",1)</f>
        <v>1</v>
      </c>
      <c r="B520" s="121" t="str">
        <f aca="false"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 aca="false">IF($D$127=5,O520,IF($D$127=6,O521,IF($D$127=8,O522,IF($D$127=10,O523,IF($D$127=12,O524,IF($D$127=14,O525,IF($D$127=18,O526,IF($D$127=20,O527,IF($D$127=22,O528,)))))))))</f>
        <v>GLASS thk.6 mm (H) (W)</v>
      </c>
      <c r="D520" s="123" t="n">
        <f aca="false">$J$123-215</f>
        <v>2185</v>
      </c>
      <c r="E520" s="120" t="s">
        <v>486</v>
      </c>
      <c r="F520" s="224" t="s">
        <v>487</v>
      </c>
      <c r="G520" s="224"/>
      <c r="H520" s="120" t="s">
        <v>745</v>
      </c>
      <c r="I520" s="225" t="n">
        <f aca="false">(($J$126-185-(113.25*7))/8)-13</f>
        <v>386.03125</v>
      </c>
      <c r="J520" s="226" t="n">
        <f aca="false">$J$120*8</f>
        <v>8</v>
      </c>
      <c r="M520" s="96" t="n">
        <f aca="false">ROW()</f>
        <v>520</v>
      </c>
      <c r="N520" s="62" t="s">
        <v>489</v>
      </c>
      <c r="O520" s="62" t="s">
        <v>490</v>
      </c>
    </row>
    <row r="521" s="96" customFormat="true" ht="15.75" hidden="false" customHeight="true" outlineLevel="0" collapsed="false">
      <c r="A521" s="269"/>
      <c r="B521" s="228"/>
      <c r="C521" s="228"/>
      <c r="D521" s="176"/>
      <c r="E521" s="167"/>
      <c r="F521" s="229"/>
      <c r="G521" s="230"/>
      <c r="H521" s="167"/>
      <c r="I521" s="231"/>
      <c r="J521" s="232"/>
      <c r="M521" s="96" t="n">
        <f aca="false">ROW()</f>
        <v>521</v>
      </c>
      <c r="N521" s="62" t="s">
        <v>491</v>
      </c>
      <c r="O521" s="62" t="s">
        <v>492</v>
      </c>
    </row>
    <row r="522" s="96" customFormat="true" ht="15.75" hidden="false" customHeight="true" outlineLevel="0" collapsed="false">
      <c r="A522" s="269"/>
      <c r="B522" s="228"/>
      <c r="C522" s="228"/>
      <c r="D522" s="176"/>
      <c r="E522" s="167"/>
      <c r="F522" s="229"/>
      <c r="G522" s="230"/>
      <c r="H522" s="167"/>
      <c r="I522" s="231"/>
      <c r="J522" s="232"/>
      <c r="M522" s="96" t="n">
        <f aca="false">ROW()</f>
        <v>522</v>
      </c>
      <c r="N522" s="62" t="s">
        <v>493</v>
      </c>
      <c r="O522" s="62" t="s">
        <v>494</v>
      </c>
    </row>
    <row r="523" s="96" customFormat="true" ht="15.75" hidden="false" customHeight="true" outlineLevel="0" collapsed="false">
      <c r="A523" s="130" t="str">
        <f aca="false">IF(B523="","",+""+1)</f>
        <v/>
      </c>
      <c r="B523" s="131"/>
      <c r="C523" s="131"/>
      <c r="D523" s="132"/>
      <c r="E523" s="130"/>
      <c r="F523" s="233"/>
      <c r="G523" s="270"/>
      <c r="H523" s="130"/>
      <c r="I523" s="142"/>
      <c r="J523" s="133"/>
      <c r="M523" s="96" t="n">
        <f aca="false">ROW()</f>
        <v>523</v>
      </c>
      <c r="N523" s="62" t="s">
        <v>495</v>
      </c>
      <c r="O523" s="62" t="s">
        <v>496</v>
      </c>
    </row>
    <row r="524" s="96" customFormat="true" ht="15.75" hidden="false" customHeight="true" outlineLevel="0" collapsed="false">
      <c r="A524" s="136" t="str">
        <f aca="false">IF(B524="","",+A523+1)</f>
        <v/>
      </c>
      <c r="B524" s="135"/>
      <c r="C524" s="135"/>
      <c r="D524" s="139"/>
      <c r="E524" s="136"/>
      <c r="F524" s="236"/>
      <c r="G524" s="237"/>
      <c r="H524" s="136"/>
      <c r="I524" s="180"/>
      <c r="J524" s="140"/>
      <c r="M524" s="96" t="n">
        <f aca="false">ROW()</f>
        <v>524</v>
      </c>
      <c r="N524" s="62" t="s">
        <v>497</v>
      </c>
      <c r="O524" s="62" t="s">
        <v>498</v>
      </c>
    </row>
    <row r="525" s="96" customFormat="true" ht="15.75" hidden="false" customHeight="true" outlineLevel="0" collapsed="false">
      <c r="A525" s="97"/>
      <c r="D525" s="98"/>
      <c r="E525" s="97"/>
      <c r="F525" s="97"/>
      <c r="G525" s="97"/>
      <c r="H525" s="97"/>
      <c r="I525" s="97"/>
      <c r="J525" s="196"/>
      <c r="M525" s="96" t="n">
        <f aca="false">ROW()</f>
        <v>525</v>
      </c>
      <c r="N525" s="62" t="s">
        <v>499</v>
      </c>
      <c r="O525" s="62" t="s">
        <v>500</v>
      </c>
    </row>
    <row r="526" customFormat="false" ht="14.25" hidden="false" customHeight="false" outlineLevel="0" collapsed="false">
      <c r="J526" s="92" t="str">
        <f aca="false">LEFT($J$111,13)&amp;"-05"</f>
        <v>FG-240-8P4L4R-05</v>
      </c>
      <c r="M526" s="96" t="n">
        <f aca="false">ROW()</f>
        <v>526</v>
      </c>
      <c r="N526" s="62" t="s">
        <v>501</v>
      </c>
      <c r="O526" s="62" t="s">
        <v>502</v>
      </c>
    </row>
    <row r="527" customFormat="false" ht="14.25" hidden="false" customHeight="false" outlineLevel="0" collapsed="false">
      <c r="M527" s="96" t="n">
        <f aca="false">ROW()</f>
        <v>527</v>
      </c>
      <c r="N527" s="62" t="s">
        <v>503</v>
      </c>
      <c r="O527" s="62" t="s">
        <v>504</v>
      </c>
    </row>
    <row r="528" customFormat="false" ht="14.25" hidden="false" customHeight="false" outlineLevel="0" collapsed="false">
      <c r="M528" s="96" t="n">
        <f aca="false">ROW()</f>
        <v>528</v>
      </c>
      <c r="N528" s="62" t="s">
        <v>505</v>
      </c>
      <c r="O528" s="62" t="s">
        <v>506</v>
      </c>
    </row>
  </sheetData>
  <mergeCells count="44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7"/>
    <mergeCell ref="H163:H167"/>
    <mergeCell ref="I166:J167"/>
    <mergeCell ref="D168:D169"/>
    <mergeCell ref="H168:H169"/>
    <mergeCell ref="I168:J168"/>
    <mergeCell ref="A170:J170"/>
    <mergeCell ref="A212:J212"/>
    <mergeCell ref="C309:E309"/>
    <mergeCell ref="A319:J319"/>
    <mergeCell ref="F329:G329"/>
    <mergeCell ref="F330:G330"/>
    <mergeCell ref="F333:G333"/>
    <mergeCell ref="A426:J426"/>
    <mergeCell ref="A518:J518"/>
    <mergeCell ref="F520:G520"/>
  </mergeCells>
  <dataValidations count="4">
    <dataValidation allowBlank="true" errorStyle="stop" operator="between" showDropDown="false" showErrorMessage="true" showInputMessage="true" sqref="D129:G129" type="list">
      <formula1>$O$119</formula1>
      <formula2>0</formula2>
    </dataValidation>
    <dataValidation allowBlank="true" errorStyle="stop" operator="between" showDropDown="false" showErrorMessage="true" showInputMessage="true" sqref="D127:G127" type="list">
      <formula1>$N$119:$N$127</formula1>
      <formula2>0</formula2>
    </dataValidation>
    <dataValidation allowBlank="true" errorStyle="stop" operator="between" showDropDown="false" showErrorMessage="true" showInputMessage="true" sqref="C205" type="list">
      <formula1>$O$172:$O$190</formula1>
      <formula2>0</formula2>
    </dataValidation>
    <dataValidation allowBlank="true" errorStyle="stop" operator="between" showDropDown="false" showErrorMessage="true" showInputMessage="true" sqref="D123:G123" type="list">
      <formula1>$P$118:$P$128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6" man="true" max="16383" min="0"/>
    <brk id="313" man="true" max="16383" min="0"/>
    <brk id="420" man="true" max="16383" min="0"/>
  </rowBreaks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528"/>
  <sheetViews>
    <sheetView showFormulas="false" showGridLines="false" showRowColHeaders="true" showZeros="true" rightToLeft="false" tabSelected="false" showOutlineSymbols="true" defaultGridColor="true" view="pageBreakPreview" topLeftCell="A115" colorId="64" zoomScale="75" zoomScaleNormal="75" zoomScalePageLayoutView="75" workbookViewId="0">
      <selection pane="topLeft" activeCell="H123" activeCellId="0" sqref="H123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11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6.67"/>
    <col collapsed="false" customWidth="true" hidden="false" outlineLevel="0" max="9" min="9" style="0" width="11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11.33"/>
    <col collapsed="false" customWidth="true" hidden="true" outlineLevel="1" max="18" min="18" style="0" width="13.67"/>
    <col collapsed="false" customWidth="true" hidden="true" outlineLevel="1" max="19" min="19" style="0" width="12"/>
    <col collapsed="false" customWidth="true" hidden="true" outlineLevel="1" max="20" min="20" style="0" width="15.11"/>
    <col collapsed="false" customWidth="true" hidden="true" outlineLevel="1" max="21" min="21" style="0" width="19.88"/>
    <col collapsed="false" customWidth="true" hidden="true" outlineLevel="1" max="22" min="22" style="0" width="10.56"/>
    <col collapsed="false" customWidth="true" hidden="true" outlineLevel="1" max="23" min="23" style="0" width="10.88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755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>
      <c r="G55" s="91"/>
    </row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756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8" hidden="false" customHeight="true" outlineLevel="0" collapsed="false">
      <c r="A118" s="97"/>
      <c r="C118" s="81"/>
      <c r="D118" s="98"/>
      <c r="E118" s="83"/>
      <c r="J118" s="99"/>
      <c r="K118" s="83"/>
      <c r="N118" s="258" t="s">
        <v>288</v>
      </c>
      <c r="O118" s="97" t="s">
        <v>289</v>
      </c>
      <c r="P118" s="102" t="s">
        <v>290</v>
      </c>
    </row>
    <row r="119" s="96" customFormat="true" ht="15" hidden="false" customHeight="true" outlineLevel="0" collapsed="false">
      <c r="A119" s="97"/>
      <c r="C119" s="100" t="s">
        <v>286</v>
      </c>
      <c r="D119" s="101" t="s">
        <v>757</v>
      </c>
      <c r="E119" s="101"/>
      <c r="F119" s="101"/>
      <c r="G119" s="101"/>
      <c r="I119" s="83"/>
      <c r="J119" s="97"/>
      <c r="N119" s="259" t="n">
        <v>5</v>
      </c>
      <c r="O119" s="97" t="s">
        <v>509</v>
      </c>
      <c r="P119" s="106" t="s">
        <v>294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6</v>
      </c>
      <c r="O120" s="97" t="s">
        <v>296</v>
      </c>
      <c r="P120" s="106" t="s">
        <v>297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8</v>
      </c>
      <c r="P121" s="106" t="s">
        <v>299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10</v>
      </c>
      <c r="P122" s="106" t="s">
        <v>303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308</v>
      </c>
      <c r="E123" s="101"/>
      <c r="F123" s="101"/>
      <c r="G123" s="101"/>
      <c r="H123" s="104" t="s">
        <v>302</v>
      </c>
      <c r="I123" s="104"/>
      <c r="J123" s="105" t="n">
        <v>2600</v>
      </c>
      <c r="N123" s="259" t="n">
        <v>12</v>
      </c>
      <c r="P123" s="106" t="s">
        <v>305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14</v>
      </c>
      <c r="P124" s="106" t="s">
        <v>308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510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18</v>
      </c>
      <c r="P125" s="106" t="s">
        <v>311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4800</v>
      </c>
      <c r="K126" s="110"/>
      <c r="L126" s="110"/>
      <c r="N126" s="259" t="n">
        <v>20</v>
      </c>
      <c r="P126" s="106" t="s">
        <v>313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259" t="n">
        <v>22</v>
      </c>
      <c r="P127" s="106" t="s">
        <v>315</v>
      </c>
    </row>
    <row r="128" s="96" customFormat="true" ht="18.75" hidden="false" customHeight="true" outlineLevel="0" collapsed="false">
      <c r="C128" s="108" t="s">
        <v>314</v>
      </c>
      <c r="I128" s="97"/>
      <c r="J128" s="97"/>
    </row>
    <row r="129" s="96" customFormat="true" ht="15" hidden="false" customHeight="true" outlineLevel="0" collapsed="false">
      <c r="A129" s="89" t="str">
        <f aca="false">A18</f>
        <v>240-8 Panel (5L3R)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4740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16</v>
      </c>
      <c r="U133" s="127" t="s">
        <v>736</v>
      </c>
      <c r="V133" s="128" t="n">
        <f aca="false">($J$126-185-(113.25*7))/8</f>
        <v>477.78125</v>
      </c>
      <c r="W133" s="129" t="n">
        <f aca="false">$J$120*T133</f>
        <v>16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4714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16</v>
      </c>
      <c r="U134" s="130" t="s">
        <v>736</v>
      </c>
      <c r="V134" s="142" t="n">
        <f aca="false">($J$126-185-(113.25*7))/8</f>
        <v>477.78125</v>
      </c>
      <c r="W134" s="134" t="n">
        <f aca="false">$J$120*T134</f>
        <v>16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4740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16</v>
      </c>
      <c r="U135" s="136" t="s">
        <v>736</v>
      </c>
      <c r="V135" s="180" t="n">
        <f aca="false">($J$126-185-(113.25*7))/8</f>
        <v>477.78125</v>
      </c>
      <c r="W135" s="137" t="n">
        <f aca="false">$J$120*T135</f>
        <v>16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4740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16</v>
      </c>
      <c r="U136" s="127" t="s">
        <v>360</v>
      </c>
      <c r="V136" s="138" t="n">
        <f aca="false">$J$123-242</f>
        <v>2358</v>
      </c>
      <c r="W136" s="129" t="n">
        <f aca="false">$J$120*T136</f>
        <v>16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2600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16</v>
      </c>
      <c r="U137" s="130" t="s">
        <v>360</v>
      </c>
      <c r="V137" s="133" t="n">
        <f aca="false">$J$123-242</f>
        <v>2358</v>
      </c>
      <c r="W137" s="134" t="n">
        <f aca="false">$J$120*T137</f>
        <v>16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2600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16</v>
      </c>
      <c r="U138" s="136" t="s">
        <v>360</v>
      </c>
      <c r="V138" s="140" t="n">
        <f aca="false">$J$123-242</f>
        <v>2358</v>
      </c>
      <c r="W138" s="137" t="n">
        <f aca="false">$J$120*T138</f>
        <v>16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2504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2504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8</v>
      </c>
      <c r="H141" s="130" t="s">
        <v>739</v>
      </c>
      <c r="I141" s="141" t="n">
        <f aca="false">($J$126-60-(8+1)*4)/8</f>
        <v>588</v>
      </c>
      <c r="J141" s="134" t="n">
        <f aca="false">$J$120*G141</f>
        <v>8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8</v>
      </c>
      <c r="H142" s="130" t="s">
        <v>739</v>
      </c>
      <c r="I142" s="141" t="n">
        <f aca="false">($J$126-60-(8+1)*4)/8</f>
        <v>588</v>
      </c>
      <c r="J142" s="134" t="n">
        <f aca="false">$J$120*G142</f>
        <v>8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12</v>
      </c>
      <c r="H143" s="130" t="s">
        <v>389</v>
      </c>
      <c r="I143" s="133" t="n">
        <f aca="false">$J$123-92</f>
        <v>2508</v>
      </c>
      <c r="J143" s="134" t="n">
        <f aca="false">$J$120*G143</f>
        <v>12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2</v>
      </c>
      <c r="H144" s="130" t="s">
        <v>389</v>
      </c>
      <c r="I144" s="133" t="n">
        <f aca="false">$J$123-92</f>
        <v>2508</v>
      </c>
      <c r="J144" s="134" t="n">
        <f aca="false">$J$120*G144</f>
        <v>2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390</v>
      </c>
      <c r="C145" s="131" t="s">
        <v>656</v>
      </c>
      <c r="D145" s="132" t="s">
        <v>74</v>
      </c>
      <c r="E145" s="130" t="n">
        <v>1.106</v>
      </c>
      <c r="F145" s="132" t="s">
        <v>563</v>
      </c>
      <c r="G145" s="130" t="n">
        <v>1</v>
      </c>
      <c r="H145" s="130" t="s">
        <v>389</v>
      </c>
      <c r="I145" s="133" t="n">
        <f aca="false">$J$123-92</f>
        <v>2508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">
        <v>531</v>
      </c>
      <c r="C146" s="131" t="s">
        <v>532</v>
      </c>
      <c r="D146" s="132" t="s">
        <v>74</v>
      </c>
      <c r="E146" s="130" t="n">
        <v>1.106</v>
      </c>
      <c r="F146" s="132" t="s">
        <v>533</v>
      </c>
      <c r="G146" s="130" t="n">
        <v>1</v>
      </c>
      <c r="H146" s="130" t="s">
        <v>389</v>
      </c>
      <c r="I146" s="133" t="n">
        <f aca="false">$J$123-92</f>
        <v>2508</v>
      </c>
      <c r="J146" s="134" t="n">
        <f aca="false">$J$120*G146</f>
        <v>1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7" s="131" t="str">
        <f aca="false">IF($D$127=5,Q133,IF($D$127=6,Q133,IF($D$127=8,Q134,IF($D$127=10,Q134,IF($D$127=12,Q134,IF($D$127=14,Q135,IF($D$127=18,Q135,IF($D$127=20,Q135,IF($D$127=22,Q135,)))))))))</f>
        <v>B24008</v>
      </c>
      <c r="E147" s="131" t="n">
        <f aca="false">IF($D$127=5,R133,IF($D$127=6,R133,IF($D$127=8,R134,IF($D$127=10,R134,IF($D$127=12,R134,IF($D$127=14,R135,IF($D$127=18,R135,IF($D$127=20,R135,IF($D$127=22,R135,)))))))))</f>
        <v>0.231</v>
      </c>
      <c r="F147" s="131" t="str">
        <f aca="false">IF($D$127=5,S133,IF($D$127=6,S133,IF($D$127=8,S134,IF($D$127=10,S134,IF($D$127=12,S134,IF($D$127=14,S135,IF($D$127=18,S135,IF($D$127=20,S135,IF($D$127=22,S135,)))))))))</f>
        <v>B24008-001</v>
      </c>
      <c r="G147" s="130" t="n">
        <f aca="false">IF($D$127=5,T133,IF($D$127=6,T133,IF($D$127=8,T134,IF($D$127=10,T134,IF($D$127=12,T134,IF($D$127=14,T135,IF($D$127=18,T135,IF($D$127=20,T135,IF($D$127=22,T135,)))))))))</f>
        <v>16</v>
      </c>
      <c r="H147" s="130" t="str">
        <f aca="false">IF($D$127=5,U133,IF($D$127=6,U133,IF($D$127=8,U134,IF($D$127=10,U134,IF($D$127=12,U134,IF($D$127=14,U135,IF($D$127=18,U135,IF($D$127=20,U135,IF($D$127=22,U135,)))))))))</f>
        <v>(W-185-(113.25 × 7))/8</v>
      </c>
      <c r="I147" s="141" t="n">
        <f aca="false">IF($D$127=5,V133,IF($D$127=6,V133,IF($D$127=8,V134,IF($D$127=10,V134,IF($D$127=12,V134,IF($D$127=14,V135,IF($D$127=18,V135,IF($D$127=20,V135,IF($D$127=22,V135,)))))))))</f>
        <v>477.78125</v>
      </c>
      <c r="J147" s="134" t="n">
        <f aca="false">$J$120*G147</f>
        <v>16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8" s="131" t="str">
        <f aca="false">IF($D$127=5,Q136,IF($D$127=6,Q136,IF($D$127=8,Q137,IF($D$127=10,Q137,IF($D$127=12,Q137,IF($D$127=14,Q138,IF($D$127=18,Q138,IF($D$127=20,Q138,IF($D$127=22,Q138,)))))))))</f>
        <v>B24008</v>
      </c>
      <c r="E148" s="131" t="n">
        <f aca="false">IF($D$127=5,R136,IF($D$127=6,R136,IF($D$127=8,R137,IF($D$127=10,R137,IF($D$127=12,R137,IF($D$127=14,R138,IF($D$127=18,R138,IF($D$127=20,R138,IF($D$127=22,R138,)))))))))</f>
        <v>0.231</v>
      </c>
      <c r="F148" s="131" t="str">
        <f aca="false">IF($D$127=5,S136,IF($D$127=6,S136,IF($D$127=8,S137,IF($D$127=10,S137,IF($D$127=12,S137,IF($D$127=14,S138,IF($D$127=18,S138,IF($D$127=20,S138,IF($D$127=22,S138,)))))))))</f>
        <v>B24008-002</v>
      </c>
      <c r="G148" s="130" t="n">
        <f aca="false">IF($D$127=5,T136,IF($D$127=6,T136,IF($D$127=8,T137,IF($D$127=10,T137,IF($D$127=12,T137,IF($D$127=14,T138,IF($D$127=18,T138,IF($D$127=20,T138,IF($D$127=22,T138,)))))))))</f>
        <v>16</v>
      </c>
      <c r="H148" s="130" t="str">
        <f aca="false">IF($D$127=5,U136,IF($D$127=6,U136,IF($D$127=8,U137,IF($D$127=10,U137,IF($D$127=12,U137,IF($D$127=14,U138,IF($D$127=18,U138,IF($D$127=20,U138,IF($D$127=22,U138,)))))))))</f>
        <v>H-242</v>
      </c>
      <c r="I148" s="133" t="n">
        <f aca="false">IF($D$127=5,V136,IF($D$127=6,V136,IF($D$127=8,V137,IF($D$127=10,V137,IF($D$127=12,V137,IF($D$127=14,V138,IF($D$127=18,V138,IF($D$127=20,V138,IF($D$127=22,V138,)))))))))</f>
        <v>2358</v>
      </c>
      <c r="J148" s="134" t="n">
        <f aca="false">$J$120*G148</f>
        <v>16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535</v>
      </c>
      <c r="D149" s="132" t="s">
        <v>536</v>
      </c>
      <c r="E149" s="130"/>
      <c r="F149" s="132" t="s">
        <v>537</v>
      </c>
      <c r="G149" s="130" t="n">
        <v>1</v>
      </c>
      <c r="H149" s="130" t="s">
        <v>389</v>
      </c>
      <c r="I149" s="133" t="n">
        <f aca="false">$J$123-92</f>
        <v>2508</v>
      </c>
      <c r="J149" s="134" t="n">
        <f aca="false">$J$120*G149</f>
        <v>1</v>
      </c>
    </row>
    <row r="150" s="96" customFormat="true" ht="18" hidden="false" customHeight="true" outlineLevel="0" collapsed="false">
      <c r="A150" s="130" t="n">
        <f aca="false">IF(B150="","",+A149+1)</f>
        <v>18</v>
      </c>
      <c r="B150" s="131" t="s">
        <v>534</v>
      </c>
      <c r="C150" s="131" t="s">
        <v>535</v>
      </c>
      <c r="D150" s="132" t="s">
        <v>536</v>
      </c>
      <c r="E150" s="130"/>
      <c r="F150" s="132" t="s">
        <v>539</v>
      </c>
      <c r="G150" s="130" t="n">
        <v>1</v>
      </c>
      <c r="H150" s="130" t="s">
        <v>389</v>
      </c>
      <c r="I150" s="133" t="n">
        <f aca="false">$J$123-92</f>
        <v>2508</v>
      </c>
      <c r="J150" s="134" t="n">
        <f aca="false">$J$120*G150</f>
        <v>1</v>
      </c>
    </row>
    <row r="151" s="96" customFormat="true" ht="18" hidden="false" customHeight="true" outlineLevel="0" collapsed="false">
      <c r="A151" s="130" t="str">
        <f aca="false">IF(B151="","",+A150+1)</f>
        <v/>
      </c>
      <c r="B151" s="131"/>
      <c r="C151" s="131"/>
      <c r="D151" s="132"/>
      <c r="E151" s="130"/>
      <c r="F151" s="132"/>
      <c r="G151" s="130"/>
      <c r="H151" s="130"/>
      <c r="I151" s="133"/>
      <c r="J151" s="134" t="n">
        <f aca="false">$J$120*G151</f>
        <v>0</v>
      </c>
    </row>
    <row r="152" s="96" customFormat="true" ht="18" hidden="false" customHeight="true" outlineLevel="0" collapsed="false">
      <c r="A152" s="130" t="str">
        <f aca="false">IF(B152="","",+A151+1)</f>
        <v/>
      </c>
      <c r="B152" s="131"/>
      <c r="C152" s="131"/>
      <c r="D152" s="132"/>
      <c r="E152" s="130"/>
      <c r="F152" s="132"/>
      <c r="G152" s="130"/>
      <c r="H152" s="130"/>
      <c r="I152" s="133"/>
      <c r="J152" s="134" t="n">
        <f aca="false">$J$120*G152</f>
        <v>0</v>
      </c>
    </row>
    <row r="153" s="96" customFormat="true" ht="18" hidden="false" customHeight="true" outlineLevel="0" collapsed="false">
      <c r="A153" s="130" t="str">
        <f aca="false">IF(B153="","",+A152+1)</f>
        <v/>
      </c>
      <c r="B153" s="143"/>
      <c r="C153" s="143"/>
      <c r="D153" s="144"/>
      <c r="E153" s="145"/>
      <c r="F153" s="144"/>
      <c r="G153" s="145"/>
      <c r="H153" s="145"/>
      <c r="I153" s="146"/>
      <c r="J153" s="147" t="n">
        <f aca="false">$J$120*G153</f>
        <v>0</v>
      </c>
    </row>
    <row r="154" s="96" customFormat="true" ht="27" hidden="false" customHeight="true" outlineLevel="1" collapsed="false">
      <c r="A154" s="148" t="s">
        <v>319</v>
      </c>
      <c r="B154" s="148" t="s">
        <v>320</v>
      </c>
      <c r="C154" s="148" t="s">
        <v>168</v>
      </c>
      <c r="D154" s="148" t="s">
        <v>166</v>
      </c>
      <c r="E154" s="148" t="s">
        <v>321</v>
      </c>
      <c r="F154" s="149" t="s">
        <v>393</v>
      </c>
      <c r="G154" s="148" t="s">
        <v>394</v>
      </c>
      <c r="H154" s="150" t="s">
        <v>395</v>
      </c>
      <c r="I154" s="151"/>
      <c r="J154" s="151"/>
    </row>
    <row r="155" s="96" customFormat="true" ht="15" hidden="false" customHeight="true" outlineLevel="1" collapsed="false">
      <c r="A155" s="152" t="n">
        <f aca="false">IF(B155="","",1)</f>
        <v>1</v>
      </c>
      <c r="B155" s="153" t="str">
        <f aca="false">B133</f>
        <v>เฟรมบน</v>
      </c>
      <c r="C155" s="153" t="str">
        <f aca="false">C133</f>
        <v>HEAD</v>
      </c>
      <c r="D155" s="154" t="str">
        <f aca="false">VLOOKUP(C155,$C$133:$H$153,2,0)</f>
        <v>B24001</v>
      </c>
      <c r="E155" s="155" t="n">
        <f aca="false">VLOOKUP(C155,$C$133:$H$153,3,0)</f>
        <v>1.603</v>
      </c>
      <c r="F155" s="263" t="n">
        <f aca="false">VLOOKUP(C155,$C$133:$J$153,7,0)</f>
        <v>4740</v>
      </c>
      <c r="G155" s="155" t="n">
        <f aca="false">VLOOKUP(C155,$C$133:$J$153,8,0)</f>
        <v>1</v>
      </c>
      <c r="H155" s="264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2</v>
      </c>
      <c r="B156" s="153" t="str">
        <f aca="false">B134</f>
        <v>บังใบบน</v>
      </c>
      <c r="C156" s="153" t="str">
        <f aca="false">C134</f>
        <v>DOOR STOP HEAD</v>
      </c>
      <c r="D156" s="154" t="str">
        <f aca="false">VLOOKUP(C156,$C$133:$H$153,2,0)</f>
        <v>B24002</v>
      </c>
      <c r="E156" s="155" t="n">
        <f aca="false">VLOOKUP(C156,$C$133:$H$153,3,0)</f>
        <v>0.278</v>
      </c>
      <c r="F156" s="263" t="n">
        <f aca="false">VLOOKUP(C156,$C$133:$I$153,7,0)</f>
        <v>4714</v>
      </c>
      <c r="G156" s="155" t="n">
        <f aca="false">VLOOKUP(C156,$C$133:$J$153,8,0)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3</v>
      </c>
      <c r="B157" s="153" t="str">
        <f aca="false">B135</f>
        <v>เฟรมล่าง </v>
      </c>
      <c r="C157" s="153" t="str">
        <f aca="false">C135</f>
        <v>SILL</v>
      </c>
      <c r="D157" s="154" t="str">
        <f aca="false">VLOOKUP(C157,$C$133:$H$153,2,0)</f>
        <v>B24003</v>
      </c>
      <c r="E157" s="155" t="n">
        <f aca="false">VLOOKUP(C157,$C$133:$H$153,3,0)</f>
        <v>1.603</v>
      </c>
      <c r="F157" s="263" t="n">
        <f aca="false">VLOOKUP(C157,$C$133:$I$153,7,0)</f>
        <v>4740</v>
      </c>
      <c r="G157" s="155" t="n">
        <f aca="false">VLOOKUP(C157,$C$133:$J$153,8,0)</f>
        <v>1</v>
      </c>
      <c r="H157" s="266" t="n">
        <f aca="false">ROUNDUP((F157*G157)/6400,0)</f>
        <v>1</v>
      </c>
      <c r="I157" s="265"/>
      <c r="J157" s="265"/>
    </row>
    <row r="158" s="96" customFormat="true" ht="15" hidden="false" customHeight="true" outlineLevel="1" collapsed="false">
      <c r="A158" s="158" t="n">
        <f aca="false">IF(B158="","",+A157+1)</f>
        <v>4</v>
      </c>
      <c r="B158" s="153" t="str">
        <f aca="false">B136</f>
        <v>ตัวตับธรณี</v>
      </c>
      <c r="C158" s="153" t="str">
        <f aca="false">C136</f>
        <v>DOOR STOP SILL</v>
      </c>
      <c r="D158" s="154" t="str">
        <f aca="false">VLOOKUP(C158,$C$133:$H$153,2,0)</f>
        <v>B24004</v>
      </c>
      <c r="E158" s="155" t="n">
        <f aca="false">VLOOKUP(C158,$C$133:$H$153,3,0)</f>
        <v>0.516</v>
      </c>
      <c r="F158" s="263" t="n">
        <f aca="false">VLOOKUP(C158,$C$133:$I$153,7,0)</f>
        <v>4740</v>
      </c>
      <c r="G158" s="155" t="n">
        <f aca="false">VLOOKUP(C158,$C$133:$J$153,8,0)</f>
        <v>1</v>
      </c>
      <c r="H158" s="266" t="n">
        <f aca="false">ROUNDUP((F158*G158)/6400,0)</f>
        <v>1</v>
      </c>
      <c r="I158" s="265"/>
      <c r="J158" s="265"/>
    </row>
    <row r="159" s="96" customFormat="true" ht="15" hidden="false" customHeight="true" outlineLevel="1" collapsed="false">
      <c r="A159" s="158" t="n">
        <f aca="false">IF(B159="","",+A158+1)</f>
        <v>5</v>
      </c>
      <c r="B159" s="153" t="str">
        <f aca="false">B137</f>
        <v>เฟรมข้าง (ซ้าย)</v>
      </c>
      <c r="C159" s="153" t="str">
        <f aca="false">C137</f>
        <v>JAMB (L)</v>
      </c>
      <c r="D159" s="159" t="str">
        <f aca="false">VLOOKUP(C159,$C$133:$H$153,2,0)</f>
        <v>B24005</v>
      </c>
      <c r="E159" s="155" t="n">
        <f aca="false">VLOOKUP(C159,$C$133:$H$153,3,0)</f>
        <v>0.893</v>
      </c>
      <c r="F159" s="263" t="n">
        <f aca="false">VLOOKUP(C159,$C$133:$I$153,7,0)</f>
        <v>2600</v>
      </c>
      <c r="G159" s="155" t="n">
        <f aca="false">VLOOKUP(C159,$C$133:$J$153,8,0)</f>
        <v>1</v>
      </c>
      <c r="H159" s="160" t="n">
        <f aca="false">ROUNDUP(((F159*G159)+(F160*G160))/6400,0)</f>
        <v>1</v>
      </c>
      <c r="I159" s="161"/>
      <c r="J159" s="161"/>
    </row>
    <row r="160" s="96" customFormat="true" ht="15" hidden="false" customHeight="true" outlineLevel="1" collapsed="false">
      <c r="A160" s="158" t="n">
        <f aca="false">IF(B160="","",+A159+1)</f>
        <v>6</v>
      </c>
      <c r="B160" s="153" t="str">
        <f aca="false">B138</f>
        <v>เฟรมข้าง (ขวา)</v>
      </c>
      <c r="C160" s="153" t="str">
        <f aca="false">C138</f>
        <v>JAMB (R)</v>
      </c>
      <c r="D160" s="159"/>
      <c r="E160" s="155" t="n">
        <f aca="false">VLOOKUP(C160,$C$133:$H$153,3,0)</f>
        <v>0.893</v>
      </c>
      <c r="F160" s="263" t="n">
        <f aca="false">VLOOKUP(C160,$C$133:$I$153,7,0)</f>
        <v>2600</v>
      </c>
      <c r="G160" s="155" t="n">
        <f aca="false">VLOOKUP(C160,$C$133:$J$153,8,0)</f>
        <v>1</v>
      </c>
      <c r="H160" s="160"/>
      <c r="I160" s="161"/>
      <c r="J160" s="161"/>
    </row>
    <row r="161" s="96" customFormat="true" ht="15" hidden="false" customHeight="true" outlineLevel="1" collapsed="false">
      <c r="A161" s="158" t="n">
        <f aca="false">IF(B161="","",+A160+1)</f>
        <v>7</v>
      </c>
      <c r="B161" s="153" t="str">
        <f aca="false">B139</f>
        <v>บังใบข้าง (ซ้าย)</v>
      </c>
      <c r="C161" s="153" t="str">
        <f aca="false">C139</f>
        <v>DOOR STOP JAMB (L)</v>
      </c>
      <c r="D161" s="159" t="str">
        <f aca="false">VLOOKUP(C161,$C$133:$H$153,2,0)</f>
        <v>B24006</v>
      </c>
      <c r="E161" s="155" t="n">
        <f aca="false">VLOOKUP(C161,$C$133:$H$153,3,0)</f>
        <v>0.235</v>
      </c>
      <c r="F161" s="263" t="n">
        <f aca="false">VLOOKUP(C161,$C$133:$I$153,7,0)</f>
        <v>2504</v>
      </c>
      <c r="G161" s="155" t="n">
        <f aca="false">VLOOKUP(C161,$C$133:$J$153,8,0)</f>
        <v>1</v>
      </c>
      <c r="H161" s="160" t="n">
        <f aca="false">ROUNDUP(((F161*G161)+(F162*G162))/6400,0)</f>
        <v>1</v>
      </c>
      <c r="I161" s="265"/>
      <c r="J161" s="265"/>
    </row>
    <row r="162" s="96" customFormat="true" ht="15" hidden="false" customHeight="true" outlineLevel="1" collapsed="false">
      <c r="A162" s="158" t="n">
        <f aca="false">IF(B162="","",+A161+1)</f>
        <v>8</v>
      </c>
      <c r="B162" s="153" t="str">
        <f aca="false">B140</f>
        <v>บังใบข้าง (ขวา)</v>
      </c>
      <c r="C162" s="153" t="str">
        <f aca="false">C140</f>
        <v>DOOR STOP JAMB (R)</v>
      </c>
      <c r="D162" s="159"/>
      <c r="E162" s="155" t="n">
        <f aca="false">VLOOKUP(C162,$C$133:$H$153,3,0)</f>
        <v>0.235</v>
      </c>
      <c r="F162" s="263" t="n">
        <f aca="false">VLOOKUP(C162,$C$133:$I$153,7,0)</f>
        <v>2504</v>
      </c>
      <c r="G162" s="155" t="n">
        <f aca="false">VLOOKUP(C162,$C$133:$J$153,8,0)</f>
        <v>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9</v>
      </c>
      <c r="B163" s="153" t="str">
        <f aca="false">B141</f>
        <v>ขวางบน</v>
      </c>
      <c r="C163" s="153" t="str">
        <f aca="false">C141</f>
        <v>SASH (Hor) (T)</v>
      </c>
      <c r="D163" s="159" t="str">
        <f aca="false">VLOOKUP(C163,$C$133:$H$153,2,0)</f>
        <v>B24007</v>
      </c>
      <c r="E163" s="155" t="n">
        <f aca="false">VLOOKUP(C163,$C$133:$H$153,3,0)</f>
        <v>1.106</v>
      </c>
      <c r="F163" s="263" t="n">
        <f aca="false">VLOOKUP(C163,$C$133:$I$153,7,0)</f>
        <v>588</v>
      </c>
      <c r="G163" s="155" t="n">
        <f aca="false">VLOOKUP(C163,$C$133:$J$153,8,0)</f>
        <v>8</v>
      </c>
      <c r="H163" s="160" t="n">
        <f aca="false">ROUNDUP(((F163*G163)+(F164*G164)+(F165*G165)+(F166*G166)+(F167*G167)+(F168*G168))/6400,0)</f>
        <v>8</v>
      </c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10</v>
      </c>
      <c r="B164" s="153" t="str">
        <f aca="false">B142</f>
        <v>ขวางล่าง</v>
      </c>
      <c r="C164" s="153" t="str">
        <f aca="false">C142</f>
        <v>SASH (Hor) (B)</v>
      </c>
      <c r="D164" s="159"/>
      <c r="E164" s="155" t="n">
        <f aca="false">VLOOKUP(C164,$C$133:$H$153,3,0)</f>
        <v>1.106</v>
      </c>
      <c r="F164" s="263" t="n">
        <f aca="false">VLOOKUP(C164,$C$133:$I$153,7,0)</f>
        <v>588</v>
      </c>
      <c r="G164" s="155" t="n">
        <f aca="false">VLOOKUP(C164,$C$133:$J$153,8,0)</f>
        <v>8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11</v>
      </c>
      <c r="B165" s="153" t="str">
        <f aca="false">B143</f>
        <v>เสา</v>
      </c>
      <c r="C165" s="153" t="str">
        <f aca="false">C143</f>
        <v>SASH (Ver) </v>
      </c>
      <c r="D165" s="159"/>
      <c r="E165" s="155" t="n">
        <f aca="false">VLOOKUP(C165,$C$133:$H$153,3,0)</f>
        <v>1.106</v>
      </c>
      <c r="F165" s="263" t="n">
        <f aca="false">VLOOKUP(C165,$C$133:$I$153,7,0)</f>
        <v>2508</v>
      </c>
      <c r="G165" s="155" t="n">
        <f aca="false">VLOOKUP(C165,$C$133:$J$153,8,0)</f>
        <v>12</v>
      </c>
      <c r="H165" s="160"/>
      <c r="I165" s="161"/>
      <c r="J165" s="161"/>
    </row>
    <row r="166" s="96" customFormat="true" ht="13.5" hidden="false" customHeight="true" outlineLevel="1" collapsed="false">
      <c r="A166" s="158" t="n">
        <f aca="false">IF(B166="","",+A165+1)</f>
        <v>12</v>
      </c>
      <c r="B166" s="153" t="str">
        <f aca="false">B144</f>
        <v>เสากุญแจ</v>
      </c>
      <c r="C166" s="153" t="str">
        <f aca="false">C144</f>
        <v>SASH (Ver) LOCK </v>
      </c>
      <c r="D166" s="159"/>
      <c r="E166" s="155" t="n">
        <f aca="false">VLOOKUP(C166,$C$133:$H$153,3,0)</f>
        <v>1.106</v>
      </c>
      <c r="F166" s="263" t="n">
        <f aca="false">VLOOKUP(C166,$C$133:$I$153,7,0)</f>
        <v>2508</v>
      </c>
      <c r="G166" s="155" t="n">
        <f aca="false">VLOOKUP(C166,$C$133:$J$153,8,0)</f>
        <v>2</v>
      </c>
      <c r="H166" s="160"/>
      <c r="I166" s="161"/>
      <c r="J166" s="161"/>
    </row>
    <row r="167" s="96" customFormat="true" ht="13.5" hidden="false" customHeight="true" outlineLevel="1" collapsed="false">
      <c r="A167" s="158" t="n">
        <f aca="false">IF(B167="","",+A166+1)</f>
        <v>13</v>
      </c>
      <c r="B167" s="153" t="str">
        <f aca="false">B145</f>
        <v>เสากุญแจ</v>
      </c>
      <c r="C167" s="153" t="str">
        <f aca="false">C145</f>
        <v>SASH (Ver) LOCK  </v>
      </c>
      <c r="D167" s="159"/>
      <c r="E167" s="155" t="n">
        <f aca="false">VLOOKUP(C167,$C$133:$H$153,3,0)</f>
        <v>1.106</v>
      </c>
      <c r="F167" s="263" t="n">
        <f aca="false">VLOOKUP(C167,$C$133:$I$153,7,0)</f>
        <v>2508</v>
      </c>
      <c r="G167" s="155" t="n">
        <f aca="false">VLOOKUP(C167,$C$133:$J$153,8,0)</f>
        <v>1</v>
      </c>
      <c r="H167" s="160"/>
      <c r="I167" s="161"/>
      <c r="J167" s="161"/>
    </row>
    <row r="168" s="96" customFormat="true" ht="13.5" hidden="false" customHeight="true" outlineLevel="1" collapsed="false">
      <c r="A168" s="158" t="n">
        <f aca="false">IF(B168="","",+A167+1)</f>
        <v>14</v>
      </c>
      <c r="B168" s="153" t="str">
        <f aca="false">B146</f>
        <v>เสากุญแจมือจับ</v>
      </c>
      <c r="C168" s="153" t="str">
        <f aca="false">C146</f>
        <v>SASH (Ver) LOCK HANDLE</v>
      </c>
      <c r="D168" s="159"/>
      <c r="E168" s="155" t="n">
        <f aca="false">VLOOKUP(C168,$C$133:$H$153,3,0)</f>
        <v>1.106</v>
      </c>
      <c r="F168" s="263" t="n">
        <f aca="false">VLOOKUP(C168,$C$133:$I$153,7,0)</f>
        <v>2508</v>
      </c>
      <c r="G168" s="155" t="n">
        <f aca="false">VLOOKUP(C168,$C$133:$J$153,8,0)</f>
        <v>1</v>
      </c>
      <c r="H168" s="160"/>
      <c r="I168" s="265"/>
      <c r="J168" s="265"/>
    </row>
    <row r="169" s="96" customFormat="true" ht="13.5" hidden="false" customHeight="true" outlineLevel="1" collapsed="false">
      <c r="A169" s="158" t="n">
        <f aca="false">IF(B169="","",+A168+1)</f>
        <v>15</v>
      </c>
      <c r="B169" s="153" t="str">
        <f aca="false">B147</f>
        <v>5-6mm คิ้วตบกระจกแนวนอน</v>
      </c>
      <c r="C169" s="153" t="str">
        <f aca="false">C147</f>
        <v>5-6mm GLAZING BEAD HORIZONTAL</v>
      </c>
      <c r="D169" s="159" t="str">
        <f aca="false">VLOOKUP(C169,$C$133:$H$153,2,0)</f>
        <v>B24008</v>
      </c>
      <c r="E169" s="155" t="n">
        <f aca="false">VLOOKUP(C169,$C$133:$H$153,3,0)</f>
        <v>0.231</v>
      </c>
      <c r="F169" s="267" t="n">
        <f aca="false">VLOOKUP(C169,$C$133:$I$153,7,0)</f>
        <v>477.78125</v>
      </c>
      <c r="G169" s="155" t="n">
        <f aca="false">VLOOKUP(C169,$C$133:$J$153,8,0)</f>
        <v>16</v>
      </c>
      <c r="H169" s="160" t="n">
        <f aca="false">ROUNDUP(((F169*G169)+(F170*G170))/6400,0)</f>
        <v>8</v>
      </c>
      <c r="I169" s="196"/>
      <c r="J169" s="196"/>
    </row>
    <row r="170" s="96" customFormat="true" ht="13.5" hidden="false" customHeight="true" outlineLevel="1" collapsed="false">
      <c r="A170" s="158" t="n">
        <f aca="false">IF(B170="","",+A169+1)</f>
        <v>16</v>
      </c>
      <c r="B170" s="153" t="str">
        <f aca="false">B148</f>
        <v>5-6mm คิ้วตบกระจกแนวตั้ง</v>
      </c>
      <c r="C170" s="153" t="str">
        <f aca="false">C148</f>
        <v>5-6mm GLAZING BEAD VERTICAL</v>
      </c>
      <c r="D170" s="159"/>
      <c r="E170" s="155" t="n">
        <f aca="false">VLOOKUP(C170,$C$133:$H$153,3,0)</f>
        <v>0.231</v>
      </c>
      <c r="F170" s="263" t="n">
        <f aca="false">VLOOKUP(C170,$C$133:$I$153,7,0)</f>
        <v>2358</v>
      </c>
      <c r="G170" s="155" t="n">
        <f aca="false">VLOOKUP(C170,$C$133:$J$153,8,0)</f>
        <v>16</v>
      </c>
      <c r="H170" s="160"/>
      <c r="I170" s="196"/>
      <c r="J170" s="196"/>
    </row>
    <row r="171" s="96" customFormat="true" ht="13.5" hidden="false" customHeight="true" outlineLevel="1" collapsed="false">
      <c r="A171" s="158" t="n">
        <f aca="false">IF(B171="","",+A170+1)</f>
        <v>17</v>
      </c>
      <c r="B171" s="153" t="str">
        <f aca="false">B149</f>
        <v>บังใบ</v>
      </c>
      <c r="C171" s="153" t="str">
        <f aca="false">C149</f>
        <v>SASH STOP</v>
      </c>
      <c r="D171" s="163" t="str">
        <f aca="false">VLOOKUP(C171,$C$133:$H$153,2,0)</f>
        <v>B24009</v>
      </c>
      <c r="E171" s="155" t="n">
        <f aca="false">VLOOKUP(C171,$C$133:$H$153,3,0)</f>
        <v>0</v>
      </c>
      <c r="F171" s="263" t="n">
        <f aca="false">VLOOKUP(C171,$C$133:$I$153,7,0)</f>
        <v>2508</v>
      </c>
      <c r="G171" s="155" t="n">
        <f aca="false">VLOOKUP(C171,$C$133:$J$153,8,0)</f>
        <v>1</v>
      </c>
      <c r="H171" s="160" t="n">
        <f aca="false">ROUNDUP(((F171*G171)+(F172*G172))/6400,0)</f>
        <v>1</v>
      </c>
      <c r="I171" s="196"/>
      <c r="J171" s="196"/>
    </row>
    <row r="172" s="96" customFormat="true" ht="14.25" hidden="false" customHeight="false" outlineLevel="1" collapsed="false">
      <c r="A172" s="158" t="n">
        <f aca="false">IF(B172="","",+A171+1)</f>
        <v>18</v>
      </c>
      <c r="B172" s="153" t="str">
        <f aca="false">B150</f>
        <v>บังใบ</v>
      </c>
      <c r="C172" s="153" t="str">
        <f aca="false">C150</f>
        <v>SASH STOP</v>
      </c>
      <c r="D172" s="163"/>
      <c r="E172" s="155" t="n">
        <f aca="false">VLOOKUP(C172,$C$133:$H$153,3,0)</f>
        <v>0</v>
      </c>
      <c r="F172" s="263" t="n">
        <f aca="false">VLOOKUP(C172,$C$133:$I$153,7,0)</f>
        <v>2508</v>
      </c>
      <c r="G172" s="155" t="n">
        <f aca="false">VLOOKUP(C172,$C$133:$J$153,8,0)</f>
        <v>1</v>
      </c>
      <c r="H172" s="160"/>
      <c r="I172" s="196"/>
      <c r="J172" s="196"/>
    </row>
    <row r="173" s="96" customFormat="true" ht="24.75" hidden="false" customHeight="true" outlineLevel="0" collapsed="false">
      <c r="A173" s="113" t="s">
        <v>396</v>
      </c>
      <c r="B173" s="113"/>
      <c r="C173" s="113"/>
      <c r="D173" s="113"/>
      <c r="E173" s="113"/>
      <c r="F173" s="113"/>
      <c r="G173" s="113"/>
      <c r="H173" s="113"/>
      <c r="I173" s="113"/>
      <c r="J173" s="113"/>
    </row>
    <row r="174" s="96" customFormat="true" ht="34.5" hidden="false" customHeight="true" outlineLevel="0" collapsed="false">
      <c r="A174" s="114" t="s">
        <v>319</v>
      </c>
      <c r="B174" s="115" t="s">
        <v>320</v>
      </c>
      <c r="C174" s="115" t="s">
        <v>168</v>
      </c>
      <c r="D174" s="115" t="s">
        <v>397</v>
      </c>
      <c r="E174" s="115" t="s">
        <v>321</v>
      </c>
      <c r="F174" s="116" t="s">
        <v>398</v>
      </c>
      <c r="G174" s="115" t="s">
        <v>399</v>
      </c>
      <c r="H174" s="116" t="s">
        <v>400</v>
      </c>
      <c r="I174" s="116" t="s">
        <v>401</v>
      </c>
      <c r="J174" s="117" t="s">
        <v>402</v>
      </c>
      <c r="N174" s="107" t="s">
        <v>288</v>
      </c>
      <c r="O174" s="165" t="s">
        <v>320</v>
      </c>
      <c r="P174" s="165" t="s">
        <v>168</v>
      </c>
      <c r="Q174" s="165" t="s">
        <v>397</v>
      </c>
      <c r="R174" s="165" t="s">
        <v>321</v>
      </c>
      <c r="S174" s="165" t="s">
        <v>398</v>
      </c>
      <c r="T174" s="165" t="s">
        <v>399</v>
      </c>
      <c r="U174" s="165" t="s">
        <v>400</v>
      </c>
      <c r="V174" s="165" t="s">
        <v>401</v>
      </c>
      <c r="W174" s="165" t="s">
        <v>402</v>
      </c>
    </row>
    <row r="175" s="96" customFormat="true" ht="18" hidden="false" customHeight="true" outlineLevel="0" collapsed="false">
      <c r="A175" s="166" t="n">
        <f aca="false">IF(B175="","",1)</f>
        <v>1</v>
      </c>
      <c r="B175" s="131" t="s">
        <v>410</v>
      </c>
      <c r="C175" s="131" t="s">
        <v>411</v>
      </c>
      <c r="D175" s="132" t="s">
        <v>267</v>
      </c>
      <c r="E175" s="130"/>
      <c r="F175" s="130" t="s">
        <v>267</v>
      </c>
      <c r="G175" s="130" t="s">
        <v>405</v>
      </c>
      <c r="H175" s="130" t="n">
        <v>16</v>
      </c>
      <c r="I175" s="133"/>
      <c r="J175" s="134" t="n">
        <f aca="false">$J$120*H175</f>
        <v>16</v>
      </c>
      <c r="N175" s="107" t="s">
        <v>406</v>
      </c>
      <c r="O175" s="55" t="s">
        <v>407</v>
      </c>
      <c r="P175" s="62" t="s">
        <v>408</v>
      </c>
      <c r="Q175" s="55" t="s">
        <v>227</v>
      </c>
      <c r="R175" s="158"/>
      <c r="S175" s="158" t="s">
        <v>227</v>
      </c>
      <c r="T175" s="158" t="s">
        <v>409</v>
      </c>
      <c r="U175" s="168" t="n">
        <f aca="false">((($I$141*$G$141)+($I$142*$G$142)+($I$143*$G$143)+($I$144*$G$144)+($I$145*$G$145)+($I$146*$G$146))/1000)*$J$120</f>
        <v>49.536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2</v>
      </c>
      <c r="B176" s="131" t="s">
        <v>415</v>
      </c>
      <c r="C176" s="131" t="s">
        <v>416</v>
      </c>
      <c r="D176" s="132" t="s">
        <v>222</v>
      </c>
      <c r="E176" s="130"/>
      <c r="F176" s="130" t="s">
        <v>222</v>
      </c>
      <c r="G176" s="130" t="s">
        <v>405</v>
      </c>
      <c r="H176" s="130" t="n">
        <v>2</v>
      </c>
      <c r="I176" s="133"/>
      <c r="J176" s="134" t="n">
        <f aca="false">$J$120*H176</f>
        <v>2</v>
      </c>
      <c r="N176" s="107" t="s">
        <v>412</v>
      </c>
      <c r="O176" s="55" t="s">
        <v>413</v>
      </c>
      <c r="P176" s="62" t="s">
        <v>414</v>
      </c>
      <c r="Q176" s="55" t="s">
        <v>234</v>
      </c>
      <c r="R176" s="158"/>
      <c r="S176" s="158" t="s">
        <v>234</v>
      </c>
      <c r="T176" s="158" t="s">
        <v>409</v>
      </c>
      <c r="U176" s="168" t="n">
        <f aca="false">((($I$141*$G$141)+($I$142*$G$142)+($I$143*$G$143)+($I$144*$G$144)+($I$145*$G$145)+($I$146*$G$146))/1000)*$J$120</f>
        <v>49.536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3</v>
      </c>
      <c r="B177" s="131" t="s">
        <v>420</v>
      </c>
      <c r="C177" s="131" t="s">
        <v>421</v>
      </c>
      <c r="D177" s="132" t="s">
        <v>225</v>
      </c>
      <c r="E177" s="130"/>
      <c r="F177" s="130" t="s">
        <v>225</v>
      </c>
      <c r="G177" s="130" t="s">
        <v>405</v>
      </c>
      <c r="H177" s="130" t="n">
        <v>2</v>
      </c>
      <c r="I177" s="133"/>
      <c r="J177" s="134" t="n">
        <f aca="false">$J$120*H177</f>
        <v>2</v>
      </c>
      <c r="N177" s="107" t="s">
        <v>417</v>
      </c>
      <c r="O177" s="62" t="s">
        <v>418</v>
      </c>
      <c r="P177" s="62" t="s">
        <v>419</v>
      </c>
      <c r="Q177" s="55" t="s">
        <v>236</v>
      </c>
      <c r="R177" s="158"/>
      <c r="S177" s="158" t="s">
        <v>236</v>
      </c>
      <c r="T177" s="158" t="s">
        <v>409</v>
      </c>
      <c r="U177" s="168" t="n">
        <f aca="false">((($I$141*$G$141)+($I$142*$G$142)+($I$143*$G$143)+($I$144*$G$144)+($I$145*$G$145)+($I$146*$G$146))/1000)*$J$120</f>
        <v>49.536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4</v>
      </c>
      <c r="B178" s="131" t="s">
        <v>425</v>
      </c>
      <c r="C178" s="131" t="s">
        <v>426</v>
      </c>
      <c r="D178" s="132" t="n">
        <v>9</v>
      </c>
      <c r="E178" s="130"/>
      <c r="F178" s="130" t="n">
        <v>9</v>
      </c>
      <c r="G178" s="130" t="s">
        <v>405</v>
      </c>
      <c r="H178" s="130" t="n">
        <v>8</v>
      </c>
      <c r="I178" s="133"/>
      <c r="J178" s="134" t="n">
        <f aca="false">$J$120*H178</f>
        <v>8</v>
      </c>
      <c r="N178" s="107" t="s">
        <v>422</v>
      </c>
      <c r="O178" s="62" t="s">
        <v>423</v>
      </c>
      <c r="P178" s="62" t="s">
        <v>424</v>
      </c>
      <c r="Q178" s="55" t="s">
        <v>238</v>
      </c>
      <c r="R178" s="158"/>
      <c r="S178" s="158" t="s">
        <v>238</v>
      </c>
      <c r="T178" s="158" t="s">
        <v>409</v>
      </c>
      <c r="U178" s="168" t="n">
        <f aca="false">((($I$141*$G$141)+($I$142*$G$142)+($I$143*$G$143)+($I$144*$G$144)+($I$145*$G$145)+($I$146*$G$146))/1000)*$J$120</f>
        <v>49.536</v>
      </c>
      <c r="V178" s="168" t="n">
        <v>100</v>
      </c>
      <c r="W178" s="169" t="n">
        <f aca="false">ROUNDUP((U178)/100,0)</f>
        <v>1</v>
      </c>
    </row>
    <row r="179" s="96" customFormat="true" ht="18" hidden="false" customHeight="true" outlineLevel="0" collapsed="false">
      <c r="A179" s="170" t="n">
        <f aca="false">IF(B179="","",+A178+1)</f>
        <v>5</v>
      </c>
      <c r="B179" s="131" t="s">
        <v>430</v>
      </c>
      <c r="C179" s="131" t="s">
        <v>431</v>
      </c>
      <c r="D179" s="132" t="n">
        <v>9</v>
      </c>
      <c r="E179" s="130"/>
      <c r="F179" s="130" t="n">
        <v>9</v>
      </c>
      <c r="G179" s="130" t="s">
        <v>405</v>
      </c>
      <c r="H179" s="130" t="n">
        <v>110</v>
      </c>
      <c r="I179" s="133"/>
      <c r="J179" s="134" t="n">
        <f aca="false">$J$120*H179</f>
        <v>110</v>
      </c>
      <c r="N179" s="107" t="s">
        <v>427</v>
      </c>
      <c r="O179" s="62" t="s">
        <v>428</v>
      </c>
      <c r="P179" s="62" t="s">
        <v>429</v>
      </c>
      <c r="Q179" s="55" t="s">
        <v>240</v>
      </c>
      <c r="R179" s="158"/>
      <c r="S179" s="158" t="s">
        <v>240</v>
      </c>
      <c r="T179" s="158" t="s">
        <v>409</v>
      </c>
      <c r="U179" s="168" t="n">
        <f aca="false">((($I$141*$G$141)+($I$142*$G$142)+($I$143*$G$143)+($I$144*$G$144)+($I$145*$G$145)+($I$146*$G$146))/1000)*$J$120</f>
        <v>49.536</v>
      </c>
      <c r="V179" s="168" t="n">
        <v>100</v>
      </c>
      <c r="W179" s="169" t="n">
        <f aca="false">ROUNDUP((U179)/100,0)</f>
        <v>1</v>
      </c>
    </row>
    <row r="180" s="96" customFormat="true" ht="18" hidden="false" customHeight="true" outlineLevel="0" collapsed="false">
      <c r="A180" s="170" t="n">
        <f aca="false">IF(B180="","",+A179+1)</f>
        <v>6</v>
      </c>
      <c r="B180" s="131" t="s">
        <v>603</v>
      </c>
      <c r="C180" s="131" t="s">
        <v>438</v>
      </c>
      <c r="D180" s="132" t="s">
        <v>4</v>
      </c>
      <c r="E180" s="130"/>
      <c r="F180" s="130" t="s">
        <v>4</v>
      </c>
      <c r="G180" s="130" t="s">
        <v>434</v>
      </c>
      <c r="H180" s="130" t="n">
        <v>1</v>
      </c>
      <c r="I180" s="133"/>
      <c r="J180" s="134" t="n">
        <f aca="false">$J$120*H180</f>
        <v>1</v>
      </c>
    </row>
    <row r="181" s="96" customFormat="true" ht="18" hidden="false" customHeight="true" outlineLevel="0" collapsed="false">
      <c r="A181" s="170" t="n">
        <f aca="false">IF(B181="","",+A180+1)</f>
        <v>7</v>
      </c>
      <c r="B181" s="131" t="s">
        <v>556</v>
      </c>
      <c r="C181" s="131" t="s">
        <v>557</v>
      </c>
      <c r="D181" s="132" t="s">
        <v>5</v>
      </c>
      <c r="E181" s="130"/>
      <c r="F181" s="130" t="s">
        <v>5</v>
      </c>
      <c r="G181" s="130" t="s">
        <v>434</v>
      </c>
      <c r="H181" s="130" t="n">
        <v>2</v>
      </c>
      <c r="I181" s="133"/>
      <c r="J181" s="134" t="n">
        <f aca="false">$J$120*H181</f>
        <v>2</v>
      </c>
    </row>
    <row r="182" s="96" customFormat="true" ht="18" hidden="false" customHeight="true" outlineLevel="0" collapsed="false">
      <c r="A182" s="170" t="n">
        <f aca="false">IF(B182="","",+A181+1)</f>
        <v>8</v>
      </c>
      <c r="B182" s="131" t="s">
        <v>432</v>
      </c>
      <c r="C182" s="131" t="s">
        <v>433</v>
      </c>
      <c r="D182" s="132" t="s">
        <v>6</v>
      </c>
      <c r="E182" s="130"/>
      <c r="F182" s="130" t="s">
        <v>6</v>
      </c>
      <c r="G182" s="130" t="s">
        <v>434</v>
      </c>
      <c r="H182" s="130" t="n">
        <v>1</v>
      </c>
      <c r="I182" s="133"/>
      <c r="J182" s="134" t="n">
        <f aca="false">$J$120*H182</f>
        <v>1</v>
      </c>
    </row>
    <row r="183" s="96" customFormat="true" ht="18" hidden="false" customHeight="true" outlineLevel="0" collapsed="false">
      <c r="A183" s="170" t="n">
        <f aca="false">IF(B183="","",+A182+1)</f>
        <v>9</v>
      </c>
      <c r="B183" s="131" t="s">
        <v>512</v>
      </c>
      <c r="C183" s="131" t="s">
        <v>513</v>
      </c>
      <c r="D183" s="132" t="s">
        <v>7</v>
      </c>
      <c r="E183" s="130"/>
      <c r="F183" s="130" t="s">
        <v>7</v>
      </c>
      <c r="G183" s="130" t="s">
        <v>434</v>
      </c>
      <c r="H183" s="130" t="n">
        <v>1</v>
      </c>
      <c r="I183" s="133"/>
      <c r="J183" s="134" t="n">
        <f aca="false">$J$120*H183</f>
        <v>1</v>
      </c>
    </row>
    <row r="184" s="96" customFormat="true" ht="18" hidden="false" customHeight="true" outlineLevel="0" collapsed="false">
      <c r="A184" s="170" t="n">
        <f aca="false">IF(B184="","",+A183+1)</f>
        <v>10</v>
      </c>
      <c r="B184" s="131" t="s">
        <v>554</v>
      </c>
      <c r="C184" s="131" t="s">
        <v>555</v>
      </c>
      <c r="D184" s="132" t="s">
        <v>11</v>
      </c>
      <c r="E184" s="130"/>
      <c r="F184" s="130" t="s">
        <v>11</v>
      </c>
      <c r="G184" s="130" t="s">
        <v>434</v>
      </c>
      <c r="H184" s="130" t="n">
        <v>3</v>
      </c>
      <c r="I184" s="133"/>
      <c r="J184" s="134" t="n">
        <f aca="false">$J$120*H184</f>
        <v>3</v>
      </c>
      <c r="Q184" s="172"/>
      <c r="R184" s="172"/>
      <c r="S184" s="172"/>
      <c r="T184" s="97"/>
      <c r="U184" s="97"/>
      <c r="V184" s="97"/>
    </row>
    <row r="185" s="96" customFormat="true" ht="18" hidden="false" customHeight="true" outlineLevel="0" collapsed="false">
      <c r="A185" s="170" t="n">
        <f aca="false">IF(B185="","",+A184+1)</f>
        <v>11</v>
      </c>
      <c r="B185" s="131" t="s">
        <v>439</v>
      </c>
      <c r="C185" s="131" t="s">
        <v>440</v>
      </c>
      <c r="D185" s="132" t="s">
        <v>12</v>
      </c>
      <c r="E185" s="130"/>
      <c r="F185" s="130" t="s">
        <v>12</v>
      </c>
      <c r="G185" s="130" t="s">
        <v>434</v>
      </c>
      <c r="H185" s="130" t="n">
        <v>3</v>
      </c>
      <c r="I185" s="142"/>
      <c r="J185" s="134" t="n">
        <f aca="false">$J$120*H185</f>
        <v>3</v>
      </c>
      <c r="N185" s="107" t="s">
        <v>289</v>
      </c>
      <c r="O185" s="165" t="s">
        <v>320</v>
      </c>
      <c r="P185" s="165" t="s">
        <v>168</v>
      </c>
      <c r="Q185" s="165" t="s">
        <v>397</v>
      </c>
      <c r="R185" s="165" t="s">
        <v>321</v>
      </c>
      <c r="S185" s="165" t="s">
        <v>398</v>
      </c>
      <c r="T185" s="165" t="s">
        <v>399</v>
      </c>
      <c r="U185" s="165" t="s">
        <v>400</v>
      </c>
      <c r="V185" s="165" t="s">
        <v>401</v>
      </c>
      <c r="W185" s="165" t="s">
        <v>402</v>
      </c>
    </row>
    <row r="186" s="96" customFormat="true" ht="18" hidden="false" customHeight="true" outlineLevel="0" collapsed="false">
      <c r="A186" s="170" t="n">
        <f aca="false">IF(B186="","",+A185+1)</f>
        <v>12</v>
      </c>
      <c r="B186" s="131" t="s">
        <v>540</v>
      </c>
      <c r="C186" s="131" t="s">
        <v>541</v>
      </c>
      <c r="D186" s="132" t="s">
        <v>542</v>
      </c>
      <c r="E186" s="130"/>
      <c r="F186" s="130" t="s">
        <v>542</v>
      </c>
      <c r="G186" s="130" t="s">
        <v>434</v>
      </c>
      <c r="H186" s="130" t="n">
        <v>1</v>
      </c>
      <c r="I186" s="142"/>
      <c r="J186" s="134" t="n">
        <f aca="false">$J$120*H186</f>
        <v>1</v>
      </c>
      <c r="N186" s="107" t="s">
        <v>445</v>
      </c>
      <c r="O186" s="62" t="s">
        <v>446</v>
      </c>
      <c r="P186" s="62" t="s">
        <v>447</v>
      </c>
      <c r="Q186" s="55" t="s">
        <v>230</v>
      </c>
      <c r="R186" s="158"/>
      <c r="S186" s="158" t="s">
        <v>230</v>
      </c>
      <c r="T186" s="158" t="s">
        <v>409</v>
      </c>
      <c r="U186" s="168" t="n">
        <f aca="false">((($I$134*$G$134)+($I$136*$G$136)+($I$139*$G$139))/1000)*$J$120</f>
        <v>11.958</v>
      </c>
      <c r="V186" s="168" t="n">
        <v>300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13</v>
      </c>
      <c r="B187" s="131" t="s">
        <v>441</v>
      </c>
      <c r="C187" s="131" t="s">
        <v>442</v>
      </c>
      <c r="D187" s="132" t="s">
        <v>274</v>
      </c>
      <c r="E187" s="130"/>
      <c r="F187" s="130" t="s">
        <v>274</v>
      </c>
      <c r="G187" s="130" t="s">
        <v>405</v>
      </c>
      <c r="H187" s="130" t="n">
        <v>6</v>
      </c>
      <c r="I187" s="133"/>
      <c r="J187" s="134" t="n">
        <f aca="false">$J$120*H187</f>
        <v>6</v>
      </c>
      <c r="N187" s="107" t="s">
        <v>448</v>
      </c>
      <c r="O187" s="62" t="s">
        <v>449</v>
      </c>
      <c r="P187" s="62" t="s">
        <v>450</v>
      </c>
      <c r="Q187" s="55" t="s">
        <v>451</v>
      </c>
      <c r="R187" s="158"/>
      <c r="S187" s="158" t="s">
        <v>451</v>
      </c>
      <c r="T187" s="158" t="s">
        <v>409</v>
      </c>
      <c r="U187" s="168" t="n">
        <f aca="false">((($I$134*$G$134)+($I$136*$G$136)+($I$139*$G$139))/1000)*$J$120</f>
        <v>11.958</v>
      </c>
      <c r="V187" s="168" t="n">
        <v>100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14</v>
      </c>
      <c r="B188" s="131" t="s">
        <v>443</v>
      </c>
      <c r="C188" s="131" t="s">
        <v>444</v>
      </c>
      <c r="D188" s="132" t="s">
        <v>272</v>
      </c>
      <c r="E188" s="130"/>
      <c r="F188" s="130" t="s">
        <v>272</v>
      </c>
      <c r="G188" s="130" t="s">
        <v>405</v>
      </c>
      <c r="H188" s="130" t="n">
        <v>1</v>
      </c>
      <c r="I188" s="133"/>
      <c r="J188" s="134" t="n">
        <f aca="false">$J$120*H188</f>
        <v>1</v>
      </c>
      <c r="N188" s="107" t="s">
        <v>445</v>
      </c>
      <c r="O188" s="62" t="s">
        <v>452</v>
      </c>
      <c r="P188" s="62" t="s">
        <v>453</v>
      </c>
      <c r="Q188" s="55" t="s">
        <v>232</v>
      </c>
      <c r="R188" s="158"/>
      <c r="S188" s="158" t="s">
        <v>232</v>
      </c>
      <c r="T188" s="158" t="s">
        <v>409</v>
      </c>
      <c r="U188" s="168" t="n">
        <f aca="false">((($I$141*$G$141*2)+($I$143*$G$143*2)+($I$144*$G$144*2))/1000)*$J$120</f>
        <v>79.632</v>
      </c>
      <c r="V188" s="168" t="n">
        <v>350</v>
      </c>
      <c r="W188" s="169" t="n">
        <f aca="false">ROUNDUP((U188)/V188,0)</f>
        <v>1</v>
      </c>
    </row>
    <row r="189" s="96" customFormat="true" ht="18" hidden="false" customHeight="true" outlineLevel="0" collapsed="false">
      <c r="A189" s="170" t="n">
        <f aca="false">IF(B189="","",+A188+1)</f>
        <v>15</v>
      </c>
      <c r="B189" s="131" t="s">
        <v>403</v>
      </c>
      <c r="C189" s="131" t="s">
        <v>404</v>
      </c>
      <c r="D189" s="132" t="s">
        <v>576</v>
      </c>
      <c r="E189" s="130"/>
      <c r="F189" s="130" t="s">
        <v>576</v>
      </c>
      <c r="G189" s="130" t="s">
        <v>405</v>
      </c>
      <c r="H189" s="130" t="n">
        <v>1</v>
      </c>
      <c r="I189" s="133"/>
      <c r="J189" s="134" t="n">
        <f aca="false">$J$120*H189</f>
        <v>1</v>
      </c>
      <c r="N189" s="107" t="s">
        <v>448</v>
      </c>
      <c r="O189" s="62" t="s">
        <v>454</v>
      </c>
      <c r="P189" s="62" t="s">
        <v>455</v>
      </c>
      <c r="Q189" s="55" t="s">
        <v>456</v>
      </c>
      <c r="R189" s="158"/>
      <c r="S189" s="158" t="s">
        <v>456</v>
      </c>
      <c r="T189" s="158" t="s">
        <v>409</v>
      </c>
      <c r="U189" s="168" t="n">
        <f aca="false">((($I$141*$G$141*2)+($I$143*$G$143*2)+($I$144*$G$144*2))/1000)*$J$120</f>
        <v>79.632</v>
      </c>
      <c r="V189" s="168" t="n">
        <v>100</v>
      </c>
      <c r="W189" s="169" t="n">
        <f aca="false">ROUNDUP((U189)/V189,0)</f>
        <v>1</v>
      </c>
    </row>
    <row r="190" s="96" customFormat="true" ht="18" hidden="false" customHeight="true" outlineLevel="0" collapsed="false">
      <c r="A190" s="170" t="n">
        <f aca="false">IF(B190="","",+A189+1)</f>
        <v>16</v>
      </c>
      <c r="B190" s="131" t="s">
        <v>403</v>
      </c>
      <c r="C190" s="131" t="s">
        <v>404</v>
      </c>
      <c r="D190" s="132" t="s">
        <v>276</v>
      </c>
      <c r="E190" s="130"/>
      <c r="F190" s="130" t="s">
        <v>276</v>
      </c>
      <c r="G190" s="130" t="s">
        <v>405</v>
      </c>
      <c r="H190" s="130" t="n">
        <v>3</v>
      </c>
      <c r="I190" s="133"/>
      <c r="J190" s="134" t="n">
        <f aca="false">$J$120*H190</f>
        <v>3</v>
      </c>
    </row>
    <row r="191" s="96" customFormat="true" ht="18" hidden="false" customHeight="true" outlineLevel="0" collapsed="false">
      <c r="A191" s="170" t="n">
        <f aca="false">IF(B191="","",+A190+1)</f>
        <v>17</v>
      </c>
      <c r="B191" s="131" t="s">
        <v>577</v>
      </c>
      <c r="C191" s="131" t="s">
        <v>578</v>
      </c>
      <c r="D191" s="132" t="s">
        <v>215</v>
      </c>
      <c r="E191" s="130"/>
      <c r="F191" s="130" t="s">
        <v>215</v>
      </c>
      <c r="G191" s="130" t="s">
        <v>434</v>
      </c>
      <c r="H191" s="130" t="n">
        <v>1</v>
      </c>
      <c r="I191" s="133"/>
      <c r="J191" s="134" t="n">
        <f aca="false">$J$120*H191</f>
        <v>1</v>
      </c>
    </row>
    <row r="192" s="96" customFormat="true" ht="18" hidden="false" customHeight="true" outlineLevel="0" collapsed="false">
      <c r="A192" s="170" t="n">
        <f aca="false">IF(B192="","",+A191+1)</f>
        <v>18</v>
      </c>
      <c r="B192" s="131" t="s">
        <v>579</v>
      </c>
      <c r="C192" s="131" t="s">
        <v>578</v>
      </c>
      <c r="D192" s="132" t="s">
        <v>220</v>
      </c>
      <c r="E192" s="130"/>
      <c r="F192" s="130" t="s">
        <v>220</v>
      </c>
      <c r="G192" s="130" t="s">
        <v>434</v>
      </c>
      <c r="H192" s="130" t="n">
        <v>1</v>
      </c>
      <c r="I192" s="133"/>
      <c r="J192" s="134" t="n">
        <f aca="false">$J$120*H192</f>
        <v>1</v>
      </c>
    </row>
    <row r="193" s="96" customFormat="true" ht="18" hidden="false" customHeight="true" outlineLevel="0" collapsed="false">
      <c r="A193" s="170" t="n">
        <f aca="false">IF(B193="","",+A192+1)</f>
        <v>19</v>
      </c>
      <c r="B193" s="131" t="s">
        <v>580</v>
      </c>
      <c r="C193" s="131" t="s">
        <v>581</v>
      </c>
      <c r="D193" s="132" t="s">
        <v>582</v>
      </c>
      <c r="E193" s="130"/>
      <c r="F193" s="130" t="s">
        <v>582</v>
      </c>
      <c r="G193" s="130" t="s">
        <v>409</v>
      </c>
      <c r="H193" s="173" t="n">
        <f aca="false">((($I$149*$G$149)+($I$150*$G$150))/1000)*$J$120</f>
        <v>5.016</v>
      </c>
      <c r="I193" s="174" t="n">
        <v>100</v>
      </c>
      <c r="J193" s="177" t="n">
        <f aca="false">ROUNDUP((H193)/100,0)</f>
        <v>1</v>
      </c>
    </row>
    <row r="194" s="96" customFormat="true" ht="18" hidden="false" customHeight="true" outlineLevel="0" collapsed="false">
      <c r="A194" s="170" t="n">
        <f aca="false">IF(B194="","",+A193+1)</f>
        <v>20</v>
      </c>
      <c r="B194" s="131" t="s">
        <v>583</v>
      </c>
      <c r="C194" s="131" t="s">
        <v>584</v>
      </c>
      <c r="D194" s="132" t="s">
        <v>585</v>
      </c>
      <c r="E194" s="130"/>
      <c r="F194" s="130" t="s">
        <v>585</v>
      </c>
      <c r="G194" s="130" t="s">
        <v>409</v>
      </c>
      <c r="H194" s="173" t="n">
        <f aca="false">((($I$146*$G$146)+($I$144*$G$144))/1000)*$J$120</f>
        <v>7.524</v>
      </c>
      <c r="I194" s="174" t="n">
        <v>100</v>
      </c>
      <c r="J194" s="177" t="n">
        <f aca="false">ROUNDUP((H194)/100,0)</f>
        <v>1</v>
      </c>
    </row>
    <row r="195" customFormat="false" ht="18" hidden="false" customHeight="true" outlineLevel="0" collapsed="false">
      <c r="A195" s="170" t="n">
        <f aca="false">IF(B195="","",+A194+1)</f>
        <v>21</v>
      </c>
      <c r="B195" s="132" t="str">
        <f aca="false">IF($D$129="Standard",$O$186,IF($D$129="Soumdproof",$O$187,))</f>
        <v>ยางเฟรมกันน้ำ (ธรรมดา)</v>
      </c>
      <c r="C195" s="132" t="str">
        <f aca="false">IF($D$129="Standard",$P$186,IF($D$129="Soumdproof",$P$187,))</f>
        <v>FRAME SEAL (Standard)</v>
      </c>
      <c r="D195" s="132" t="str">
        <f aca="false">IF($D$129="Standard",$Q$186,IF($D$129="Soumdproof",$Q$187,))</f>
        <v>02-026</v>
      </c>
      <c r="E195" s="130" t="n">
        <f aca="false">IF($D$129="Standard",R191,IF($D$129="Soumdproof",R192,))</f>
        <v>0</v>
      </c>
      <c r="F195" s="130" t="str">
        <f aca="false">IF($D$129="Standard",$S$186,IF($D$129="Soumdproof",$S$187,))</f>
        <v>02-026</v>
      </c>
      <c r="G195" s="130" t="str">
        <f aca="false">IF($D$129="Standard",$T$186,IF($D$129="Soumdproof",$T$187,))</f>
        <v>M</v>
      </c>
      <c r="H195" s="173" t="n">
        <f aca="false">IF($D$129="Standard",$U$186,IF($D$129="Soumdproof",$U$187,))</f>
        <v>11.958</v>
      </c>
      <c r="I195" s="174" t="n">
        <f aca="false">IF($D$129="Standard",$V$186,IF($D$129="Soumdproof",$V$187,))</f>
        <v>300</v>
      </c>
      <c r="J195" s="177" t="n">
        <f aca="false">ROUNDUP((H195)/100,0)</f>
        <v>1</v>
      </c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</row>
    <row r="196" s="96" customFormat="true" ht="18" hidden="false" customHeight="true" outlineLevel="0" collapsed="false">
      <c r="A196" s="170" t="n">
        <f aca="false">IF(B196="","",+A195+1)</f>
        <v>22</v>
      </c>
      <c r="B196" s="132" t="str">
        <f aca="false">IF($D$129="Standard",$O$188,IF($D$129="Soumdproof",$O$189,))</f>
        <v>ยางแซชกันน้ำ (ธรรมดา)</v>
      </c>
      <c r="C196" s="132" t="str">
        <f aca="false">IF($D$129="Standard",$P$188,IF($D$129="Soumdproof",$P$189,))</f>
        <v>SASH SEAL FOAM (Standard)</v>
      </c>
      <c r="D196" s="132" t="str">
        <f aca="false">IF($D$129="Standard",$Q$188,IF($D$129="Soumdproof",$Q$189,))</f>
        <v>02-031</v>
      </c>
      <c r="E196" s="130" t="n">
        <f aca="false">IF($D$129="Standard",R193,IF($D$129="Soumdproof",R194,))</f>
        <v>0</v>
      </c>
      <c r="F196" s="130" t="str">
        <f aca="false">IF($D$129="Standard",$S$188,IF($D$129="Soumdproof",$S$189,))</f>
        <v>02-031</v>
      </c>
      <c r="G196" s="130" t="str">
        <f aca="false">IF($D$129="Standard",$T$188,IF($D$129="Soumdproof",$T$189,))</f>
        <v>M</v>
      </c>
      <c r="H196" s="173" t="n">
        <f aca="false">IF($D$129="Standard",$U$188,IF($D$129="Soumdproof",$U$189,))</f>
        <v>79.632</v>
      </c>
      <c r="I196" s="174" t="n">
        <f aca="false">IF($D$129="Standard",$V$188,IF($D$129="Soumdproof",$V$189,))</f>
        <v>350</v>
      </c>
      <c r="J196" s="177" t="n">
        <f aca="false">ROUNDUP((H196)/100,0)</f>
        <v>1</v>
      </c>
    </row>
    <row r="197" s="96" customFormat="true" ht="18" hidden="false" customHeight="true" outlineLevel="0" collapsed="false">
      <c r="A197" s="170" t="n">
        <f aca="false">IF(B197="","",+A196+1)</f>
        <v>23</v>
      </c>
      <c r="B197" s="176" t="str">
        <f aca="false">IF($D$127=5,$O$177,IF($D$127=6,$O$178,IF($D$127=8,$O$179,IF($D$127=10,$O$177,IF($D$127=12,$O$177,IF($D$127=14,$O$179,IF($D$127=18,$O$177,IF($D$127=20,$O$178,IF($D$127=22,"")))))))))</f>
        <v>6,20 mm ยางอัดกระจก</v>
      </c>
      <c r="C197" s="176" t="str">
        <f aca="false">IF($D$127=5,$P$177,IF($D$127=6,$P$178,IF($D$127=8,$P$179,IF($D$127=10,$P$177,IF($D$127=12,$P$177,IF($D$127=14,$P$179,IF($D$127=18,$P$177,IF($D$127=20,$P$178,IF($D$127=22,"")))))))))</f>
        <v>6,20 mm ROLL IN WEDGE</v>
      </c>
      <c r="D197" s="176" t="str">
        <f aca="false">IF($D$127=5,$Q$177,IF($D$127=6,$Q$178,IF($D$127=8,$Q$179,IF($D$127=10,$Q$177,IF($D$127=12,$Q$177,IF($D$127=14,$Q$179,IF($D$127=18,$Q$177,IF($D$127=20,$Q$178,IF($D$127=22,"")))))))))</f>
        <v>02-034</v>
      </c>
      <c r="E197" s="176" t="n">
        <f aca="false">IF($D$127=5,R182,IF($D$127=6,R183,IF($D$127=8,R184,IF($D$127=10,R182,IF($D$127=12,R182,IF($D$127=14,R184,IF($D$127=18,R182,IF($D$127=20,R183,IF($D$127=22,"",)))))))))</f>
        <v>0</v>
      </c>
      <c r="F197" s="167" t="str">
        <f aca="false">IF($D$127=5,$S$177,IF($D$127=6,$S$178,IF($D$127=8,$S$179,IF($D$127=10,$S$177,IF($D$127=12,$S$177,IF($D$127=14,$S$179,IF($D$127=18,$S$177,IF($D$127=20,$S$178,IF($D$127=22,"")))))))))</f>
        <v>02-034</v>
      </c>
      <c r="G197" s="167" t="str">
        <f aca="false">IF($D$127=5,$T$177,IF($D$127=6,$T$178,IF($D$127=8,$T$179,IF($D$127=10,$T$177,IF($D$127=12,$T$177,IF($D$127=14,$T$179,IF($D$127=18,$T$177,IF($D$127=20,$T$178,IF($D$127=22,"")))))))))</f>
        <v>M</v>
      </c>
      <c r="H197" s="173" t="n">
        <f aca="false">IF($D$127=5,$U$177,IF($D$127=6,$U$178,IF($D$127=8,$U$179,IF($D$127=10,$U$177*2,IF($D$127=12,$U$177,IF($D$127=14,$U$179*2,IF($D$127=18,$U$177,IF($D$127=20,$U$178,IF($D$127=22,"")))))))))</f>
        <v>49.536</v>
      </c>
      <c r="I197" s="174" t="n">
        <f aca="false">IF($D$127=5,$V$177,IF($D$127=6,$V$178,IF($D$127=8,$V$179,IF($D$127=10,$V$177,IF($D$127=12,$V$177,IF($D$127=14,$V$179,IF($D$127=18,$V$177,IF($D$127=20,$V$178,IF($D$127=22,"")))))))))</f>
        <v>100</v>
      </c>
      <c r="J197" s="177" t="n">
        <f aca="false">ROUNDUP((H197)/100,0)</f>
        <v>1</v>
      </c>
    </row>
    <row r="198" s="96" customFormat="true" ht="18" hidden="false" customHeight="true" outlineLevel="0" collapsed="false">
      <c r="A198" s="170" t="n">
        <f aca="false">IF(B198="","",+A197+1)</f>
        <v>24</v>
      </c>
      <c r="B198" s="176" t="str">
        <f aca="false">IF($D$127=5,$O$175,IF($D$127=6,$O$175,IF($D$127=8,$O$177,IF($D$127=10,"",IF($D$127=12,$O$176,IF($D$127=14,"",IF($D$127=18,$O$175,IF($D$127=20,$O$176,IF($D$127=22,"",)))))))))</f>
        <v>5,6,18 mm ยางรองกระจก</v>
      </c>
      <c r="C198" s="176" t="str">
        <f aca="false">IF($D$127=5,$P$175,IF($D$127=6,$P$175,IF($D$127=8,$P$177,IF($D$127=10,"",IF($D$127=12,$P$176,IF($D$127=14,"",IF($D$127=18,$P$175,IF($D$127=20,$P$176,IF($D$127=22,"",)))))))))</f>
        <v>5,6,18 mm CAPTIVE WEDGE</v>
      </c>
      <c r="D198" s="176" t="str">
        <f aca="false">IF($D$127=5,$Q$175,IF($D$127=6,$Q$175,IF($D$127=8,$Q$177,IF($D$127=10,"",IF($D$127=12,$Q$176,IF($D$127=14,"",IF($D$127=18,$Q$175,IF($D$127=20,$Q$176,IF($D$127=22,"",)))))))))</f>
        <v>02-022</v>
      </c>
      <c r="E198" s="176" t="n">
        <f aca="false">IF($D$127=5,R180,IF($D$127=6,R180,IF($D$127=8,R182,IF($D$127=10,"",IF($D$127=12,R181,IF($D$127=14,"",IF($D$127=18,R180,IF($D$127=20,R181,IF($D$127=22,"",)))))))))</f>
        <v>0</v>
      </c>
      <c r="F198" s="167" t="str">
        <f aca="false">IF($D$127=5,$S$175,IF($D$127=6,$S$175,IF($D$127=8,$S$177,IF($D$127=10,"",IF($D$127=12,$S$176,IF($D$127=14,"",IF($D$127=18,$S$175,IF($D$127=20,$S$176,IF($D$127=22,"",)))))))))</f>
        <v>02-022</v>
      </c>
      <c r="G198" s="167" t="str">
        <f aca="false">IF($D$127=5,$T$175,IF($D$127=6,$T$175,IF($D$127=8,$T$177,IF($D$127=10,"",IF($D$127=12,$T$176,IF($D$127=14,"",IF($D$127=18,$T$175,IF($D$127=20,$T$176,IF($D$127=22,"",)))))))))</f>
        <v>M</v>
      </c>
      <c r="H198" s="173" t="n">
        <f aca="false">IF($D$127=5,$U$175,IF($D$127=6,$U$175,IF($D$127=8,$U$177,IF($D$127=10,"",IF($D$127=12,$U$176,IF($D$127=14,"",IF($D$127=18,$U$175,IF($D$127=20,$U$176,IF($D$127=22,"")))))))))</f>
        <v>49.536</v>
      </c>
      <c r="I198" s="174" t="n">
        <f aca="false">IF($D$127=5,$V$175,IF($D$127=6,$V$175,IF($D$127=8,$V$177,IF($D$127=10,"",IF($D$127=12,$V$176,IF($D$127=14,"",IF($D$127=18,$V$175,IF($D$127=20,$V$176,IF($D$127=22,"",)))))))))</f>
        <v>100</v>
      </c>
      <c r="J198" s="177" t="n">
        <f aca="false">ROUNDUP((H198)/100,0)</f>
        <v>1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/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$J$120*H204</f>
        <v>0</v>
      </c>
    </row>
    <row r="205" s="96" customFormat="true" ht="18" hidden="false" customHeight="true" outlineLevel="0" collapsed="false">
      <c r="A205" s="179" t="str">
        <f aca="false">IF(B205="","",+A204+1)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$J$120*H205</f>
        <v>0</v>
      </c>
    </row>
    <row r="206" s="96" customFormat="true" ht="18" hidden="false" customHeight="true" outlineLevel="0" collapsed="false">
      <c r="A206" s="200"/>
      <c r="B206" s="98"/>
      <c r="D206" s="98"/>
      <c r="E206" s="97"/>
      <c r="F206" s="98"/>
      <c r="G206" s="98"/>
      <c r="H206" s="98"/>
      <c r="I206" s="196"/>
      <c r="J206" s="196"/>
    </row>
    <row r="207" customFormat="false" ht="18" hidden="false" customHeight="true" outlineLevel="0" collapsed="false">
      <c r="A207" s="97"/>
      <c r="J207" s="92" t="str">
        <f aca="false">LEFT($J$111,13)&amp;"-02"</f>
        <v>FG-240-8P5L3R-02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458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4740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461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4714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464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4740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97"/>
      <c r="H252" s="97"/>
      <c r="I252" s="196"/>
      <c r="J252" s="196"/>
    </row>
    <row r="253" s="96" customFormat="true" ht="15.75" hidden="false" customHeight="true" outlineLevel="0" collapsed="false">
      <c r="A253" s="191"/>
      <c r="B253" s="191"/>
      <c r="D253" s="192"/>
      <c r="E253" s="191"/>
      <c r="F253" s="191"/>
      <c r="G253" s="97"/>
      <c r="H253" s="97"/>
      <c r="I253" s="196"/>
      <c r="J253" s="196"/>
    </row>
    <row r="254" s="96" customFormat="true" ht="15.75" hidden="false" customHeight="true" outlineLevel="0" collapsed="false">
      <c r="A254" s="190"/>
      <c r="B254" s="190"/>
      <c r="C254" s="184" t="s">
        <v>465</v>
      </c>
      <c r="D254" s="194"/>
      <c r="E254" s="190"/>
      <c r="F254" s="189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459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460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5" t="n">
        <f aca="false">$I$136</f>
        <v>4740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7" t="n">
        <f aca="false">$J$136</f>
        <v>1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C262" s="98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184" t="s">
        <v>466</v>
      </c>
      <c r="D264" s="98"/>
      <c r="E264" s="97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467</v>
      </c>
      <c r="D265" s="181"/>
      <c r="E265" s="181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468</v>
      </c>
      <c r="D266" s="181"/>
      <c r="E266" s="181"/>
      <c r="F266" s="97"/>
      <c r="G266" s="97"/>
      <c r="H266" s="97"/>
      <c r="J266" s="97"/>
    </row>
    <row r="267" s="96" customFormat="true" ht="15.75" hidden="false" customHeight="true" outlineLevel="0" collapsed="false">
      <c r="A267" s="200"/>
      <c r="C267" s="185" t="n">
        <f aca="false">$I$137</f>
        <v>2600</v>
      </c>
      <c r="D267" s="98"/>
      <c r="E267" s="97"/>
      <c r="F267" s="97"/>
      <c r="J267" s="97"/>
    </row>
    <row r="268" s="96" customFormat="true" ht="15.75" hidden="false" customHeight="true" outlineLevel="0" collapsed="false">
      <c r="A268" s="200"/>
      <c r="C268" s="187" t="n">
        <f aca="false">$J$137+$J$138</f>
        <v>2</v>
      </c>
      <c r="D268" s="98"/>
      <c r="E268" s="97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I272" s="196"/>
      <c r="J272" s="196"/>
    </row>
    <row r="273" s="96" customFormat="true" ht="15.75" hidden="false" customHeight="true" outlineLevel="0" collapsed="false">
      <c r="A273" s="200"/>
      <c r="D273" s="98"/>
      <c r="E273" s="97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C274" s="184" t="s">
        <v>469</v>
      </c>
      <c r="D274" s="201"/>
      <c r="E274" s="196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1" t="s">
        <v>470</v>
      </c>
      <c r="D275" s="181"/>
      <c r="E275" s="181"/>
      <c r="F275" s="97"/>
      <c r="G275" s="97"/>
      <c r="I275" s="97"/>
      <c r="J275" s="196"/>
    </row>
    <row r="276" s="96" customFormat="true" ht="15.75" hidden="false" customHeight="true" outlineLevel="0" collapsed="false">
      <c r="A276" s="200"/>
      <c r="C276" s="181" t="s">
        <v>471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5" t="n">
        <f aca="false">$I$139</f>
        <v>2504</v>
      </c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7" t="n">
        <f aca="false">$J$139+$J$140</f>
        <v>2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F279" s="97"/>
      <c r="G279" s="97"/>
      <c r="H279" s="97"/>
      <c r="J279" s="97"/>
    </row>
    <row r="280" s="96" customFormat="true" ht="15.75" hidden="false" customHeight="true" outlineLevel="0" collapsed="false">
      <c r="A280" s="200"/>
      <c r="D280" s="98"/>
      <c r="E280" s="97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I282" s="201"/>
      <c r="J282" s="196"/>
    </row>
    <row r="283" s="96" customFormat="true" ht="15.75" hidden="false" customHeight="true" outlineLevel="0" collapsed="false">
      <c r="A283" s="200"/>
      <c r="C283" s="184" t="s">
        <v>472</v>
      </c>
      <c r="F283" s="97"/>
      <c r="G283" s="97"/>
      <c r="H283" s="97"/>
      <c r="I283" s="97"/>
      <c r="J283" s="196"/>
    </row>
    <row r="284" s="96" customFormat="true" ht="15.75" hidden="false" customHeight="true" outlineLevel="0" collapsed="false">
      <c r="A284" s="200"/>
      <c r="C284" s="83" t="s">
        <v>742</v>
      </c>
      <c r="D284" s="98"/>
      <c r="E284" s="97"/>
      <c r="F284" s="97"/>
      <c r="G284" s="97"/>
      <c r="H284" s="97"/>
      <c r="I284" s="196"/>
      <c r="J284" s="196"/>
    </row>
    <row r="285" s="96" customFormat="true" ht="15.75" hidden="false" customHeight="true" outlineLevel="0" collapsed="false">
      <c r="A285" s="200"/>
      <c r="C285" s="181" t="s">
        <v>743</v>
      </c>
      <c r="D285" s="98"/>
      <c r="E285" s="97"/>
      <c r="F285" s="97"/>
      <c r="G285" s="97"/>
      <c r="H285" s="97"/>
      <c r="I285" s="196"/>
      <c r="J285" s="196"/>
    </row>
    <row r="286" s="96" customFormat="true" ht="15.75" hidden="false" customHeight="true" outlineLevel="0" collapsed="false">
      <c r="A286" s="200"/>
      <c r="C286" s="181" t="s">
        <v>475</v>
      </c>
      <c r="D286" s="181"/>
      <c r="E286" s="181"/>
      <c r="F286" s="97"/>
      <c r="G286" s="97"/>
      <c r="I286" s="196"/>
      <c r="J286" s="196"/>
    </row>
    <row r="287" s="202" customFormat="true" ht="15.75" hidden="false" customHeight="true" outlineLevel="0" collapsed="false">
      <c r="A287" s="200"/>
      <c r="B287" s="96"/>
      <c r="C287" s="181" t="s">
        <v>476</v>
      </c>
      <c r="D287" s="181"/>
      <c r="E287" s="181"/>
      <c r="F287" s="97"/>
      <c r="G287" s="97"/>
      <c r="H287" s="96"/>
      <c r="I287" s="97"/>
      <c r="J287" s="97"/>
    </row>
    <row r="288" s="96" customFormat="true" ht="15.75" hidden="false" customHeight="true" outlineLevel="0" collapsed="false">
      <c r="A288" s="200"/>
      <c r="C288" s="185" t="n">
        <f aca="false">$I$141</f>
        <v>588</v>
      </c>
      <c r="F288" s="97"/>
      <c r="G288" s="97"/>
      <c r="I288" s="191"/>
      <c r="J288" s="199"/>
    </row>
    <row r="289" s="96" customFormat="true" ht="15.75" hidden="false" customHeight="true" outlineLevel="0" collapsed="false">
      <c r="A289" s="200"/>
      <c r="C289" s="187" t="n">
        <f aca="false">$J$141+$J$142</f>
        <v>16</v>
      </c>
      <c r="D289" s="98"/>
      <c r="E289" s="97"/>
      <c r="F289" s="97"/>
      <c r="G289" s="97"/>
      <c r="H289" s="98"/>
      <c r="I289" s="189"/>
      <c r="J289" s="190"/>
    </row>
    <row r="290" s="96" customFormat="true" ht="15.75" hidden="false" customHeight="true" outlineLevel="0" collapsed="false">
      <c r="A290" s="200"/>
      <c r="C290" s="185" t="n">
        <f aca="false">$I$143</f>
        <v>2508</v>
      </c>
      <c r="D290" s="98"/>
      <c r="E290" s="97"/>
      <c r="F290" s="97"/>
      <c r="G290" s="97"/>
      <c r="H290" s="97"/>
      <c r="I290" s="196"/>
      <c r="J290" s="196"/>
    </row>
    <row r="291" s="96" customFormat="true" ht="15.75" hidden="false" customHeight="true" outlineLevel="0" collapsed="false">
      <c r="A291" s="200"/>
      <c r="C291" s="187" t="n">
        <f aca="false">$J$143+$J$144+$J$145+$J$146</f>
        <v>16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D292" s="98"/>
      <c r="E292" s="97"/>
      <c r="F292" s="97"/>
      <c r="G292" s="97"/>
      <c r="H292" s="97"/>
      <c r="I292" s="97"/>
      <c r="J292" s="196"/>
    </row>
    <row r="293" s="96" customFormat="true" ht="15.75" hidden="false" customHeight="true" outlineLevel="0" collapsed="false">
      <c r="A293" s="200"/>
      <c r="C293" s="202"/>
      <c r="D293" s="98"/>
      <c r="E293" s="97"/>
      <c r="F293" s="97"/>
      <c r="G293" s="97"/>
      <c r="H293" s="97"/>
      <c r="I293" s="97"/>
      <c r="J293" s="196"/>
    </row>
    <row r="294" s="96" customFormat="true" ht="15.75" hidden="false" customHeight="true" outlineLevel="0" collapsed="false">
      <c r="A294" s="200"/>
      <c r="C294" s="184" t="s">
        <v>477</v>
      </c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83" t="s">
        <v>742</v>
      </c>
      <c r="D295" s="98"/>
      <c r="E295" s="97"/>
      <c r="F295" s="97"/>
      <c r="G295" s="191"/>
      <c r="H295" s="191"/>
      <c r="I295" s="97"/>
      <c r="J295" s="196"/>
    </row>
    <row r="296" s="96" customFormat="true" ht="15.75" hidden="false" customHeight="true" outlineLevel="0" collapsed="false">
      <c r="A296" s="200"/>
      <c r="C296" s="181" t="s">
        <v>743</v>
      </c>
      <c r="D296" s="181"/>
      <c r="E296" s="181"/>
      <c r="F296" s="97"/>
      <c r="G296" s="190"/>
      <c r="H296" s="189"/>
      <c r="I296" s="97"/>
      <c r="J296" s="196"/>
    </row>
    <row r="297" s="96" customFormat="true" ht="15.75" hidden="false" customHeight="true" outlineLevel="0" collapsed="false">
      <c r="A297" s="107"/>
      <c r="C297" s="181" t="s">
        <v>478</v>
      </c>
      <c r="D297" s="181"/>
      <c r="E297" s="181"/>
      <c r="F297" s="97"/>
      <c r="G297" s="97"/>
      <c r="H297" s="97"/>
      <c r="I297" s="97"/>
      <c r="J297" s="196"/>
    </row>
    <row r="298" s="96" customFormat="true" ht="15.75" hidden="false" customHeight="true" outlineLevel="0" collapsed="false">
      <c r="A298" s="191"/>
      <c r="B298" s="191"/>
      <c r="C298" s="181" t="s">
        <v>479</v>
      </c>
      <c r="D298" s="203"/>
      <c r="E298" s="204"/>
      <c r="F298" s="191"/>
      <c r="G298" s="97"/>
      <c r="H298" s="97"/>
      <c r="I298" s="97"/>
      <c r="J298" s="196"/>
    </row>
    <row r="299" s="96" customFormat="true" ht="15.75" hidden="false" customHeight="true" outlineLevel="0" collapsed="false">
      <c r="A299" s="190"/>
      <c r="B299" s="190"/>
      <c r="C299" s="185" t="n">
        <f aca="false">$I$147</f>
        <v>477.78125</v>
      </c>
      <c r="D299" s="205"/>
      <c r="E299" s="206"/>
      <c r="F299" s="189"/>
      <c r="G299" s="97"/>
      <c r="H299" s="97"/>
      <c r="I299" s="97"/>
      <c r="J299" s="196"/>
    </row>
    <row r="300" s="96" customFormat="true" ht="15.75" hidden="false" customHeight="true" outlineLevel="0" collapsed="false">
      <c r="A300" s="97"/>
      <c r="C300" s="187" t="n">
        <f aca="false">$J$147</f>
        <v>16</v>
      </c>
      <c r="D300" s="98"/>
      <c r="F300" s="97"/>
      <c r="G300" s="97"/>
      <c r="H300" s="97"/>
      <c r="I300" s="97"/>
      <c r="J300" s="196"/>
    </row>
    <row r="301" s="96" customFormat="true" ht="15.75" hidden="false" customHeight="true" outlineLevel="0" collapsed="false">
      <c r="A301" s="97"/>
      <c r="C301" s="185" t="n">
        <f aca="false">$I$148</f>
        <v>2358</v>
      </c>
      <c r="D301" s="98"/>
      <c r="F301" s="97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7" t="n">
        <f aca="false">$J$148</f>
        <v>16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C306" s="184" t="s">
        <v>744</v>
      </c>
      <c r="D306" s="98"/>
      <c r="E306" s="97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1" t="s">
        <v>475</v>
      </c>
      <c r="D307" s="181"/>
      <c r="E307" s="181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249" t="s">
        <v>476</v>
      </c>
      <c r="D308" s="249"/>
      <c r="E308" s="249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5" t="n">
        <f aca="false">$I$149</f>
        <v>2508</v>
      </c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7" t="n">
        <f aca="false">$J$149+$J$150</f>
        <v>2</v>
      </c>
      <c r="D310" s="181"/>
      <c r="E310" s="181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LEFT($J$111,13)&amp;"-03"</f>
        <v>FG-240-8P5L3R-03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A316" s="97"/>
      <c r="B316" s="49"/>
      <c r="C316" s="49"/>
      <c r="D316" s="207"/>
      <c r="E316" s="200"/>
      <c r="F316" s="200"/>
      <c r="G316" s="200"/>
      <c r="H316" s="200"/>
      <c r="I316" s="208"/>
      <c r="J316" s="77" t="str">
        <f aca="false">$J$2</f>
        <v>HOMELIFE</v>
      </c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C325" s="98"/>
      <c r="D325" s="98"/>
      <c r="E325" s="83"/>
      <c r="F325" s="98"/>
      <c r="G325" s="97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240-8 Panel (5L3R)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195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91"/>
      <c r="D405" s="98"/>
      <c r="E405" s="97"/>
      <c r="F405" s="97"/>
      <c r="G405" s="97"/>
      <c r="H405" s="97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LEFT($J$111,13)&amp;"-04"</f>
        <v>FG-240-8P5L3R-04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A423" s="97"/>
      <c r="B423" s="96"/>
      <c r="C423" s="96"/>
      <c r="D423" s="98"/>
      <c r="E423" s="97"/>
      <c r="F423" s="97"/>
      <c r="G423" s="97"/>
      <c r="H423" s="97"/>
      <c r="I423" s="97"/>
      <c r="J423" s="77" t="str">
        <f aca="false">$J$2</f>
        <v>HOMELIFE</v>
      </c>
      <c r="K423" s="78"/>
      <c r="L423" s="78"/>
      <c r="M423" s="79"/>
      <c r="N423" s="79"/>
    </row>
    <row r="424" customFormat="false" ht="24.75" hidden="false" customHeight="true" outlineLevel="0" collapsed="false">
      <c r="A424" s="97"/>
      <c r="B424" s="96"/>
      <c r="C424" s="96"/>
      <c r="D424" s="98"/>
      <c r="E424" s="97"/>
      <c r="F424" s="97"/>
      <c r="G424" s="97"/>
      <c r="H424" s="97"/>
      <c r="I424" s="97"/>
      <c r="J424" s="80" t="str">
        <f aca="false">$J$3</f>
        <v>Fabricators Guide</v>
      </c>
      <c r="K424" s="78"/>
      <c r="L424" s="78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$J$4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240-8 Panel (5L3R)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191"/>
      <c r="C442" s="212"/>
      <c r="D442" s="98"/>
      <c r="E442" s="97"/>
      <c r="F442" s="97"/>
      <c r="H442" s="191"/>
      <c r="I442" s="191"/>
      <c r="J442" s="199"/>
    </row>
    <row r="443" s="96" customFormat="true" ht="15.75" hidden="false" customHeight="true" outlineLevel="0" collapsed="false">
      <c r="A443" s="190"/>
      <c r="C443" s="191"/>
      <c r="D443" s="192"/>
      <c r="E443" s="191"/>
      <c r="F443" s="191"/>
      <c r="H443" s="191"/>
      <c r="I443" s="191"/>
      <c r="J443" s="199"/>
    </row>
    <row r="444" s="96" customFormat="true" ht="34.5" hidden="false" customHeight="true" outlineLevel="0" collapsed="false">
      <c r="A444" s="97"/>
      <c r="C444" s="98"/>
      <c r="D444" s="194"/>
      <c r="E444" s="190"/>
      <c r="F444" s="189"/>
      <c r="H444" s="191"/>
      <c r="I444" s="196"/>
      <c r="J444" s="196"/>
    </row>
    <row r="445" customFormat="false" ht="15" hidden="false" customHeight="true" outlineLevel="0" collapsed="false">
      <c r="B445" s="211"/>
      <c r="C445" s="98"/>
      <c r="D445" s="98"/>
      <c r="E445" s="97"/>
      <c r="F445" s="98"/>
      <c r="G445" s="97"/>
      <c r="H445" s="97"/>
    </row>
    <row r="450" s="96" customFormat="true" ht="15.75" hidden="false" customHeight="true" outlineLevel="0" collapsed="false">
      <c r="A450" s="97"/>
      <c r="D450" s="73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191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97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196"/>
      <c r="J457" s="196"/>
    </row>
    <row r="458" s="96" customFormat="true" ht="15.7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195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202" customFormat="true" ht="15.75" hidden="false" customHeight="true" outlineLevel="0" collapsed="false">
      <c r="A477" s="97"/>
      <c r="B477" s="96"/>
      <c r="C477" s="96"/>
      <c r="D477" s="98"/>
      <c r="E477" s="97"/>
      <c r="F477" s="97"/>
      <c r="G477" s="97"/>
      <c r="H477" s="97"/>
      <c r="I477" s="97"/>
      <c r="J477" s="97"/>
    </row>
    <row r="478" s="96" customFormat="true" ht="15.75" hidden="false" customHeight="true" outlineLevel="0" collapsed="false">
      <c r="A478" s="191"/>
      <c r="D478" s="98"/>
      <c r="E478" s="97"/>
      <c r="F478" s="97"/>
      <c r="G478" s="97"/>
      <c r="H478" s="97"/>
      <c r="I478" s="191"/>
      <c r="J478" s="199"/>
    </row>
    <row r="479" s="96" customFormat="true" ht="15.75" hidden="false" customHeight="true" outlineLevel="0" collapsed="false">
      <c r="A479" s="190"/>
      <c r="B479" s="191"/>
      <c r="C479" s="191"/>
      <c r="D479" s="192"/>
      <c r="E479" s="191"/>
      <c r="F479" s="191"/>
      <c r="G479" s="191"/>
      <c r="H479" s="191"/>
      <c r="I479" s="189"/>
      <c r="J479" s="190"/>
    </row>
    <row r="480" s="96" customFormat="true" ht="15.75" hidden="false" customHeight="true" outlineLevel="0" collapsed="false">
      <c r="A480" s="200"/>
      <c r="B480" s="190"/>
      <c r="C480" s="191"/>
      <c r="D480" s="194"/>
      <c r="E480" s="190"/>
      <c r="F480" s="189"/>
      <c r="G480" s="190"/>
      <c r="H480" s="189"/>
      <c r="I480" s="196"/>
      <c r="J480" s="196"/>
    </row>
    <row r="481" s="96" customFormat="true" ht="15.75" hidden="false" customHeight="true" outlineLevel="0" collapsed="false">
      <c r="A481" s="200"/>
      <c r="C481" s="182"/>
      <c r="D481" s="98"/>
      <c r="E481" s="97"/>
      <c r="F481" s="97"/>
      <c r="G481" s="97"/>
      <c r="H481" s="182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C487" s="98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182"/>
      <c r="J499" s="97"/>
    </row>
    <row r="500" s="96" customFormat="true" ht="15.75" hidden="false" customHeight="true" outlineLevel="0" collapsed="false">
      <c r="A500" s="200"/>
      <c r="C500" s="188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I501" s="196"/>
      <c r="J501" s="196"/>
    </row>
    <row r="502" s="96" customFormat="true" ht="15.75" hidden="false" customHeight="true" outlineLevel="0" collapsed="false">
      <c r="A502" s="200"/>
      <c r="C502" s="98"/>
      <c r="D502" s="98"/>
      <c r="E502" s="97"/>
      <c r="F502" s="97"/>
      <c r="G502" s="97"/>
      <c r="H502" s="182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212"/>
      <c r="J511" s="195"/>
    </row>
    <row r="512" s="96" customFormat="true" ht="15.75" hidden="false" customHeight="true" outlineLevel="0" collapsed="false">
      <c r="A512" s="191"/>
      <c r="B512" s="191"/>
      <c r="C512" s="191"/>
      <c r="D512" s="192"/>
      <c r="E512" s="191"/>
      <c r="F512" s="191"/>
      <c r="G512" s="191"/>
      <c r="H512" s="191"/>
      <c r="I512" s="191"/>
      <c r="J512" s="199"/>
    </row>
    <row r="513" s="96" customFormat="true" ht="15.75" hidden="false" customHeight="true" outlineLevel="0" collapsed="false">
      <c r="A513" s="191"/>
      <c r="B513" s="191"/>
      <c r="C513" s="191"/>
      <c r="D513" s="192"/>
      <c r="E513" s="191"/>
      <c r="F513" s="191"/>
      <c r="G513" s="191"/>
      <c r="H513" s="191"/>
      <c r="I513" s="191"/>
      <c r="J513" s="199"/>
    </row>
    <row r="514" s="96" customFormat="true" ht="15.75" hidden="false" customHeight="true" outlineLevel="0" collapsed="false">
      <c r="A514" s="191"/>
      <c r="B514" s="191"/>
      <c r="C514" s="191"/>
      <c r="D514" s="192"/>
      <c r="E514" s="191"/>
      <c r="F514" s="191"/>
      <c r="G514" s="191"/>
      <c r="H514" s="191"/>
      <c r="I514" s="191"/>
      <c r="J514" s="199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B516" s="191"/>
      <c r="C516" s="191"/>
      <c r="D516" s="192"/>
      <c r="E516" s="191"/>
      <c r="F516" s="191"/>
      <c r="G516" s="191"/>
      <c r="H516" s="191"/>
    </row>
    <row r="517" s="96" customFormat="true" ht="15.75" hidden="false" customHeight="true" outlineLevel="0" collapsed="false"/>
    <row r="518" s="96" customFormat="true" ht="24.75" hidden="false" customHeight="true" outlineLevel="0" collapsed="false">
      <c r="A518" s="88" t="s">
        <v>482</v>
      </c>
      <c r="B518" s="88"/>
      <c r="C518" s="88"/>
      <c r="D518" s="88"/>
      <c r="E518" s="88"/>
      <c r="F518" s="88"/>
      <c r="G518" s="88"/>
      <c r="H518" s="88"/>
      <c r="I518" s="88"/>
      <c r="J518" s="88"/>
    </row>
    <row r="519" s="96" customFormat="true" ht="34.5" hidden="false" customHeight="true" outlineLevel="0" collapsed="false">
      <c r="A519" s="114" t="s">
        <v>319</v>
      </c>
      <c r="B519" s="115" t="s">
        <v>168</v>
      </c>
      <c r="C519" s="115" t="s">
        <v>168</v>
      </c>
      <c r="D519" s="116" t="s">
        <v>483</v>
      </c>
      <c r="E519" s="115" t="s">
        <v>321</v>
      </c>
      <c r="F519" s="239" t="s">
        <v>484</v>
      </c>
      <c r="G519" s="240"/>
      <c r="H519" s="116" t="s">
        <v>484</v>
      </c>
      <c r="I519" s="116" t="s">
        <v>485</v>
      </c>
      <c r="J519" s="117" t="s">
        <v>323</v>
      </c>
      <c r="N519" s="118" t="s">
        <v>168</v>
      </c>
      <c r="O519" s="118" t="s">
        <v>168</v>
      </c>
    </row>
    <row r="520" s="96" customFormat="true" ht="15.75" hidden="false" customHeight="true" outlineLevel="0" collapsed="false">
      <c r="A520" s="120" t="n">
        <f aca="false">IF(C520="","",1)</f>
        <v>1</v>
      </c>
      <c r="B520" s="121" t="str">
        <f aca="false"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 aca="false">IF($D$127=5,O520,IF($D$127=6,O521,IF($D$127=8,O522,IF($D$127=10,O523,IF($D$127=12,O524,IF($D$127=14,O525,IF($D$127=18,O526,IF($D$127=20,O527,IF($D$127=22,O528,)))))))))</f>
        <v>GLASS thk.6 mm (H) (W)</v>
      </c>
      <c r="D520" s="123" t="n">
        <f aca="false">$J$123-215</f>
        <v>2385</v>
      </c>
      <c r="E520" s="120" t="s">
        <v>486</v>
      </c>
      <c r="F520" s="224" t="s">
        <v>487</v>
      </c>
      <c r="G520" s="224"/>
      <c r="H520" s="120" t="s">
        <v>745</v>
      </c>
      <c r="I520" s="225" t="n">
        <f aca="false">(($J$126-185-(113.25*7))/8)-13</f>
        <v>464.78125</v>
      </c>
      <c r="J520" s="226" t="n">
        <f aca="false">$J$120*8</f>
        <v>8</v>
      </c>
      <c r="M520" s="96" t="n">
        <f aca="false">ROW()</f>
        <v>520</v>
      </c>
      <c r="N520" s="62" t="s">
        <v>489</v>
      </c>
      <c r="O520" s="62" t="s">
        <v>490</v>
      </c>
    </row>
    <row r="521" s="96" customFormat="true" ht="15.75" hidden="false" customHeight="true" outlineLevel="0" collapsed="false">
      <c r="A521" s="269"/>
      <c r="B521" s="228"/>
      <c r="C521" s="228"/>
      <c r="D521" s="176"/>
      <c r="E521" s="167"/>
      <c r="F521" s="229"/>
      <c r="G521" s="230"/>
      <c r="H521" s="167"/>
      <c r="I521" s="231"/>
      <c r="J521" s="232"/>
      <c r="M521" s="96" t="n">
        <f aca="false">ROW()</f>
        <v>521</v>
      </c>
      <c r="N521" s="62" t="s">
        <v>491</v>
      </c>
      <c r="O521" s="62" t="s">
        <v>492</v>
      </c>
    </row>
    <row r="522" s="96" customFormat="true" ht="15.75" hidden="false" customHeight="true" outlineLevel="0" collapsed="false">
      <c r="A522" s="269"/>
      <c r="B522" s="228"/>
      <c r="C522" s="228"/>
      <c r="D522" s="176"/>
      <c r="E522" s="167"/>
      <c r="F522" s="229"/>
      <c r="G522" s="230"/>
      <c r="H522" s="167"/>
      <c r="I522" s="231"/>
      <c r="J522" s="232"/>
      <c r="M522" s="96" t="n">
        <f aca="false">ROW()</f>
        <v>522</v>
      </c>
      <c r="N522" s="62" t="s">
        <v>493</v>
      </c>
      <c r="O522" s="62" t="s">
        <v>494</v>
      </c>
    </row>
    <row r="523" s="96" customFormat="true" ht="15.75" hidden="false" customHeight="true" outlineLevel="0" collapsed="false">
      <c r="A523" s="130" t="str">
        <f aca="false">IF(B523="","",+""+1)</f>
        <v/>
      </c>
      <c r="B523" s="131"/>
      <c r="C523" s="131"/>
      <c r="D523" s="132"/>
      <c r="E523" s="130"/>
      <c r="F523" s="233"/>
      <c r="G523" s="270"/>
      <c r="H523" s="130"/>
      <c r="I523" s="142"/>
      <c r="J523" s="133"/>
      <c r="M523" s="96" t="n">
        <f aca="false">ROW()</f>
        <v>523</v>
      </c>
      <c r="N523" s="62" t="s">
        <v>495</v>
      </c>
      <c r="O523" s="62" t="s">
        <v>496</v>
      </c>
    </row>
    <row r="524" s="96" customFormat="true" ht="15.75" hidden="false" customHeight="true" outlineLevel="0" collapsed="false">
      <c r="A524" s="136" t="str">
        <f aca="false">IF(B524="","",+A523+1)</f>
        <v/>
      </c>
      <c r="B524" s="135"/>
      <c r="C524" s="135"/>
      <c r="D524" s="139"/>
      <c r="E524" s="136"/>
      <c r="F524" s="236"/>
      <c r="G524" s="237"/>
      <c r="H524" s="136"/>
      <c r="I524" s="180"/>
      <c r="J524" s="140"/>
      <c r="M524" s="96" t="n">
        <f aca="false">ROW()</f>
        <v>524</v>
      </c>
      <c r="N524" s="62" t="s">
        <v>497</v>
      </c>
      <c r="O524" s="62" t="s">
        <v>498</v>
      </c>
    </row>
    <row r="525" s="96" customFormat="true" ht="15.75" hidden="false" customHeight="true" outlineLevel="0" collapsed="false">
      <c r="A525" s="97"/>
      <c r="D525" s="98"/>
      <c r="E525" s="97"/>
      <c r="F525" s="97"/>
      <c r="G525" s="97"/>
      <c r="H525" s="97"/>
      <c r="I525" s="97"/>
      <c r="J525" s="196"/>
      <c r="M525" s="96" t="n">
        <f aca="false">ROW()</f>
        <v>525</v>
      </c>
      <c r="N525" s="62" t="s">
        <v>499</v>
      </c>
      <c r="O525" s="62" t="s">
        <v>500</v>
      </c>
    </row>
    <row r="526" customFormat="false" ht="14.25" hidden="false" customHeight="false" outlineLevel="0" collapsed="false">
      <c r="J526" s="92" t="str">
        <f aca="false">LEFT($J$111,13)&amp;"-05"</f>
        <v>FG-240-8P5L3R-05</v>
      </c>
      <c r="M526" s="96" t="n">
        <f aca="false">ROW()</f>
        <v>526</v>
      </c>
      <c r="N526" s="62" t="s">
        <v>501</v>
      </c>
      <c r="O526" s="62" t="s">
        <v>502</v>
      </c>
      <c r="P526" s="96"/>
      <c r="Q526" s="96"/>
      <c r="R526" s="96"/>
      <c r="S526" s="96"/>
      <c r="T526" s="96"/>
      <c r="U526" s="96"/>
      <c r="V526" s="96"/>
    </row>
    <row r="527" customFormat="false" ht="14.25" hidden="false" customHeight="false" outlineLevel="0" collapsed="false">
      <c r="M527" s="96" t="n">
        <f aca="false">ROW()</f>
        <v>527</v>
      </c>
      <c r="N527" s="62" t="s">
        <v>503</v>
      </c>
      <c r="O527" s="62" t="s">
        <v>504</v>
      </c>
      <c r="P527" s="96"/>
      <c r="Q527" s="96"/>
      <c r="R527" s="96"/>
      <c r="S527" s="96"/>
      <c r="T527" s="96"/>
      <c r="U527" s="96"/>
      <c r="V527" s="96"/>
    </row>
    <row r="528" customFormat="false" ht="14.25" hidden="false" customHeight="false" outlineLevel="0" collapsed="false">
      <c r="M528" s="96" t="n">
        <f aca="false">ROW()</f>
        <v>528</v>
      </c>
      <c r="N528" s="62" t="s">
        <v>505</v>
      </c>
      <c r="O528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8"/>
    <mergeCell ref="H163:H168"/>
    <mergeCell ref="I166:J167"/>
    <mergeCell ref="I168:J168"/>
    <mergeCell ref="D169:D170"/>
    <mergeCell ref="H169:H170"/>
    <mergeCell ref="D171:D172"/>
    <mergeCell ref="H171:H172"/>
    <mergeCell ref="A173:J173"/>
    <mergeCell ref="A213:J213"/>
    <mergeCell ref="C308:E308"/>
    <mergeCell ref="A320:J320"/>
    <mergeCell ref="F330:G330"/>
    <mergeCell ref="F331:G331"/>
    <mergeCell ref="F334:G334"/>
    <mergeCell ref="A427:J427"/>
    <mergeCell ref="A518:J518"/>
    <mergeCell ref="F520:G520"/>
  </mergeCells>
  <dataValidations count="4">
    <dataValidation allowBlank="true" errorStyle="stop" operator="between" showDropDown="false" showErrorMessage="true" showInputMessage="true" sqref="C206" type="list">
      <formula1>$O$175:$O$193</formula1>
      <formula2>0</formula2>
    </dataValidation>
    <dataValidation allowBlank="true" errorStyle="stop" operator="between" showDropDown="false" showErrorMessage="true" showInputMessage="true" sqref="D123:G123" type="list">
      <formula1>$P$118:$P$127</formula1>
      <formula2>0</formula2>
    </dataValidation>
    <dataValidation allowBlank="true" errorStyle="stop" operator="between" showDropDown="false" showErrorMessage="true" showInputMessage="true" sqref="D127:G127" type="list">
      <formula1>$N$119:$N$127</formula1>
      <formula2>0</formula2>
    </dataValidation>
    <dataValidation allowBlank="true" errorStyle="stop" operator="between" showDropDown="false" showErrorMessage="true" showInputMessage="true" sqref="D129:G129" type="list">
      <formula1>$O$119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528"/>
  <sheetViews>
    <sheetView showFormulas="false" showGridLines="false" showRowColHeaders="true" showZeros="true" rightToLeft="false" tabSelected="false" showOutlineSymbols="true" defaultGridColor="true" view="pageBreakPreview" topLeftCell="A117" colorId="64" zoomScale="75" zoomScaleNormal="75" zoomScalePageLayoutView="75" workbookViewId="0">
      <selection pane="topLeft" activeCell="I135" activeCellId="0" sqref="I135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59.67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6.67"/>
    <col collapsed="false" customWidth="true" hidden="false" outlineLevel="0" max="9" min="9" style="0" width="13.67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19.88"/>
    <col collapsed="false" customWidth="true" hidden="true" outlineLevel="1" max="23" min="22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758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>
      <c r="G55" s="91"/>
    </row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759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8" hidden="false" customHeight="true" outlineLevel="0" collapsed="false">
      <c r="A118" s="97"/>
      <c r="C118" s="81"/>
      <c r="D118" s="98"/>
      <c r="E118" s="83"/>
      <c r="J118" s="99"/>
      <c r="K118" s="83"/>
      <c r="N118" s="258" t="s">
        <v>288</v>
      </c>
      <c r="O118" s="97" t="s">
        <v>289</v>
      </c>
      <c r="P118" s="102" t="s">
        <v>290</v>
      </c>
    </row>
    <row r="119" s="96" customFormat="true" ht="15" hidden="false" customHeight="true" outlineLevel="0" collapsed="false">
      <c r="A119" s="97"/>
      <c r="C119" s="100" t="s">
        <v>286</v>
      </c>
      <c r="D119" s="101"/>
      <c r="E119" s="101"/>
      <c r="F119" s="101"/>
      <c r="G119" s="101"/>
      <c r="I119" s="83"/>
      <c r="J119" s="97"/>
      <c r="N119" s="259" t="n">
        <v>5</v>
      </c>
      <c r="O119" s="97" t="s">
        <v>509</v>
      </c>
      <c r="P119" s="106" t="s">
        <v>294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6</v>
      </c>
      <c r="O120" s="97" t="s">
        <v>296</v>
      </c>
      <c r="P120" s="106" t="s">
        <v>297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8</v>
      </c>
      <c r="P121" s="106" t="s">
        <v>299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10</v>
      </c>
      <c r="P122" s="106" t="s">
        <v>303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2000</v>
      </c>
      <c r="N123" s="259" t="n">
        <v>12</v>
      </c>
      <c r="P123" s="106" t="s">
        <v>305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14</v>
      </c>
      <c r="P124" s="106" t="s">
        <v>308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18</v>
      </c>
      <c r="P125" s="106" t="s">
        <v>311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2000</v>
      </c>
      <c r="K126" s="110"/>
      <c r="L126" s="110"/>
      <c r="N126" s="259" t="n">
        <v>20</v>
      </c>
      <c r="P126" s="106" t="s">
        <v>313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8</v>
      </c>
      <c r="E127" s="111"/>
      <c r="F127" s="111"/>
      <c r="G127" s="111"/>
      <c r="H127" s="104"/>
      <c r="I127" s="104"/>
      <c r="J127" s="105"/>
      <c r="N127" s="259" t="n">
        <v>22</v>
      </c>
      <c r="P127" s="106" t="s">
        <v>315</v>
      </c>
    </row>
    <row r="128" s="96" customFormat="true" ht="18.75" hidden="false" customHeight="true" outlineLevel="0" collapsed="false">
      <c r="C128" s="108" t="s">
        <v>314</v>
      </c>
      <c r="I128" s="97"/>
      <c r="J128" s="97"/>
    </row>
    <row r="129" s="96" customFormat="true" ht="15" hidden="false" customHeight="true" outlineLevel="0" collapsed="false">
      <c r="A129" s="89" t="str">
        <f aca="false">A18</f>
        <v>240-9 Panel (3L6R)</v>
      </c>
      <c r="C129" s="100" t="s">
        <v>511</v>
      </c>
      <c r="D129" s="101" t="s">
        <v>296</v>
      </c>
      <c r="E129" s="101"/>
      <c r="F129" s="101"/>
      <c r="G129" s="101"/>
      <c r="H129" s="97"/>
      <c r="I129" s="97"/>
      <c r="J129" s="97"/>
      <c r="P129" s="320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  <c r="P131" s="320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1940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18</v>
      </c>
      <c r="U133" s="127" t="s">
        <v>760</v>
      </c>
      <c r="V133" s="128" t="n">
        <f aca="false">($J$126-185-(113.25*8))/9</f>
        <v>101</v>
      </c>
      <c r="W133" s="129" t="n">
        <f aca="false">$J$120*T133</f>
        <v>18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1914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18</v>
      </c>
      <c r="U134" s="130" t="s">
        <v>760</v>
      </c>
      <c r="V134" s="142" t="n">
        <f aca="false">($J$126-185-(113.25*8))/9</f>
        <v>101</v>
      </c>
      <c r="W134" s="134" t="n">
        <f aca="false">$J$120*T134</f>
        <v>18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1940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18</v>
      </c>
      <c r="U135" s="136" t="s">
        <v>760</v>
      </c>
      <c r="V135" s="180" t="n">
        <f aca="false">($J$126-185-(113.25*8))/9</f>
        <v>101</v>
      </c>
      <c r="W135" s="137" t="n">
        <f aca="false">$J$120*T135</f>
        <v>18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1940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18</v>
      </c>
      <c r="U136" s="127" t="s">
        <v>360</v>
      </c>
      <c r="V136" s="138" t="n">
        <f aca="false">$J$123-242</f>
        <v>1758</v>
      </c>
      <c r="W136" s="129" t="n">
        <f aca="false">$J$120*T136</f>
        <v>18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2000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18</v>
      </c>
      <c r="U137" s="130" t="s">
        <v>360</v>
      </c>
      <c r="V137" s="133" t="n">
        <f aca="false">$J$123-242</f>
        <v>1758</v>
      </c>
      <c r="W137" s="134" t="n">
        <f aca="false">$J$120*T137</f>
        <v>18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2000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18</v>
      </c>
      <c r="U138" s="136" t="s">
        <v>360</v>
      </c>
      <c r="V138" s="140" t="n">
        <f aca="false">$J$123-242</f>
        <v>1758</v>
      </c>
      <c r="W138" s="137" t="n">
        <f aca="false">$J$120*T138</f>
        <v>18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1904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1904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9</v>
      </c>
      <c r="H141" s="321" t="s">
        <v>761</v>
      </c>
      <c r="I141" s="141" t="n">
        <f aca="false">($J$126-60-(9+1)*4)/9</f>
        <v>211.111111111111</v>
      </c>
      <c r="J141" s="134" t="n">
        <f aca="false">$J$120*G141</f>
        <v>9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9</v>
      </c>
      <c r="H142" s="321" t="s">
        <v>761</v>
      </c>
      <c r="I142" s="141" t="n">
        <f aca="false">($J$126-60-(9+1)*4)/9</f>
        <v>211.111111111111</v>
      </c>
      <c r="J142" s="134" t="n">
        <f aca="false">$J$120*G142</f>
        <v>9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13</v>
      </c>
      <c r="H143" s="130" t="s">
        <v>389</v>
      </c>
      <c r="I143" s="133" t="n">
        <f aca="false">$J$123-92</f>
        <v>1908</v>
      </c>
      <c r="J143" s="134" t="n">
        <f aca="false">$J$120*G143</f>
        <v>13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661</v>
      </c>
      <c r="D144" s="132" t="s">
        <v>74</v>
      </c>
      <c r="E144" s="130" t="n">
        <v>1.106</v>
      </c>
      <c r="F144" s="132" t="s">
        <v>392</v>
      </c>
      <c r="G144" s="130" t="n">
        <v>3</v>
      </c>
      <c r="H144" s="130" t="s">
        <v>389</v>
      </c>
      <c r="I144" s="133" t="n">
        <f aca="false">$J$123-92</f>
        <v>1908</v>
      </c>
      <c r="J144" s="134" t="n">
        <f aca="false">$J$120*G144</f>
        <v>3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390</v>
      </c>
      <c r="C145" s="131" t="s">
        <v>656</v>
      </c>
      <c r="D145" s="132" t="s">
        <v>74</v>
      </c>
      <c r="E145" s="130" t="n">
        <v>1.106</v>
      </c>
      <c r="F145" s="132" t="s">
        <v>563</v>
      </c>
      <c r="G145" s="130" t="n">
        <v>1</v>
      </c>
      <c r="H145" s="130" t="s">
        <v>389</v>
      </c>
      <c r="I145" s="133" t="n">
        <f aca="false">$J$123-92</f>
        <v>1908</v>
      </c>
      <c r="J145" s="134" t="n">
        <f aca="false">$J$120*G145</f>
        <v>1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">
        <v>531</v>
      </c>
      <c r="C146" s="131" t="s">
        <v>532</v>
      </c>
      <c r="D146" s="132" t="s">
        <v>74</v>
      </c>
      <c r="E146" s="130" t="n">
        <v>1.106</v>
      </c>
      <c r="F146" s="132" t="s">
        <v>533</v>
      </c>
      <c r="G146" s="130" t="n">
        <v>1</v>
      </c>
      <c r="H146" s="130" t="s">
        <v>389</v>
      </c>
      <c r="I146" s="133" t="n">
        <f aca="false">$J$123-92</f>
        <v>1908</v>
      </c>
      <c r="J146" s="134" t="n">
        <f aca="false">$J$120*G146</f>
        <v>1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IF($D$127=5,O133,IF($D$127=6,O133,IF($D$127=8,O134,IF($D$127=10,O134,IF($D$127=12,O134,IF($D$127=14,O135,IF($D$127=18,O135,IF($D$127=20,O135,IF($D$127=22,O135,)))))))))</f>
        <v>8-12mm คิ้วตบกระจกแนวนอน</v>
      </c>
      <c r="C147" s="131" t="str">
        <f aca="false">IF($D$127=5,P133,IF($D$127=6,P133,IF($D$127=8,P134,IF($D$127=10,P134,IF($D$127=12,P134,IF($D$127=14,P135,IF($D$127=18,P135,IF($D$127=20,P135,IF($D$127=22,P135,)))))))))</f>
        <v>8-12mm GLAZING BEAD HORIZONTAL</v>
      </c>
      <c r="D147" s="131" t="str">
        <f aca="false">IF($D$127=5,Q133,IF($D$127=6,Q133,IF($D$127=8,Q134,IF($D$127=10,Q134,IF($D$127=12,Q134,IF($D$127=14,Q135,IF($D$127=18,Q135,IF($D$127=20,Q135,IF($D$127=22,Q135,)))))))))</f>
        <v>B24016</v>
      </c>
      <c r="E147" s="131" t="n">
        <f aca="false">IF($D$127=5,R133,IF($D$127=6,R133,IF($D$127=8,R134,IF($D$127=10,R134,IF($D$127=12,R134,IF($D$127=14,R135,IF($D$127=18,R135,IF($D$127=20,R135,IF($D$127=22,R135,)))))))))</f>
        <v>0.215</v>
      </c>
      <c r="F147" s="131" t="str">
        <f aca="false">IF($D$127=5,S133,IF($D$127=6,S133,IF($D$127=8,S134,IF($D$127=10,S134,IF($D$127=12,S134,IF($D$127=14,S135,IF($D$127=18,S135,IF($D$127=20,S135,IF($D$127=22,S135,)))))))))</f>
        <v>B24016-001</v>
      </c>
      <c r="G147" s="130" t="n">
        <f aca="false">IF($D$127=5,T133,IF($D$127=6,T133,IF($D$127=8,T134,IF($D$127=10,T134,IF($D$127=12,T134,IF($D$127=14,T135,IF($D$127=18,T135,IF($D$127=20,T135,IF($D$127=22,T135,)))))))))</f>
        <v>18</v>
      </c>
      <c r="H147" s="130" t="str">
        <f aca="false">IF($D$127=5,U133,IF($D$127=6,U133,IF($D$127=8,U134,IF($D$127=10,U134,IF($D$127=12,U134,IF($D$127=14,U135,IF($D$127=18,U135,IF($D$127=20,U135,IF($D$127=22,U135,)))))))))</f>
        <v>(W-185-(113.25 × 8))/9</v>
      </c>
      <c r="I147" s="141" t="n">
        <f aca="false">IF($D$127=5,V133,IF($D$127=6,V133,IF($D$127=8,V134,IF($D$127=10,V134,IF($D$127=12,V134,IF($D$127=14,V135,IF($D$127=18,V135,IF($D$127=20,V135,IF($D$127=22,V135,)))))))))</f>
        <v>101</v>
      </c>
      <c r="J147" s="134" t="n">
        <f aca="false">$J$120*G147</f>
        <v>18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tr">
        <f aca="false">IF($D$127=5,O136,IF($D$127=6,O136,IF($D$127=8,O137,IF($D$127=10,O137,IF($D$127=12,O137,IF($D$127=14,O138,IF($D$127=18,O138,IF($D$127=20,O138,IF($D$127=22,O138,)))))))))</f>
        <v>8-12mm คิ้วตบกระจกแนวตั้ง</v>
      </c>
      <c r="C148" s="131" t="str">
        <f aca="false">IF($D$127=5,P136,IF($D$127=6,P136,IF($D$127=8,P137,IF($D$127=10,P137,IF($D$127=12,P137,IF($D$127=14,P138,IF($D$127=18,P138,IF($D$127=20,P138,IF($D$127=22,P138,)))))))))</f>
        <v>8-12mm GLAZING BEAD VERTICAL</v>
      </c>
      <c r="D148" s="131" t="str">
        <f aca="false">IF($D$127=5,Q136,IF($D$127=6,Q136,IF($D$127=8,Q137,IF($D$127=10,Q137,IF($D$127=12,Q137,IF($D$127=14,Q138,IF($D$127=18,Q138,IF($D$127=20,Q138,IF($D$127=22,Q138,)))))))))</f>
        <v>B24016</v>
      </c>
      <c r="E148" s="131" t="n">
        <f aca="false">IF($D$127=5,R136,IF($D$127=6,R136,IF($D$127=8,R137,IF($D$127=10,R137,IF($D$127=12,R137,IF($D$127=14,R138,IF($D$127=18,R138,IF($D$127=20,R138,IF($D$127=22,R138,)))))))))</f>
        <v>0.215</v>
      </c>
      <c r="F148" s="131" t="str">
        <f aca="false">IF($D$127=5,S136,IF($D$127=6,S136,IF($D$127=8,S137,IF($D$127=10,S137,IF($D$127=12,S137,IF($D$127=14,S138,IF($D$127=18,S138,IF($D$127=20,S138,IF($D$127=22,S138,)))))))))</f>
        <v>B24016-002</v>
      </c>
      <c r="G148" s="130" t="n">
        <f aca="false">IF($D$127=5,T136,IF($D$127=6,T136,IF($D$127=8,T137,IF($D$127=10,T137,IF($D$127=12,T137,IF($D$127=14,T138,IF($D$127=18,T138,IF($D$127=20,T138,IF($D$127=22,T138,)))))))))</f>
        <v>18</v>
      </c>
      <c r="H148" s="130" t="str">
        <f aca="false">IF($D$127=5,U136,IF($D$127=6,U136,IF($D$127=8,U137,IF($D$127=10,U137,IF($D$127=12,U137,IF($D$127=14,U138,IF($D$127=18,U138,IF($D$127=20,U138,IF($D$127=22,U138,)))))))))</f>
        <v>H-242</v>
      </c>
      <c r="I148" s="133" t="n">
        <f aca="false">IF($D$127=5,V136,IF($D$127=6,V136,IF($D$127=8,V137,IF($D$127=10,V137,IF($D$127=12,V137,IF($D$127=14,V138,IF($D$127=18,V138,IF($D$127=20,V138,IF($D$127=22,V138,)))))))))</f>
        <v>1758</v>
      </c>
      <c r="J148" s="134" t="n">
        <f aca="false">$J$120*G148</f>
        <v>18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535</v>
      </c>
      <c r="D149" s="132" t="s">
        <v>536</v>
      </c>
      <c r="E149" s="130"/>
      <c r="F149" s="132" t="s">
        <v>537</v>
      </c>
      <c r="G149" s="130" t="n">
        <v>1</v>
      </c>
      <c r="H149" s="130" t="s">
        <v>389</v>
      </c>
      <c r="I149" s="133" t="n">
        <f aca="false">$J$123-92</f>
        <v>1908</v>
      </c>
      <c r="J149" s="134" t="n">
        <f aca="false">$J$120*G149</f>
        <v>1</v>
      </c>
    </row>
    <row r="150" s="96" customFormat="true" ht="18" hidden="false" customHeight="true" outlineLevel="0" collapsed="false">
      <c r="A150" s="130" t="n">
        <f aca="false">IF(B150="","",+A149+1)</f>
        <v>18</v>
      </c>
      <c r="B150" s="131" t="s">
        <v>534</v>
      </c>
      <c r="C150" s="131" t="s">
        <v>535</v>
      </c>
      <c r="D150" s="132" t="s">
        <v>536</v>
      </c>
      <c r="E150" s="130"/>
      <c r="F150" s="132" t="s">
        <v>539</v>
      </c>
      <c r="G150" s="130" t="n">
        <v>1</v>
      </c>
      <c r="H150" s="130" t="s">
        <v>389</v>
      </c>
      <c r="I150" s="133" t="n">
        <f aca="false">$J$123-92</f>
        <v>1908</v>
      </c>
      <c r="J150" s="134" t="n">
        <f aca="false">$J$120*G150</f>
        <v>1</v>
      </c>
    </row>
    <row r="151" s="96" customFormat="true" ht="18" hidden="false" customHeight="true" outlineLevel="0" collapsed="false">
      <c r="A151" s="130" t="str">
        <f aca="false">IF(B151="","",+""+1)</f>
        <v/>
      </c>
      <c r="B151" s="143"/>
      <c r="C151" s="143"/>
      <c r="D151" s="144"/>
      <c r="E151" s="145"/>
      <c r="F151" s="144"/>
      <c r="G151" s="145"/>
      <c r="H151" s="145"/>
      <c r="I151" s="146"/>
      <c r="J151" s="147" t="n">
        <f aca="false">$J$120*G151</f>
        <v>0</v>
      </c>
    </row>
    <row r="152" s="96" customFormat="true" ht="27" hidden="false" customHeight="true" outlineLevel="1" collapsed="false">
      <c r="A152" s="148" t="s">
        <v>319</v>
      </c>
      <c r="B152" s="148" t="s">
        <v>320</v>
      </c>
      <c r="C152" s="148" t="s">
        <v>168</v>
      </c>
      <c r="D152" s="148" t="s">
        <v>166</v>
      </c>
      <c r="E152" s="148" t="s">
        <v>321</v>
      </c>
      <c r="F152" s="149" t="s">
        <v>393</v>
      </c>
      <c r="G152" s="148" t="s">
        <v>394</v>
      </c>
      <c r="H152" s="150" t="s">
        <v>395</v>
      </c>
      <c r="I152" s="151"/>
      <c r="J152" s="151"/>
    </row>
    <row r="153" s="96" customFormat="true" ht="15" hidden="false" customHeight="true" outlineLevel="1" collapsed="false">
      <c r="A153" s="152" t="n">
        <f aca="false">IF(B153="","",1)</f>
        <v>1</v>
      </c>
      <c r="B153" s="153" t="str">
        <f aca="false">B133</f>
        <v>เฟรมบน</v>
      </c>
      <c r="C153" s="153" t="str">
        <f aca="false">C133</f>
        <v>HEAD</v>
      </c>
      <c r="D153" s="154" t="str">
        <f aca="false">VLOOKUP(C153,$C$133:$H$151,2,0)</f>
        <v>B24001</v>
      </c>
      <c r="E153" s="155" t="n">
        <f aca="false">VLOOKUP(C153,$C$133:$H$151,3,0)</f>
        <v>1.603</v>
      </c>
      <c r="F153" s="263" t="n">
        <f aca="false">VLOOKUP(C153,$C$133:$J$151,7,0)</f>
        <v>1940</v>
      </c>
      <c r="G153" s="155" t="n">
        <f aca="false">VLOOKUP(C153,$C$133:$J$151,8,0)</f>
        <v>1</v>
      </c>
      <c r="H153" s="264" t="n">
        <f aca="false">ROUNDUP((F153*G153)/6400,0)</f>
        <v>1</v>
      </c>
      <c r="I153" s="265"/>
      <c r="J153" s="265"/>
    </row>
    <row r="154" s="96" customFormat="true" ht="15" hidden="false" customHeight="true" outlineLevel="1" collapsed="false">
      <c r="A154" s="158" t="n">
        <f aca="false">IF(B154="","",+A153+1)</f>
        <v>2</v>
      </c>
      <c r="B154" s="153" t="str">
        <f aca="false">B134</f>
        <v>บังใบบน</v>
      </c>
      <c r="C154" s="153" t="str">
        <f aca="false">C134</f>
        <v>DOOR STOP HEAD</v>
      </c>
      <c r="D154" s="154" t="str">
        <f aca="false">VLOOKUP(C154,$C$133:$H$151,2,0)</f>
        <v>B24002</v>
      </c>
      <c r="E154" s="155" t="n">
        <f aca="false">VLOOKUP(C154,$C$133:$H$151,3,0)</f>
        <v>0.278</v>
      </c>
      <c r="F154" s="263" t="n">
        <f aca="false">VLOOKUP(C154,$C$133:$I$151,7,0)</f>
        <v>1914</v>
      </c>
      <c r="G154" s="155" t="n">
        <f aca="false">VLOOKUP(C154,$C$133:$J$151,8,0)</f>
        <v>1</v>
      </c>
      <c r="H154" s="266" t="n">
        <f aca="false">ROUNDUP((F154*G154)/6400,0)</f>
        <v>1</v>
      </c>
      <c r="I154" s="265"/>
      <c r="J154" s="265"/>
    </row>
    <row r="155" s="96" customFormat="true" ht="15" hidden="false" customHeight="true" outlineLevel="1" collapsed="false">
      <c r="A155" s="158" t="n">
        <f aca="false">IF(B155="","",+A154+1)</f>
        <v>3</v>
      </c>
      <c r="B155" s="153" t="str">
        <f aca="false">B135</f>
        <v>เฟรมล่าง </v>
      </c>
      <c r="C155" s="153" t="str">
        <f aca="false">C135</f>
        <v>SILL</v>
      </c>
      <c r="D155" s="154" t="str">
        <f aca="false">VLOOKUP(C155,$C$133:$H$151,2,0)</f>
        <v>B24003</v>
      </c>
      <c r="E155" s="155" t="n">
        <f aca="false">VLOOKUP(C155,$C$133:$H$151,3,0)</f>
        <v>1.603</v>
      </c>
      <c r="F155" s="263" t="n">
        <f aca="false">VLOOKUP(C155,$C$133:$I$151,7,0)</f>
        <v>1940</v>
      </c>
      <c r="G155" s="155" t="n">
        <f aca="false">VLOOKUP(C155,$C$133:$J$151,8,0)</f>
        <v>1</v>
      </c>
      <c r="H155" s="266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4</v>
      </c>
      <c r="B156" s="153" t="str">
        <f aca="false">B136</f>
        <v>ตัวตับธรณี</v>
      </c>
      <c r="C156" s="153" t="str">
        <f aca="false">C136</f>
        <v>DOOR STOP SILL</v>
      </c>
      <c r="D156" s="154" t="str">
        <f aca="false">VLOOKUP(C156,$C$133:$H$151,2,0)</f>
        <v>B24004</v>
      </c>
      <c r="E156" s="155" t="n">
        <f aca="false">VLOOKUP(C156,$C$133:$H$151,3,0)</f>
        <v>0.516</v>
      </c>
      <c r="F156" s="263" t="n">
        <f aca="false">VLOOKUP(C156,$C$133:$I$151,7,0)</f>
        <v>1940</v>
      </c>
      <c r="G156" s="155" t="n">
        <f aca="false">VLOOKUP(C156,$C$133:$J$151,8,0)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5</v>
      </c>
      <c r="B157" s="153" t="str">
        <f aca="false">B137</f>
        <v>เฟรมข้าง (ซ้าย)</v>
      </c>
      <c r="C157" s="153" t="str">
        <f aca="false">C137</f>
        <v>JAMB (L)</v>
      </c>
      <c r="D157" s="159" t="str">
        <f aca="false">VLOOKUP(C157,$C$133:$H$151,2,0)</f>
        <v>B24005</v>
      </c>
      <c r="E157" s="155" t="n">
        <f aca="false">VLOOKUP(C157,$C$133:$H$151,3,0)</f>
        <v>0.893</v>
      </c>
      <c r="F157" s="263" t="n">
        <f aca="false">VLOOKUP(C157,$C$133:$I$151,7,0)</f>
        <v>2000</v>
      </c>
      <c r="G157" s="155" t="n">
        <f aca="false">VLOOKUP(C157,$C$133:$J$151,8,0)</f>
        <v>1</v>
      </c>
      <c r="H157" s="160" t="n">
        <f aca="false">ROUNDUP(((F157*G157)+(F158*G158))/6400,0)</f>
        <v>1</v>
      </c>
      <c r="I157" s="161"/>
      <c r="J157" s="161"/>
    </row>
    <row r="158" s="96" customFormat="true" ht="15" hidden="false" customHeight="true" outlineLevel="1" collapsed="false">
      <c r="A158" s="158" t="n">
        <f aca="false">IF(B158="","",+A157+1)</f>
        <v>6</v>
      </c>
      <c r="B158" s="153" t="str">
        <f aca="false">B138</f>
        <v>เฟรมข้าง (ขวา)</v>
      </c>
      <c r="C158" s="153" t="str">
        <f aca="false">C138</f>
        <v>JAMB (R)</v>
      </c>
      <c r="D158" s="159"/>
      <c r="E158" s="155" t="n">
        <f aca="false">VLOOKUP(C158,$C$133:$H$151,3,0)</f>
        <v>0.893</v>
      </c>
      <c r="F158" s="263" t="n">
        <f aca="false">VLOOKUP(C158,$C$133:$I$151,7,0)</f>
        <v>2000</v>
      </c>
      <c r="G158" s="155" t="n">
        <f aca="false">VLOOKUP(C158,$C$133:$J$151,8,0)</f>
        <v>1</v>
      </c>
      <c r="H158" s="160"/>
      <c r="I158" s="161"/>
      <c r="J158" s="161"/>
    </row>
    <row r="159" s="96" customFormat="true" ht="15" hidden="false" customHeight="true" outlineLevel="1" collapsed="false">
      <c r="A159" s="158" t="n">
        <f aca="false">IF(B159="","",+A158+1)</f>
        <v>7</v>
      </c>
      <c r="B159" s="153" t="str">
        <f aca="false">B139</f>
        <v>บังใบข้าง (ซ้าย)</v>
      </c>
      <c r="C159" s="153" t="str">
        <f aca="false">C139</f>
        <v>DOOR STOP JAMB (L)</v>
      </c>
      <c r="D159" s="159" t="str">
        <f aca="false">VLOOKUP(C159,$C$133:$H$151,2,0)</f>
        <v>B24006</v>
      </c>
      <c r="E159" s="155" t="n">
        <f aca="false">VLOOKUP(C159,$C$133:$H$151,3,0)</f>
        <v>0.235</v>
      </c>
      <c r="F159" s="263" t="n">
        <f aca="false">VLOOKUP(C159,$C$133:$I$151,7,0)</f>
        <v>1904</v>
      </c>
      <c r="G159" s="155" t="n">
        <f aca="false">VLOOKUP(C159,$C$133:$J$151,8,0)</f>
        <v>1</v>
      </c>
      <c r="H159" s="160" t="n">
        <f aca="false">ROUNDUP(((F159*G159)+(F160*G160))/6400,0)</f>
        <v>1</v>
      </c>
      <c r="I159" s="265"/>
      <c r="J159" s="265"/>
    </row>
    <row r="160" s="96" customFormat="true" ht="15" hidden="false" customHeight="true" outlineLevel="1" collapsed="false">
      <c r="A160" s="158" t="n">
        <f aca="false">IF(B160="","",+A159+1)</f>
        <v>8</v>
      </c>
      <c r="B160" s="153" t="str">
        <f aca="false">B140</f>
        <v>บังใบข้าง (ขวา)</v>
      </c>
      <c r="C160" s="153" t="str">
        <f aca="false">C140</f>
        <v>DOOR STOP JAMB (R)</v>
      </c>
      <c r="D160" s="159"/>
      <c r="E160" s="155" t="n">
        <f aca="false">VLOOKUP(C160,$C$133:$H$151,3,0)</f>
        <v>0.235</v>
      </c>
      <c r="F160" s="263" t="n">
        <f aca="false">VLOOKUP(C160,$C$133:$I$151,7,0)</f>
        <v>1904</v>
      </c>
      <c r="G160" s="155" t="n">
        <f aca="false">VLOOKUP(C160,$C$133:$J$151,8,0)</f>
        <v>1</v>
      </c>
      <c r="H160" s="160"/>
      <c r="I160" s="161"/>
      <c r="J160" s="161"/>
    </row>
    <row r="161" s="96" customFormat="true" ht="13.5" hidden="false" customHeight="true" outlineLevel="1" collapsed="false">
      <c r="A161" s="158" t="n">
        <f aca="false">IF(B161="","",+A160+1)</f>
        <v>9</v>
      </c>
      <c r="B161" s="153" t="str">
        <f aca="false">B141</f>
        <v>ขวางบน</v>
      </c>
      <c r="C161" s="153" t="str">
        <f aca="false">C141</f>
        <v>SASH (Hor) (T)</v>
      </c>
      <c r="D161" s="159" t="str">
        <f aca="false">VLOOKUP(C161,$C$133:$H$151,2,0)</f>
        <v>B24007</v>
      </c>
      <c r="E161" s="155" t="n">
        <f aca="false">VLOOKUP(C161,$C$133:$H$151,3,0)</f>
        <v>1.106</v>
      </c>
      <c r="F161" s="267" t="n">
        <f aca="false">VLOOKUP(C161,$C$133:$I$151,7,0)</f>
        <v>211.111111111111</v>
      </c>
      <c r="G161" s="155" t="n">
        <f aca="false">VLOOKUP(C161,$C$133:$J$151,8,0)</f>
        <v>9</v>
      </c>
      <c r="H161" s="160" t="n">
        <f aca="false">ROUNDUP(((F161*G161)+(F162*G162)+(F163*G163)+(F164*G164)+(F165*G165)+(F166*G166))/6400,0)</f>
        <v>6</v>
      </c>
      <c r="I161" s="161"/>
      <c r="J161" s="161"/>
    </row>
    <row r="162" s="96" customFormat="true" ht="13.5" hidden="false" customHeight="true" outlineLevel="1" collapsed="false">
      <c r="A162" s="158" t="n">
        <f aca="false">IF(B162="","",+A161+1)</f>
        <v>10</v>
      </c>
      <c r="B162" s="153" t="str">
        <f aca="false">B142</f>
        <v>ขวางล่าง</v>
      </c>
      <c r="C162" s="153" t="str">
        <f aca="false">C142</f>
        <v>SASH (Hor) (B)</v>
      </c>
      <c r="D162" s="159"/>
      <c r="E162" s="155" t="n">
        <f aca="false">VLOOKUP(C162,$C$133:$H$151,3,0)</f>
        <v>1.106</v>
      </c>
      <c r="F162" s="267" t="n">
        <f aca="false">VLOOKUP(C162,$C$133:$I$151,7,0)</f>
        <v>211.111111111111</v>
      </c>
      <c r="G162" s="155" t="n">
        <f aca="false">VLOOKUP(C162,$C$133:$J$151,8,0)</f>
        <v>9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11</v>
      </c>
      <c r="B163" s="153" t="str">
        <f aca="false">B143</f>
        <v>เสา</v>
      </c>
      <c r="C163" s="153" t="str">
        <f aca="false">C143</f>
        <v>SASH (Ver) </v>
      </c>
      <c r="D163" s="159"/>
      <c r="E163" s="155" t="n">
        <f aca="false">VLOOKUP(C163,$C$133:$H$151,3,0)</f>
        <v>1.106</v>
      </c>
      <c r="F163" s="263" t="n">
        <f aca="false">VLOOKUP(C163,$C$133:$I$151,7,0)</f>
        <v>1908</v>
      </c>
      <c r="G163" s="155" t="n">
        <f aca="false">VLOOKUP(C163,$C$133:$J$151,8,0)</f>
        <v>13</v>
      </c>
      <c r="H163" s="160"/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12</v>
      </c>
      <c r="B164" s="153" t="str">
        <f aca="false">B144</f>
        <v>เสากุญแจ</v>
      </c>
      <c r="C164" s="153" t="str">
        <f aca="false">C144</f>
        <v>SASH (Ver) LOCK</v>
      </c>
      <c r="D164" s="159"/>
      <c r="E164" s="155" t="n">
        <f aca="false">VLOOKUP(C164,$C$133:$H$151,3,0)</f>
        <v>1.106</v>
      </c>
      <c r="F164" s="263" t="n">
        <f aca="false">VLOOKUP(C164,$C$133:$I$151,7,0)</f>
        <v>1908</v>
      </c>
      <c r="G164" s="155" t="n">
        <f aca="false">VLOOKUP(C164,$C$133:$J$151,8,0)</f>
        <v>3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13</v>
      </c>
      <c r="B165" s="153" t="str">
        <f aca="false">B145</f>
        <v>เสากุญแจ</v>
      </c>
      <c r="C165" s="153" t="str">
        <f aca="false">C145</f>
        <v>SASH (Ver) LOCK  </v>
      </c>
      <c r="D165" s="159"/>
      <c r="E165" s="155" t="n">
        <f aca="false">VLOOKUP(C165,$C$133:$H$151,3,0)</f>
        <v>1.106</v>
      </c>
      <c r="F165" s="263" t="n">
        <f aca="false">VLOOKUP(C165,$C$133:$I$151,7,0)</f>
        <v>1908</v>
      </c>
      <c r="G165" s="155" t="n">
        <f aca="false">VLOOKUP(C165,$C$133:$J$151,8,0)</f>
        <v>1</v>
      </c>
      <c r="H165" s="160"/>
      <c r="I165" s="161"/>
      <c r="J165" s="161"/>
    </row>
    <row r="166" s="96" customFormat="true" ht="15" hidden="false" customHeight="true" outlineLevel="1" collapsed="false">
      <c r="A166" s="158" t="n">
        <f aca="false">IF(B166="","",+A165+1)</f>
        <v>14</v>
      </c>
      <c r="B166" s="153" t="str">
        <f aca="false">B146</f>
        <v>เสากุญแจมือจับ</v>
      </c>
      <c r="C166" s="153" t="str">
        <f aca="false">C146</f>
        <v>SASH (Ver) LOCK HANDLE</v>
      </c>
      <c r="D166" s="159"/>
      <c r="E166" s="155" t="n">
        <f aca="false">VLOOKUP(C166,$C$133:$H$151,3,0)</f>
        <v>1.106</v>
      </c>
      <c r="F166" s="263" t="n">
        <f aca="false">VLOOKUP(C166,$C$133:$I$151,7,0)</f>
        <v>1908</v>
      </c>
      <c r="G166" s="155" t="n">
        <f aca="false">VLOOKUP(C166,$C$133:$J$151,8,0)</f>
        <v>1</v>
      </c>
      <c r="H166" s="160"/>
      <c r="I166" s="265"/>
      <c r="J166" s="265"/>
    </row>
    <row r="167" s="96" customFormat="true" ht="15" hidden="false" customHeight="true" outlineLevel="1" collapsed="false">
      <c r="A167" s="158" t="n">
        <f aca="false">IF(B167="","",+A166+1)</f>
        <v>15</v>
      </c>
      <c r="B167" s="153" t="str">
        <f aca="false">B147</f>
        <v>8-12mm คิ้วตบกระจกแนวนอน</v>
      </c>
      <c r="C167" s="153" t="str">
        <f aca="false">C147</f>
        <v>8-12mm GLAZING BEAD HORIZONTAL</v>
      </c>
      <c r="D167" s="159" t="str">
        <f aca="false">VLOOKUP(C167,$C$133:$H$151,2,0)</f>
        <v>B24016</v>
      </c>
      <c r="E167" s="155" t="n">
        <f aca="false">VLOOKUP(C167,$C$133:$H$151,3,0)</f>
        <v>0.215</v>
      </c>
      <c r="F167" s="263" t="n">
        <f aca="false">VLOOKUP(C167,$C$133:$I$151,7,0)</f>
        <v>101</v>
      </c>
      <c r="G167" s="155" t="n">
        <f aca="false">VLOOKUP(C167,$C$133:$J$151,8,0)</f>
        <v>18</v>
      </c>
      <c r="H167" s="160" t="n">
        <f aca="false">ROUNDUP(((F167*G167)+(F168*G168))/6400,0)</f>
        <v>6</v>
      </c>
      <c r="I167" s="196"/>
      <c r="J167" s="196"/>
    </row>
    <row r="168" s="96" customFormat="true" ht="15" hidden="false" customHeight="true" outlineLevel="1" collapsed="false">
      <c r="A168" s="158" t="n">
        <f aca="false">IF(B168="","",+A167+1)</f>
        <v>16</v>
      </c>
      <c r="B168" s="153" t="str">
        <f aca="false">B148</f>
        <v>8-12mm คิ้วตบกระจกแนวตั้ง</v>
      </c>
      <c r="C168" s="153" t="str">
        <f aca="false">C148</f>
        <v>8-12mm GLAZING BEAD VERTICAL</v>
      </c>
      <c r="D168" s="159"/>
      <c r="E168" s="155" t="n">
        <f aca="false">VLOOKUP(C168,$C$133:$H$151,3,0)</f>
        <v>0.215</v>
      </c>
      <c r="F168" s="263" t="n">
        <f aca="false">VLOOKUP(C168,$C$133:$I$151,7,0)</f>
        <v>1758</v>
      </c>
      <c r="G168" s="155" t="n">
        <f aca="false">VLOOKUP(C168,$C$133:$J$151,8,0)</f>
        <v>18</v>
      </c>
      <c r="H168" s="160"/>
      <c r="I168" s="196"/>
      <c r="J168" s="196"/>
    </row>
    <row r="169" s="96" customFormat="true" ht="13.5" hidden="false" customHeight="true" outlineLevel="1" collapsed="false">
      <c r="A169" s="158" t="n">
        <f aca="false">IF(B169="","",+A168+1)</f>
        <v>17</v>
      </c>
      <c r="B169" s="153" t="str">
        <f aca="false">B149</f>
        <v>บังใบ</v>
      </c>
      <c r="C169" s="153" t="str">
        <f aca="false">C149</f>
        <v>SASH STOP</v>
      </c>
      <c r="D169" s="163" t="str">
        <f aca="false">VLOOKUP(C169,$C$133:$H$151,2,0)</f>
        <v>B24009</v>
      </c>
      <c r="E169" s="155" t="n">
        <f aca="false">VLOOKUP(C169,$C$133:$H$151,3,0)</f>
        <v>0</v>
      </c>
      <c r="F169" s="263" t="n">
        <f aca="false">VLOOKUP(C169,$C$133:$I$151,7,0)</f>
        <v>1908</v>
      </c>
      <c r="G169" s="155" t="n">
        <f aca="false">VLOOKUP(C169,$C$133:$J$151,8,0)</f>
        <v>1</v>
      </c>
      <c r="H169" s="160" t="n">
        <f aca="false">ROUNDUP(((F169*G169)+(F170*G170))/6400,0)</f>
        <v>1</v>
      </c>
      <c r="I169" s="196"/>
      <c r="J169" s="196"/>
    </row>
    <row r="170" s="96" customFormat="true" ht="14.25" hidden="false" customHeight="false" outlineLevel="1" collapsed="false">
      <c r="A170" s="158" t="n">
        <f aca="false">IF(B170="","",+A169+1)</f>
        <v>18</v>
      </c>
      <c r="B170" s="153" t="str">
        <f aca="false">B150</f>
        <v>บังใบ</v>
      </c>
      <c r="C170" s="153" t="str">
        <f aca="false">C150</f>
        <v>SASH STOP</v>
      </c>
      <c r="D170" s="163"/>
      <c r="E170" s="155" t="n">
        <f aca="false">VLOOKUP(C170,$C$133:$H$151,3,0)</f>
        <v>0</v>
      </c>
      <c r="F170" s="263" t="n">
        <f aca="false">VLOOKUP(C170,$C$133:$I$151,7,0)</f>
        <v>1908</v>
      </c>
      <c r="G170" s="155" t="n">
        <f aca="false">VLOOKUP(C170,$C$133:$J$151,8,0)</f>
        <v>1</v>
      </c>
      <c r="H170" s="160"/>
      <c r="I170" s="196"/>
      <c r="J170" s="196"/>
    </row>
    <row r="171" s="96" customFormat="true" ht="24.75" hidden="false" customHeight="true" outlineLevel="0" collapsed="false">
      <c r="A171" s="113" t="s">
        <v>396</v>
      </c>
      <c r="B171" s="113"/>
      <c r="C171" s="113"/>
      <c r="D171" s="113"/>
      <c r="E171" s="113"/>
      <c r="F171" s="113"/>
      <c r="G171" s="113"/>
      <c r="H171" s="113"/>
      <c r="I171" s="113"/>
      <c r="J171" s="113"/>
    </row>
    <row r="172" s="96" customFormat="true" ht="34.5" hidden="false" customHeight="true" outlineLevel="0" collapsed="false">
      <c r="A172" s="114" t="s">
        <v>319</v>
      </c>
      <c r="B172" s="115" t="s">
        <v>320</v>
      </c>
      <c r="C172" s="115" t="s">
        <v>168</v>
      </c>
      <c r="D172" s="115" t="s">
        <v>397</v>
      </c>
      <c r="E172" s="115" t="s">
        <v>321</v>
      </c>
      <c r="F172" s="116" t="s">
        <v>398</v>
      </c>
      <c r="G172" s="115" t="s">
        <v>399</v>
      </c>
      <c r="H172" s="116" t="s">
        <v>400</v>
      </c>
      <c r="I172" s="116" t="s">
        <v>401</v>
      </c>
      <c r="J172" s="117" t="s">
        <v>402</v>
      </c>
      <c r="N172" s="107" t="s">
        <v>288</v>
      </c>
      <c r="O172" s="165" t="s">
        <v>320</v>
      </c>
      <c r="P172" s="165" t="s">
        <v>168</v>
      </c>
      <c r="Q172" s="165" t="s">
        <v>397</v>
      </c>
      <c r="R172" s="165" t="s">
        <v>321</v>
      </c>
      <c r="S172" s="165" t="s">
        <v>398</v>
      </c>
      <c r="T172" s="165" t="s">
        <v>399</v>
      </c>
      <c r="U172" s="165" t="s">
        <v>400</v>
      </c>
      <c r="V172" s="165" t="s">
        <v>401</v>
      </c>
      <c r="W172" s="165" t="s">
        <v>402</v>
      </c>
    </row>
    <row r="173" s="96" customFormat="true" ht="18" hidden="false" customHeight="true" outlineLevel="0" collapsed="false">
      <c r="A173" s="166" t="n">
        <f aca="false">IF(B173="","",1)</f>
        <v>1</v>
      </c>
      <c r="B173" s="131" t="s">
        <v>410</v>
      </c>
      <c r="C173" s="131" t="s">
        <v>411</v>
      </c>
      <c r="D173" s="132" t="s">
        <v>267</v>
      </c>
      <c r="E173" s="130"/>
      <c r="F173" s="130" t="s">
        <v>267</v>
      </c>
      <c r="G173" s="130" t="s">
        <v>405</v>
      </c>
      <c r="H173" s="130" t="n">
        <v>18</v>
      </c>
      <c r="I173" s="133"/>
      <c r="J173" s="134" t="n">
        <f aca="false">$J$120*H173</f>
        <v>18</v>
      </c>
      <c r="N173" s="107" t="s">
        <v>406</v>
      </c>
      <c r="O173" s="55" t="s">
        <v>407</v>
      </c>
      <c r="P173" s="62" t="s">
        <v>408</v>
      </c>
      <c r="Q173" s="55" t="s">
        <v>227</v>
      </c>
      <c r="R173" s="158"/>
      <c r="S173" s="158" t="s">
        <v>227</v>
      </c>
      <c r="T173" s="158" t="s">
        <v>409</v>
      </c>
      <c r="U173" s="168" t="n">
        <f aca="false">((($I$141*$G$141)+($I$142*$G$142)+($I$143*$G$143)+($I$144*$G$144)+($I$145*$G$145)+($I$146*$G$146))/1000)*$J$120</f>
        <v>38.144</v>
      </c>
      <c r="V173" s="168" t="n">
        <v>100</v>
      </c>
      <c r="W173" s="169" t="n">
        <f aca="false">ROUNDUP((U173)/100,0)</f>
        <v>1</v>
      </c>
    </row>
    <row r="174" s="96" customFormat="true" ht="18" hidden="false" customHeight="true" outlineLevel="0" collapsed="false">
      <c r="A174" s="170" t="n">
        <f aca="false">IF(B174="","",+A173+1)</f>
        <v>2</v>
      </c>
      <c r="B174" s="131" t="s">
        <v>415</v>
      </c>
      <c r="C174" s="131" t="s">
        <v>416</v>
      </c>
      <c r="D174" s="132" t="s">
        <v>222</v>
      </c>
      <c r="E174" s="130"/>
      <c r="F174" s="130" t="s">
        <v>222</v>
      </c>
      <c r="G174" s="130" t="s">
        <v>405</v>
      </c>
      <c r="H174" s="130" t="n">
        <v>2</v>
      </c>
      <c r="I174" s="133"/>
      <c r="J174" s="134" t="n">
        <f aca="false">$J$120*H174</f>
        <v>2</v>
      </c>
      <c r="N174" s="107" t="s">
        <v>412</v>
      </c>
      <c r="O174" s="55" t="s">
        <v>413</v>
      </c>
      <c r="P174" s="62" t="s">
        <v>414</v>
      </c>
      <c r="Q174" s="55" t="s">
        <v>234</v>
      </c>
      <c r="R174" s="158"/>
      <c r="S174" s="158" t="s">
        <v>234</v>
      </c>
      <c r="T174" s="158" t="s">
        <v>409</v>
      </c>
      <c r="U174" s="168" t="n">
        <f aca="false">((($I$141*$G$141)+($I$142*$G$142)+($I$143*$G$143)+($I$144*$G$144)+($I$145*$G$145)+($I$146*$G$146))/1000)*$J$120</f>
        <v>38.144</v>
      </c>
      <c r="V174" s="168" t="n">
        <v>100</v>
      </c>
      <c r="W174" s="169" t="n">
        <f aca="false">ROUNDUP((U174)/100,0)</f>
        <v>1</v>
      </c>
    </row>
    <row r="175" s="96" customFormat="true" ht="18" hidden="false" customHeight="true" outlineLevel="0" collapsed="false">
      <c r="A175" s="170" t="n">
        <f aca="false">IF(B175="","",+A174+1)</f>
        <v>3</v>
      </c>
      <c r="B175" s="131" t="s">
        <v>420</v>
      </c>
      <c r="C175" s="131" t="s">
        <v>421</v>
      </c>
      <c r="D175" s="132" t="s">
        <v>225</v>
      </c>
      <c r="E175" s="130"/>
      <c r="F175" s="130" t="s">
        <v>225</v>
      </c>
      <c r="G175" s="130" t="s">
        <v>405</v>
      </c>
      <c r="H175" s="130" t="n">
        <v>2</v>
      </c>
      <c r="I175" s="133"/>
      <c r="J175" s="134" t="n">
        <f aca="false">$J$120*H175</f>
        <v>2</v>
      </c>
      <c r="N175" s="107" t="s">
        <v>417</v>
      </c>
      <c r="O175" s="62" t="s">
        <v>418</v>
      </c>
      <c r="P175" s="62" t="s">
        <v>419</v>
      </c>
      <c r="Q175" s="55" t="s">
        <v>236</v>
      </c>
      <c r="R175" s="158"/>
      <c r="S175" s="158" t="s">
        <v>236</v>
      </c>
      <c r="T175" s="158" t="s">
        <v>409</v>
      </c>
      <c r="U175" s="168" t="n">
        <f aca="false">((($I$141*$G$141)+($I$142*$G$142)+($I$143*$G$143)+($I$144*$G$144)+($I$145*$G$145)+($I$146*$G$146))/1000)*$J$120</f>
        <v>38.144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4</v>
      </c>
      <c r="B176" s="131" t="s">
        <v>425</v>
      </c>
      <c r="C176" s="131" t="s">
        <v>426</v>
      </c>
      <c r="D176" s="132" t="n">
        <v>9</v>
      </c>
      <c r="E176" s="130"/>
      <c r="F176" s="130" t="n">
        <v>9</v>
      </c>
      <c r="G176" s="130" t="s">
        <v>405</v>
      </c>
      <c r="H176" s="130" t="n">
        <v>8</v>
      </c>
      <c r="I176" s="133"/>
      <c r="J176" s="134" t="n">
        <f aca="false">$J$120*H176</f>
        <v>8</v>
      </c>
      <c r="N176" s="107" t="s">
        <v>422</v>
      </c>
      <c r="O176" s="62" t="s">
        <v>423</v>
      </c>
      <c r="P176" s="62" t="s">
        <v>424</v>
      </c>
      <c r="Q176" s="55" t="s">
        <v>238</v>
      </c>
      <c r="R176" s="158"/>
      <c r="S176" s="158" t="s">
        <v>238</v>
      </c>
      <c r="T176" s="158" t="s">
        <v>409</v>
      </c>
      <c r="U176" s="168" t="n">
        <f aca="false">((($I$141*$G$141)+($I$142*$G$142)+($I$143*$G$143)+($I$144*$G$144)+($I$145*$G$145)+($I$146*$G$146))/1000)*$J$120</f>
        <v>38.144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5</v>
      </c>
      <c r="B177" s="131" t="s">
        <v>430</v>
      </c>
      <c r="C177" s="131" t="s">
        <v>431</v>
      </c>
      <c r="D177" s="132" t="n">
        <v>9</v>
      </c>
      <c r="E177" s="130"/>
      <c r="F177" s="130" t="n">
        <v>9</v>
      </c>
      <c r="G177" s="130" t="s">
        <v>405</v>
      </c>
      <c r="H177" s="130" t="n">
        <v>110</v>
      </c>
      <c r="I177" s="133"/>
      <c r="J177" s="134" t="n">
        <f aca="false">$J$120*H177</f>
        <v>110</v>
      </c>
      <c r="N177" s="107" t="s">
        <v>427</v>
      </c>
      <c r="O177" s="62" t="s">
        <v>428</v>
      </c>
      <c r="P177" s="62" t="s">
        <v>429</v>
      </c>
      <c r="Q177" s="55" t="s">
        <v>240</v>
      </c>
      <c r="R177" s="158"/>
      <c r="S177" s="158" t="s">
        <v>240</v>
      </c>
      <c r="T177" s="158" t="s">
        <v>409</v>
      </c>
      <c r="U177" s="168" t="n">
        <f aca="false">((($I$141*$G$141)+($I$142*$G$142)+($I$143*$G$143)+($I$144*$G$144)+($I$145*$G$145)+($I$146*$G$146))/1000)*$J$120</f>
        <v>38.144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6</v>
      </c>
      <c r="B178" s="131" t="s">
        <v>603</v>
      </c>
      <c r="C178" s="131" t="s">
        <v>438</v>
      </c>
      <c r="D178" s="132" t="s">
        <v>4</v>
      </c>
      <c r="E178" s="130"/>
      <c r="F178" s="130" t="s">
        <v>4</v>
      </c>
      <c r="G178" s="130" t="s">
        <v>434</v>
      </c>
      <c r="H178" s="130" t="n">
        <v>1</v>
      </c>
      <c r="I178" s="133"/>
      <c r="J178" s="134" t="n">
        <f aca="false">$J$120*H178</f>
        <v>1</v>
      </c>
    </row>
    <row r="179" s="96" customFormat="true" ht="18" hidden="false" customHeight="true" outlineLevel="0" collapsed="false">
      <c r="A179" s="170" t="n">
        <f aca="false">IF(B179="","",+A178+1)</f>
        <v>7</v>
      </c>
      <c r="B179" s="131" t="s">
        <v>556</v>
      </c>
      <c r="C179" s="131" t="s">
        <v>557</v>
      </c>
      <c r="D179" s="132" t="s">
        <v>5</v>
      </c>
      <c r="E179" s="130"/>
      <c r="F179" s="130" t="s">
        <v>5</v>
      </c>
      <c r="G179" s="130" t="s">
        <v>434</v>
      </c>
      <c r="H179" s="130" t="n">
        <v>3</v>
      </c>
      <c r="I179" s="133"/>
      <c r="J179" s="134" t="n">
        <f aca="false">$J$120*H179</f>
        <v>3</v>
      </c>
    </row>
    <row r="180" s="96" customFormat="true" ht="18" hidden="false" customHeight="true" outlineLevel="0" collapsed="false">
      <c r="A180" s="170" t="n">
        <f aca="false">IF(B180="","",+A179+1)</f>
        <v>8</v>
      </c>
      <c r="B180" s="131" t="s">
        <v>432</v>
      </c>
      <c r="C180" s="131" t="s">
        <v>433</v>
      </c>
      <c r="D180" s="132" t="s">
        <v>6</v>
      </c>
      <c r="E180" s="130"/>
      <c r="F180" s="130" t="s">
        <v>6</v>
      </c>
      <c r="G180" s="130" t="s">
        <v>434</v>
      </c>
      <c r="H180" s="130" t="n">
        <v>1</v>
      </c>
      <c r="I180" s="133"/>
      <c r="J180" s="134" t="n">
        <f aca="false">$J$120*H180</f>
        <v>1</v>
      </c>
    </row>
    <row r="181" s="96" customFormat="true" ht="18" hidden="false" customHeight="true" outlineLevel="0" collapsed="false">
      <c r="A181" s="170" t="n">
        <f aca="false">IF(B181="","",+A180+1)</f>
        <v>9</v>
      </c>
      <c r="B181" s="131" t="s">
        <v>512</v>
      </c>
      <c r="C181" s="131" t="s">
        <v>513</v>
      </c>
      <c r="D181" s="132" t="s">
        <v>7</v>
      </c>
      <c r="E181" s="130"/>
      <c r="F181" s="130" t="s">
        <v>7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10</v>
      </c>
      <c r="B182" s="131" t="s">
        <v>435</v>
      </c>
      <c r="C182" s="131" t="s">
        <v>762</v>
      </c>
      <c r="D182" s="132" t="s">
        <v>8</v>
      </c>
      <c r="E182" s="130"/>
      <c r="F182" s="130" t="s">
        <v>8</v>
      </c>
      <c r="G182" s="130" t="s">
        <v>434</v>
      </c>
      <c r="H182" s="130" t="n">
        <v>1</v>
      </c>
      <c r="I182" s="133"/>
      <c r="J182" s="134" t="n">
        <f aca="false">$J$120*H182</f>
        <v>1</v>
      </c>
      <c r="Q182" s="172"/>
      <c r="R182" s="172"/>
      <c r="S182" s="172"/>
      <c r="T182" s="97"/>
      <c r="U182" s="97"/>
      <c r="V182" s="97"/>
    </row>
    <row r="183" s="96" customFormat="true" ht="18" hidden="false" customHeight="true" outlineLevel="0" collapsed="false">
      <c r="A183" s="170" t="n">
        <f aca="false">IF(B183="","",+A182+1)</f>
        <v>11</v>
      </c>
      <c r="B183" s="131" t="s">
        <v>554</v>
      </c>
      <c r="C183" s="131" t="s">
        <v>555</v>
      </c>
      <c r="D183" s="132" t="s">
        <v>11</v>
      </c>
      <c r="E183" s="130"/>
      <c r="F183" s="130" t="s">
        <v>11</v>
      </c>
      <c r="G183" s="130" t="s">
        <v>434</v>
      </c>
      <c r="H183" s="130" t="n">
        <v>3</v>
      </c>
      <c r="I183" s="142"/>
      <c r="J183" s="134" t="n">
        <f aca="false">$J$120*H183</f>
        <v>3</v>
      </c>
      <c r="N183" s="107" t="s">
        <v>289</v>
      </c>
      <c r="O183" s="165" t="s">
        <v>320</v>
      </c>
      <c r="P183" s="165" t="s">
        <v>168</v>
      </c>
      <c r="Q183" s="165" t="s">
        <v>397</v>
      </c>
      <c r="R183" s="165" t="s">
        <v>321</v>
      </c>
      <c r="S183" s="165" t="s">
        <v>398</v>
      </c>
      <c r="T183" s="165" t="s">
        <v>399</v>
      </c>
      <c r="U183" s="165" t="s">
        <v>400</v>
      </c>
      <c r="V183" s="165" t="s">
        <v>401</v>
      </c>
      <c r="W183" s="165" t="s">
        <v>402</v>
      </c>
    </row>
    <row r="184" s="96" customFormat="true" ht="18" hidden="false" customHeight="true" outlineLevel="0" collapsed="false">
      <c r="A184" s="170" t="n">
        <f aca="false">IF(B184="","",+A183+1)</f>
        <v>12</v>
      </c>
      <c r="B184" s="131" t="s">
        <v>439</v>
      </c>
      <c r="C184" s="131" t="s">
        <v>440</v>
      </c>
      <c r="D184" s="132" t="s">
        <v>12</v>
      </c>
      <c r="E184" s="130"/>
      <c r="F184" s="130" t="s">
        <v>12</v>
      </c>
      <c r="G184" s="130" t="s">
        <v>434</v>
      </c>
      <c r="H184" s="130" t="n">
        <v>4</v>
      </c>
      <c r="I184" s="142"/>
      <c r="J184" s="134" t="n">
        <f aca="false">$J$120*H184</f>
        <v>4</v>
      </c>
      <c r="N184" s="107" t="s">
        <v>445</v>
      </c>
      <c r="O184" s="62" t="s">
        <v>446</v>
      </c>
      <c r="P184" s="62" t="s">
        <v>447</v>
      </c>
      <c r="Q184" s="55" t="s">
        <v>230</v>
      </c>
      <c r="R184" s="158"/>
      <c r="S184" s="158" t="s">
        <v>230</v>
      </c>
      <c r="T184" s="158" t="s">
        <v>409</v>
      </c>
      <c r="U184" s="168" t="n">
        <f aca="false">((($I$134*$G$134)+($I$136*$G$136)+($I$139*$G$139))/1000)*$J$120</f>
        <v>5.758</v>
      </c>
      <c r="V184" s="168" t="n">
        <v>300</v>
      </c>
      <c r="W184" s="169" t="n">
        <f aca="false">ROUNDUP((U184)/V184,0)</f>
        <v>1</v>
      </c>
    </row>
    <row r="185" s="96" customFormat="true" ht="18" hidden="false" customHeight="true" outlineLevel="0" collapsed="false">
      <c r="A185" s="170" t="n">
        <f aca="false">IF(B185="","",+A184+1)</f>
        <v>13</v>
      </c>
      <c r="B185" s="131" t="s">
        <v>540</v>
      </c>
      <c r="C185" s="131" t="s">
        <v>541</v>
      </c>
      <c r="D185" s="132" t="s">
        <v>542</v>
      </c>
      <c r="E185" s="130"/>
      <c r="F185" s="130" t="s">
        <v>542</v>
      </c>
      <c r="G185" s="130" t="s">
        <v>434</v>
      </c>
      <c r="H185" s="130" t="n">
        <v>1</v>
      </c>
      <c r="I185" s="133"/>
      <c r="J185" s="134" t="n">
        <f aca="false">$J$120*H185</f>
        <v>1</v>
      </c>
      <c r="N185" s="107" t="s">
        <v>448</v>
      </c>
      <c r="O185" s="62" t="s">
        <v>449</v>
      </c>
      <c r="P185" s="62" t="s">
        <v>450</v>
      </c>
      <c r="Q185" s="55" t="s">
        <v>451</v>
      </c>
      <c r="R185" s="158"/>
      <c r="S185" s="158" t="s">
        <v>451</v>
      </c>
      <c r="T185" s="158" t="s">
        <v>409</v>
      </c>
      <c r="U185" s="168" t="n">
        <f aca="false">((($I$134*$G$134)+($I$136*$G$136)+($I$139*$G$139))/1000)*$J$120</f>
        <v>5.758</v>
      </c>
      <c r="V185" s="168" t="n">
        <v>100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14</v>
      </c>
      <c r="B186" s="131" t="s">
        <v>441</v>
      </c>
      <c r="C186" s="131" t="s">
        <v>442</v>
      </c>
      <c r="D186" s="132" t="s">
        <v>274</v>
      </c>
      <c r="E186" s="130"/>
      <c r="F186" s="130" t="s">
        <v>274</v>
      </c>
      <c r="G186" s="130" t="s">
        <v>405</v>
      </c>
      <c r="H186" s="130" t="n">
        <v>8</v>
      </c>
      <c r="I186" s="133"/>
      <c r="J186" s="134" t="n">
        <f aca="false">$J$120*H186</f>
        <v>8</v>
      </c>
      <c r="N186" s="107" t="s">
        <v>445</v>
      </c>
      <c r="O186" s="62" t="s">
        <v>452</v>
      </c>
      <c r="P186" s="62" t="s">
        <v>453</v>
      </c>
      <c r="Q186" s="55" t="s">
        <v>232</v>
      </c>
      <c r="R186" s="158"/>
      <c r="S186" s="158" t="s">
        <v>232</v>
      </c>
      <c r="T186" s="158" t="s">
        <v>409</v>
      </c>
      <c r="U186" s="168" t="n">
        <f aca="false">((($I$141*$G$141*2)+($I$143*$G$143*2)+($I$144*$G$144*2))/1000)*$J$120</f>
        <v>64.856</v>
      </c>
      <c r="V186" s="168" t="n">
        <v>350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15</v>
      </c>
      <c r="B187" s="131" t="s">
        <v>443</v>
      </c>
      <c r="C187" s="131" t="s">
        <v>444</v>
      </c>
      <c r="D187" s="132" t="s">
        <v>272</v>
      </c>
      <c r="E187" s="130"/>
      <c r="F187" s="130" t="s">
        <v>272</v>
      </c>
      <c r="G187" s="130" t="s">
        <v>405</v>
      </c>
      <c r="H187" s="130" t="n">
        <v>1</v>
      </c>
      <c r="I187" s="133"/>
      <c r="J187" s="134" t="n">
        <f aca="false">$J$120*H187</f>
        <v>1</v>
      </c>
      <c r="N187" s="107" t="s">
        <v>448</v>
      </c>
      <c r="O187" s="62" t="s">
        <v>454</v>
      </c>
      <c r="P187" s="62" t="s">
        <v>455</v>
      </c>
      <c r="Q187" s="55" t="s">
        <v>456</v>
      </c>
      <c r="R187" s="158"/>
      <c r="S187" s="158" t="s">
        <v>456</v>
      </c>
      <c r="T187" s="158" t="s">
        <v>409</v>
      </c>
      <c r="U187" s="168" t="n">
        <f aca="false">((($I$141*$G$141*2)+($I$143*$G$143*2)+($I$144*$G$144*2))/1000)*$J$120</f>
        <v>64.856</v>
      </c>
      <c r="V187" s="168" t="n">
        <v>100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16</v>
      </c>
      <c r="B188" s="131" t="s">
        <v>403</v>
      </c>
      <c r="C188" s="131" t="s">
        <v>404</v>
      </c>
      <c r="D188" s="132" t="s">
        <v>276</v>
      </c>
      <c r="E188" s="130"/>
      <c r="F188" s="130" t="s">
        <v>276</v>
      </c>
      <c r="G188" s="130" t="s">
        <v>405</v>
      </c>
      <c r="H188" s="130" t="n">
        <v>4</v>
      </c>
      <c r="I188" s="133"/>
      <c r="J188" s="134" t="n">
        <f aca="false">$J$120*H188</f>
        <v>4</v>
      </c>
    </row>
    <row r="189" s="96" customFormat="true" ht="18" hidden="false" customHeight="true" outlineLevel="0" collapsed="false">
      <c r="A189" s="170" t="n">
        <f aca="false">IF(B189="","",+A188+1)</f>
        <v>17</v>
      </c>
      <c r="B189" s="131" t="s">
        <v>580</v>
      </c>
      <c r="C189" s="131" t="s">
        <v>581</v>
      </c>
      <c r="D189" s="132" t="s">
        <v>582</v>
      </c>
      <c r="E189" s="130"/>
      <c r="F189" s="130" t="s">
        <v>582</v>
      </c>
      <c r="G189" s="130" t="s">
        <v>409</v>
      </c>
      <c r="H189" s="173" t="n">
        <f aca="false">((($I$149*$G$149)+($I$150*$G$150))/1000)*$J$120</f>
        <v>3.816</v>
      </c>
      <c r="I189" s="174" t="n">
        <v>100</v>
      </c>
      <c r="J189" s="177" t="n">
        <f aca="false">ROUNDUP((H189)/100,0)</f>
        <v>1</v>
      </c>
    </row>
    <row r="190" s="96" customFormat="true" ht="18" hidden="false" customHeight="true" outlineLevel="0" collapsed="false">
      <c r="A190" s="170" t="n">
        <f aca="false">IF(B190="","",+A189+1)</f>
        <v>18</v>
      </c>
      <c r="B190" s="131" t="s">
        <v>583</v>
      </c>
      <c r="C190" s="131" t="s">
        <v>584</v>
      </c>
      <c r="D190" s="132" t="s">
        <v>585</v>
      </c>
      <c r="E190" s="130"/>
      <c r="F190" s="130" t="s">
        <v>585</v>
      </c>
      <c r="G190" s="130" t="s">
        <v>409</v>
      </c>
      <c r="H190" s="173" t="n">
        <f aca="false">(((I145*G145)+($I$146*$G$146))/1000)*$J$120</f>
        <v>3.816</v>
      </c>
      <c r="I190" s="174" t="n">
        <v>100</v>
      </c>
      <c r="J190" s="177" t="n">
        <f aca="false">ROUNDUP((H190)/100,0)</f>
        <v>1</v>
      </c>
    </row>
    <row r="191" s="96" customFormat="true" ht="18" hidden="false" customHeight="true" outlineLevel="0" collapsed="false">
      <c r="A191" s="170" t="n">
        <f aca="false">IF(B191="","",+A190+1)</f>
        <v>19</v>
      </c>
      <c r="B191" s="132" t="str">
        <f aca="false">IF($D$129="Standard",$O$184,IF($D$129="Soumdproof",$O$185,))</f>
        <v>ยางเฟรมกันน้ำ (กันเสียง)</v>
      </c>
      <c r="C191" s="132" t="str">
        <f aca="false">IF($D$129="Standard",$P$184,IF($D$129="Soumdproof",$P$185,))</f>
        <v>FRAME SEAL (Soumdproof)</v>
      </c>
      <c r="D191" s="132" t="str">
        <f aca="false">IF($D$129="Standard",$Q$184,IF($D$129="Soumdproof",$Q$185,))</f>
        <v>02-025</v>
      </c>
      <c r="E191" s="130" t="n">
        <f aca="false">IF($D$129="Standard",R189,IF($D$129="Soumdproof",R190,))</f>
        <v>0</v>
      </c>
      <c r="F191" s="130" t="str">
        <f aca="false">IF($D$129="Standard",$S$184,IF($D$129="Soumdproof",$S$185,))</f>
        <v>02-025</v>
      </c>
      <c r="G191" s="130" t="str">
        <f aca="false">IF($D$129="Standard",$T$184,IF($D$129="Soumdproof",$T$185,))</f>
        <v>M</v>
      </c>
      <c r="H191" s="173" t="n">
        <f aca="false">IF($D$129="Standard",$U$184,IF($D$129="Soumdproof",$U$185,))</f>
        <v>5.758</v>
      </c>
      <c r="I191" s="174" t="n">
        <f aca="false">IF($D$129="Standard",$V$184,IF($D$129="Soumdproof",$V$185,))</f>
        <v>100</v>
      </c>
      <c r="J191" s="175" t="n">
        <f aca="false">ROUNDUP((H191)/100,0)</f>
        <v>1</v>
      </c>
    </row>
    <row r="192" s="96" customFormat="true" ht="18" hidden="false" customHeight="true" outlineLevel="0" collapsed="false">
      <c r="A192" s="170" t="n">
        <f aca="false">IF(B192="","",+A191+1)</f>
        <v>20</v>
      </c>
      <c r="B192" s="132" t="str">
        <f aca="false">IF($D$129="Standard",$O$186,IF($D$129="Soumdproof",$O$187,))</f>
        <v>ยางแซชกันน้ำ (กันเสียง)</v>
      </c>
      <c r="C192" s="132" t="str">
        <f aca="false">IF($D$129="Standard",$P$186,IF($D$129="Soumdproof",$P$187,))</f>
        <v>SASH SEAL FOAM (Soumdproof)</v>
      </c>
      <c r="D192" s="132" t="str">
        <f aca="false">IF($D$129="Standard",$Q$186,IF($D$129="Soumdproof",$Q$187,))</f>
        <v>02-035</v>
      </c>
      <c r="E192" s="130" t="n">
        <f aca="false">IF($D$129="Standard",R191,IF($D$129="Soumdproof",R192,))</f>
        <v>0</v>
      </c>
      <c r="F192" s="130" t="str">
        <f aca="false">IF($D$129="Standard",$S$186,IF($D$129="Soumdproof",$S$187,))</f>
        <v>02-035</v>
      </c>
      <c r="G192" s="130" t="str">
        <f aca="false">IF($D$129="Standard",$T$186,IF($D$129="Soumdproof",$T$187,))</f>
        <v>M</v>
      </c>
      <c r="H192" s="173" t="n">
        <f aca="false">IF($D$129="Standard",$U$186,IF($D$129="Soumdproof",$U$187,))</f>
        <v>64.856</v>
      </c>
      <c r="I192" s="174" t="n">
        <f aca="false">IF($D$129="Standard",$V$186,IF($D$129="Soumdproof",$V$187,))</f>
        <v>100</v>
      </c>
      <c r="J192" s="177" t="n">
        <f aca="false">ROUNDUP((H192)/100,0)</f>
        <v>1</v>
      </c>
    </row>
    <row r="193" customFormat="false" ht="18" hidden="false" customHeight="true" outlineLevel="0" collapsed="false">
      <c r="A193" s="170" t="n">
        <f aca="false">IF(B193="","",+A192+1)</f>
        <v>21</v>
      </c>
      <c r="B193" s="176" t="str">
        <f aca="false">IF($D$127=5,$O$175,IF($D$127=6,$O$176,IF($D$127=8,$O$177,IF($D$127=10,$O$175,IF($D$127=12,$O$175,IF($D$127=14,$O$177,IF($D$127=18,$O$175,IF($D$127=20,$O$176,IF($D$127=22,"")))))))))</f>
        <v>8,14 mm ยางอัดกระจก</v>
      </c>
      <c r="C193" s="176" t="str">
        <f aca="false">IF($D$127=5,$P$175,IF($D$127=6,$P$176,IF($D$127=8,$P$177,IF($D$127=10,$P$175,IF($D$127=12,$P$175,IF($D$127=14,$P$177,IF($D$127=18,$P$175,IF($D$127=20,$P$176,IF($D$127=22,"")))))))))</f>
        <v>8,14 mm ROLL IN WEDGE</v>
      </c>
      <c r="D193" s="176" t="str">
        <f aca="false">IF($D$127=5,$Q$175,IF($D$127=6,$Q$176,IF($D$127=8,$Q$177,IF($D$127=10,$Q$175,IF($D$127=12,$Q$175,IF($D$127=14,$Q$177,IF($D$127=18,$Q$175,IF($D$127=20,$Q$176,IF($D$127=22,"")))))))))</f>
        <v>02-045</v>
      </c>
      <c r="E193" s="176" t="n">
        <f aca="false">IF($D$127=5,R180,IF($D$127=6,R181,IF($D$127=8,R182,IF($D$127=10,R180,IF($D$127=12,R180,IF($D$127=14,R182,IF($D$127=18,R180,IF($D$127=20,R181,IF($D$127=22,"",)))))))))</f>
        <v>0</v>
      </c>
      <c r="F193" s="167" t="str">
        <f aca="false">IF($D$127=5,$S$175,IF($D$127=6,$S$176,IF($D$127=8,$S$177,IF($D$127=10,$S$175,IF($D$127=12,$S$175,IF($D$127=14,$S$177,IF($D$127=18,$S$175,IF($D$127=20,$S$176,IF($D$127=22,"")))))))))</f>
        <v>02-045</v>
      </c>
      <c r="G193" s="167" t="str">
        <f aca="false">IF($D$127=5,$T$175,IF($D$127=6,$T$176,IF($D$127=8,$T$177,IF($D$127=10,$T$175,IF($D$127=12,$T$175,IF($D$127=14,$T$177,IF($D$127=18,$T$175,IF($D$127=20,$T$176,IF($D$127=22,"")))))))))</f>
        <v>M</v>
      </c>
      <c r="H193" s="173" t="n">
        <f aca="false">IF($D$127=5,$U$175,IF($D$127=6,$U$176,IF($D$127=8,$U$177,IF($D$127=10,$U$175*2,IF($D$127=12,$U$175,IF($D$127=14,$U$177*2,IF($D$127=18,$U$175,IF($D$127=20,$U$176,IF($D$127=22,"")))))))))</f>
        <v>38.144</v>
      </c>
      <c r="I193" s="174" t="n">
        <f aca="false">IF($D$127=5,$V$175,IF($D$127=6,$V$176,IF($D$127=8,$V$177,IF($D$127=10,$V$175,IF($D$127=12,$V$175,IF($D$127=14,$V$177,IF($D$127=18,$V$175,IF($D$127=20,$V$176,IF($D$127=22,"")))))))))</f>
        <v>100</v>
      </c>
      <c r="J193" s="177" t="n">
        <f aca="false">ROUNDUP((H193)/100,0)</f>
        <v>1</v>
      </c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</row>
    <row r="194" s="96" customFormat="true" ht="18" hidden="false" customHeight="true" outlineLevel="0" collapsed="false">
      <c r="A194" s="170" t="n">
        <f aca="false">IF(B194="","",+A193+1)</f>
        <v>22</v>
      </c>
      <c r="B194" s="176" t="str">
        <f aca="false">IF($D$127=5,$O$173,IF($D$127=6,$O$173,IF($D$127=8,$O$175,IF($D$127=10,"",IF($D$127=12,$O$174,IF($D$127=14,"",IF($D$127=18,$O$173,IF($D$127=20,$O$174,IF($D$127=22,"",)))))))))</f>
        <v>5,8,10,12,18 mmยางอัดกระจก</v>
      </c>
      <c r="C194" s="176" t="str">
        <f aca="false">IF($D$127=5,$P$173,IF($D$127=6,$P$173,IF($D$127=8,$P$175,IF($D$127=10,"",IF($D$127=12,$P$174,IF($D$127=14,"",IF($D$127=18,$P$173,IF($D$127=20,$P$174,IF($D$127=22,"",)))))))))</f>
        <v>5,8,10,12,18 mm ROLL IN WEDGE</v>
      </c>
      <c r="D194" s="176" t="str">
        <f aca="false">IF($D$127=5,$Q$173,IF($D$127=6,$Q$173,IF($D$127=8,$Q$175,IF($D$127=10,"",IF($D$127=12,$Q$174,IF($D$127=14,"",IF($D$127=18,$Q$173,IF($D$127=20,$Q$174,IF($D$127=22,"",)))))))))</f>
        <v>02-033</v>
      </c>
      <c r="E194" s="176" t="n">
        <f aca="false">IF($D$127=5,R178,IF($D$127=6,R178,IF($D$127=8,R180,IF($D$127=10,"",IF($D$127=12,R179,IF($D$127=14,"",IF($D$127=18,R178,IF($D$127=20,R179,IF($D$127=22,"",)))))))))</f>
        <v>0</v>
      </c>
      <c r="F194" s="167" t="str">
        <f aca="false">IF($D$127=5,$S$173,IF($D$127=6,$S$173,IF($D$127=8,$S$175,IF($D$127=10,"",IF($D$127=12,$S$174,IF($D$127=14,"",IF($D$127=18,$S$173,IF($D$127=20,$S$174,IF($D$127=22,"",)))))))))</f>
        <v>02-033</v>
      </c>
      <c r="G194" s="167" t="str">
        <f aca="false">IF($D$127=5,$T$173,IF($D$127=6,$T$173,IF($D$127=8,$T$175,IF($D$127=10,"",IF($D$127=12,$T$174,IF($D$127=14,"",IF($D$127=18,$T$173,IF($D$127=20,$T$174,IF($D$127=22,"",)))))))))</f>
        <v>M</v>
      </c>
      <c r="H194" s="173" t="n">
        <f aca="false">IF($D$127=5,$U$173,IF($D$127=6,$U$173,IF($D$127=8,$U$175,IF($D$127=10,"",IF($D$127=12,$U$174,IF($D$127=14,"",IF($D$127=18,$U$173,IF($D$127=20,$U$174,IF($D$127=22,"")))))))))</f>
        <v>38.144</v>
      </c>
      <c r="I194" s="174" t="n">
        <f aca="false">IF($D$127=5,$V$173,IF($D$127=6,$V$173,IF($D$127=8,$V$175,IF($D$127=10,"",IF($D$127=12,$V$174,IF($D$127=14,"",IF($D$127=18,$V$173,IF($D$127=20,$V$174,IF($D$127=22,"",)))))))))</f>
        <v>100</v>
      </c>
      <c r="J194" s="177" t="n">
        <f aca="false">ROUNDUP((H194)/100,0)</f>
        <v>1</v>
      </c>
    </row>
    <row r="195" s="96" customFormat="true" ht="18" hidden="false" customHeight="true" outlineLevel="0" collapsed="false">
      <c r="A195" s="170" t="str">
        <f aca="false">IF(B195="","",+A194+1)</f>
        <v/>
      </c>
      <c r="B195" s="131"/>
      <c r="C195" s="131"/>
      <c r="D195" s="132"/>
      <c r="E195" s="130"/>
      <c r="F195" s="130"/>
      <c r="G195" s="130"/>
      <c r="H195" s="130"/>
      <c r="I195" s="133"/>
      <c r="J195" s="134"/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30"/>
      <c r="I196" s="133"/>
      <c r="J196" s="134" t="n">
        <f aca="false">$J$120*H196</f>
        <v>0</v>
      </c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$J$120*H197</f>
        <v>0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$J$120*H198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$J$120*H204</f>
        <v>0</v>
      </c>
    </row>
    <row r="205" s="96" customFormat="true" ht="18" hidden="false" customHeight="true" outlineLevel="0" collapsed="false">
      <c r="A205" s="179" t="str">
        <f aca="false">IF(B205="","",+A204+1)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$J$120*H205</f>
        <v>0</v>
      </c>
    </row>
    <row r="206" s="96" customFormat="true" ht="18" hidden="false" customHeight="true" outlineLevel="0" collapsed="false">
      <c r="A206" s="200"/>
      <c r="B206" s="98"/>
      <c r="D206" s="98"/>
      <c r="E206" s="97"/>
      <c r="F206" s="98"/>
      <c r="G206" s="98"/>
      <c r="H206" s="98"/>
      <c r="I206" s="196"/>
      <c r="J206" s="196"/>
    </row>
    <row r="207" customFormat="false" ht="18" hidden="false" customHeight="true" outlineLevel="0" collapsed="false">
      <c r="A207" s="97"/>
      <c r="J207" s="92" t="str">
        <f aca="false">LEFT($J$111,13)&amp;"-02"</f>
        <v>FG-240-9P3L6R-02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458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1940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461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1914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464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1940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97"/>
      <c r="H252" s="97"/>
      <c r="I252" s="196"/>
      <c r="J252" s="196"/>
    </row>
    <row r="253" s="96" customFormat="true" ht="15.75" hidden="false" customHeight="true" outlineLevel="0" collapsed="false">
      <c r="A253" s="191"/>
      <c r="B253" s="191"/>
      <c r="D253" s="192"/>
      <c r="E253" s="191"/>
      <c r="F253" s="191"/>
      <c r="G253" s="97"/>
      <c r="H253" s="97"/>
      <c r="I253" s="196"/>
      <c r="J253" s="196"/>
    </row>
    <row r="254" s="96" customFormat="true" ht="15.75" hidden="false" customHeight="true" outlineLevel="0" collapsed="false">
      <c r="A254" s="190"/>
      <c r="B254" s="190"/>
      <c r="C254" s="184" t="s">
        <v>465</v>
      </c>
      <c r="D254" s="194"/>
      <c r="E254" s="190"/>
      <c r="F254" s="189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459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460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5" t="n">
        <f aca="false">$I$136</f>
        <v>1940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7" t="n">
        <f aca="false">$J$136</f>
        <v>1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C262" s="98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184" t="s">
        <v>466</v>
      </c>
      <c r="D264" s="98"/>
      <c r="E264" s="97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467</v>
      </c>
      <c r="D265" s="181"/>
      <c r="E265" s="181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468</v>
      </c>
      <c r="D266" s="181"/>
      <c r="E266" s="181"/>
      <c r="F266" s="97"/>
      <c r="G266" s="97"/>
      <c r="H266" s="97"/>
      <c r="J266" s="97"/>
    </row>
    <row r="267" s="96" customFormat="true" ht="15.75" hidden="false" customHeight="true" outlineLevel="0" collapsed="false">
      <c r="A267" s="200"/>
      <c r="C267" s="185" t="n">
        <f aca="false">$I$137</f>
        <v>2000</v>
      </c>
      <c r="D267" s="98"/>
      <c r="E267" s="97"/>
      <c r="F267" s="97"/>
      <c r="J267" s="97"/>
    </row>
    <row r="268" s="96" customFormat="true" ht="15.75" hidden="false" customHeight="true" outlineLevel="0" collapsed="false">
      <c r="A268" s="200"/>
      <c r="C268" s="187" t="n">
        <f aca="false">$J$137+$J$138</f>
        <v>2</v>
      </c>
      <c r="D268" s="98"/>
      <c r="E268" s="97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H272" s="97"/>
      <c r="J272" s="97"/>
    </row>
    <row r="273" s="96" customFormat="true" ht="15.75" hidden="false" customHeight="true" outlineLevel="0" collapsed="false">
      <c r="A273" s="200"/>
      <c r="D273" s="181"/>
      <c r="E273" s="181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D274" s="98"/>
      <c r="E274" s="97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4" t="s">
        <v>469</v>
      </c>
      <c r="D275" s="201"/>
      <c r="E275" s="196"/>
      <c r="F275" s="97"/>
      <c r="G275" s="97"/>
      <c r="I275" s="196"/>
      <c r="J275" s="196"/>
    </row>
    <row r="276" s="96" customFormat="true" ht="15.75" hidden="false" customHeight="true" outlineLevel="0" collapsed="false">
      <c r="A276" s="200"/>
      <c r="C276" s="181" t="s">
        <v>470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1" t="s">
        <v>471</v>
      </c>
      <c r="D277" s="181"/>
      <c r="E277" s="181"/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5" t="n">
        <f aca="false">$I$139</f>
        <v>1904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C279" s="187" t="n">
        <f aca="false">$J$139+$J$140</f>
        <v>2</v>
      </c>
      <c r="F279" s="97"/>
      <c r="G279" s="97"/>
      <c r="I279" s="97"/>
      <c r="J279" s="196"/>
    </row>
    <row r="280" s="96" customFormat="true" ht="15.75" hidden="false" customHeight="true" outlineLevel="0" collapsed="false">
      <c r="A280" s="200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D281" s="98"/>
      <c r="E281" s="97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J282" s="97"/>
    </row>
    <row r="283" s="96" customFormat="true" ht="15.75" hidden="false" customHeight="true" outlineLevel="0" collapsed="false">
      <c r="A283" s="200"/>
      <c r="F283" s="97"/>
      <c r="G283" s="97"/>
      <c r="H283" s="97"/>
      <c r="I283" s="201"/>
      <c r="J283" s="196"/>
    </row>
    <row r="284" s="96" customFormat="true" ht="15.75" hidden="false" customHeight="true" outlineLevel="0" collapsed="false">
      <c r="A284" s="200"/>
      <c r="C284" s="184" t="s">
        <v>472</v>
      </c>
      <c r="F284" s="97"/>
      <c r="G284" s="97"/>
      <c r="H284" s="97"/>
      <c r="I284" s="97"/>
      <c r="J284" s="196"/>
    </row>
    <row r="285" s="96" customFormat="true" ht="15.75" hidden="false" customHeight="true" outlineLevel="0" collapsed="false">
      <c r="A285" s="200"/>
      <c r="C285" s="83" t="s">
        <v>763</v>
      </c>
      <c r="D285" s="98"/>
      <c r="E285" s="97"/>
      <c r="F285" s="97"/>
      <c r="G285" s="97"/>
      <c r="H285" s="97"/>
      <c r="I285" s="196"/>
      <c r="J285" s="196"/>
    </row>
    <row r="286" s="96" customFormat="true" ht="15.75" hidden="false" customHeight="true" outlineLevel="0" collapsed="false">
      <c r="A286" s="200"/>
      <c r="C286" s="181" t="s">
        <v>764</v>
      </c>
      <c r="D286" s="98"/>
      <c r="E286" s="97"/>
      <c r="F286" s="97"/>
      <c r="G286" s="97"/>
      <c r="H286" s="97"/>
      <c r="I286" s="196"/>
      <c r="J286" s="196"/>
    </row>
    <row r="287" s="96" customFormat="true" ht="15.75" hidden="false" customHeight="true" outlineLevel="0" collapsed="false">
      <c r="A287" s="200"/>
      <c r="C287" s="181" t="s">
        <v>475</v>
      </c>
      <c r="D287" s="181"/>
      <c r="E287" s="181"/>
      <c r="F287" s="97"/>
      <c r="G287" s="97"/>
      <c r="I287" s="196"/>
      <c r="J287" s="196"/>
    </row>
    <row r="288" s="202" customFormat="true" ht="15.75" hidden="false" customHeight="true" outlineLevel="0" collapsed="false">
      <c r="A288" s="200"/>
      <c r="B288" s="96"/>
      <c r="C288" s="181" t="s">
        <v>476</v>
      </c>
      <c r="D288" s="181"/>
      <c r="E288" s="181"/>
      <c r="F288" s="97"/>
      <c r="G288" s="97"/>
      <c r="H288" s="96"/>
      <c r="I288" s="97"/>
      <c r="J288" s="97"/>
    </row>
    <row r="289" s="96" customFormat="true" ht="15.75" hidden="false" customHeight="true" outlineLevel="0" collapsed="false">
      <c r="A289" s="200"/>
      <c r="C289" s="185" t="n">
        <f aca="false">$I$141</f>
        <v>211.111111111111</v>
      </c>
      <c r="F289" s="97"/>
      <c r="G289" s="97"/>
      <c r="I289" s="191"/>
      <c r="J289" s="199"/>
    </row>
    <row r="290" s="96" customFormat="true" ht="15.75" hidden="false" customHeight="true" outlineLevel="0" collapsed="false">
      <c r="A290" s="200"/>
      <c r="C290" s="187" t="n">
        <f aca="false">$J$141+$J$142</f>
        <v>18</v>
      </c>
      <c r="D290" s="98"/>
      <c r="E290" s="97"/>
      <c r="F290" s="97"/>
      <c r="G290" s="97"/>
      <c r="H290" s="98"/>
      <c r="I290" s="189"/>
      <c r="J290" s="190"/>
    </row>
    <row r="291" s="96" customFormat="true" ht="15.75" hidden="false" customHeight="true" outlineLevel="0" collapsed="false">
      <c r="A291" s="200"/>
      <c r="C291" s="185" t="n">
        <f aca="false">$I$143</f>
        <v>1908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C292" s="187" t="n">
        <f aca="false">$J$143+$J$144+$J$145+$J$146</f>
        <v>18</v>
      </c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D293" s="98"/>
      <c r="E293" s="97"/>
      <c r="F293" s="97"/>
      <c r="G293" s="97"/>
      <c r="H293" s="97"/>
      <c r="I293" s="196"/>
      <c r="J293" s="196"/>
    </row>
    <row r="294" s="96" customFormat="true" ht="15.75" hidden="false" customHeight="true" outlineLevel="0" collapsed="false">
      <c r="A294" s="200"/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202"/>
      <c r="D295" s="98"/>
      <c r="E295" s="97"/>
      <c r="F295" s="97"/>
      <c r="G295" s="97"/>
      <c r="H295" s="97"/>
      <c r="I295" s="97"/>
      <c r="J295" s="196"/>
    </row>
    <row r="296" s="96" customFormat="true" ht="15.75" hidden="false" customHeight="true" outlineLevel="0" collapsed="false">
      <c r="A296" s="200"/>
      <c r="C296" s="184" t="s">
        <v>477</v>
      </c>
      <c r="D296" s="98"/>
      <c r="E296" s="97"/>
      <c r="F296" s="97"/>
      <c r="G296" s="97"/>
      <c r="H296" s="97"/>
      <c r="I296" s="97"/>
      <c r="J296" s="196"/>
    </row>
    <row r="297" s="96" customFormat="true" ht="15.75" hidden="false" customHeight="true" outlineLevel="0" collapsed="false">
      <c r="A297" s="200"/>
      <c r="C297" s="83" t="s">
        <v>763</v>
      </c>
      <c r="D297" s="98"/>
      <c r="E297" s="97"/>
      <c r="F297" s="97"/>
      <c r="G297" s="191"/>
      <c r="H297" s="191"/>
      <c r="I297" s="97"/>
      <c r="J297" s="196"/>
    </row>
    <row r="298" s="96" customFormat="true" ht="15.75" hidden="false" customHeight="true" outlineLevel="0" collapsed="false">
      <c r="A298" s="200"/>
      <c r="C298" s="181" t="s">
        <v>764</v>
      </c>
      <c r="D298" s="181"/>
      <c r="E298" s="181"/>
      <c r="F298" s="97"/>
      <c r="G298" s="190"/>
      <c r="H298" s="189"/>
      <c r="I298" s="97"/>
      <c r="J298" s="196"/>
    </row>
    <row r="299" s="96" customFormat="true" ht="15.75" hidden="false" customHeight="true" outlineLevel="0" collapsed="false">
      <c r="A299" s="107"/>
      <c r="C299" s="181" t="s">
        <v>478</v>
      </c>
      <c r="D299" s="181"/>
      <c r="E299" s="181"/>
      <c r="F299" s="97"/>
      <c r="G299" s="97"/>
      <c r="H299" s="97"/>
      <c r="I299" s="97"/>
      <c r="J299" s="196"/>
    </row>
    <row r="300" s="96" customFormat="true" ht="15.75" hidden="false" customHeight="true" outlineLevel="0" collapsed="false">
      <c r="A300" s="191"/>
      <c r="B300" s="191"/>
      <c r="C300" s="181" t="s">
        <v>479</v>
      </c>
      <c r="D300" s="203"/>
      <c r="E300" s="204"/>
      <c r="F300" s="191"/>
      <c r="G300" s="97"/>
      <c r="H300" s="97"/>
      <c r="I300" s="97"/>
      <c r="J300" s="196"/>
    </row>
    <row r="301" s="96" customFormat="true" ht="15.75" hidden="false" customHeight="true" outlineLevel="0" collapsed="false">
      <c r="A301" s="190"/>
      <c r="B301" s="190"/>
      <c r="C301" s="185" t="n">
        <f aca="false">$I$147</f>
        <v>101</v>
      </c>
      <c r="D301" s="205"/>
      <c r="E301" s="206"/>
      <c r="F301" s="189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7" t="n">
        <f aca="false">$J$147</f>
        <v>18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5" t="n">
        <f aca="false">$I$148</f>
        <v>1758</v>
      </c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C304" s="187" t="n">
        <f aca="false">$J$148</f>
        <v>18</v>
      </c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C306" s="184" t="s">
        <v>744</v>
      </c>
      <c r="D306" s="98"/>
      <c r="E306" s="97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1" t="s">
        <v>475</v>
      </c>
      <c r="D307" s="181"/>
      <c r="E307" s="181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249" t="s">
        <v>476</v>
      </c>
      <c r="D308" s="249"/>
      <c r="E308" s="249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5" t="n">
        <f aca="false">$I$149</f>
        <v>1908</v>
      </c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7" t="n">
        <f aca="false">$J$149+$J$150</f>
        <v>2</v>
      </c>
      <c r="D310" s="181"/>
      <c r="E310" s="181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LEFT($J$111,13)&amp;"-03"</f>
        <v>FG-240-9P3L6R-03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I316" s="76"/>
      <c r="J316" s="77" t="str">
        <f aca="false">$J$2</f>
        <v>HOMELIFE</v>
      </c>
      <c r="K316" s="83"/>
      <c r="L316" s="83"/>
      <c r="M316" s="79"/>
      <c r="N316" s="79"/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240-9 Panel (3L6R)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195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91"/>
      <c r="D405" s="98"/>
      <c r="E405" s="97"/>
      <c r="F405" s="97"/>
      <c r="G405" s="97"/>
      <c r="H405" s="97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LEFT($J$111,13)&amp;"-04"</f>
        <v>FG-240-9P3L6R-04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B423" s="96"/>
      <c r="C423" s="96"/>
      <c r="D423" s="98"/>
      <c r="E423" s="97"/>
      <c r="F423" s="97"/>
      <c r="G423" s="97"/>
      <c r="H423" s="97"/>
      <c r="I423" s="76"/>
      <c r="J423" s="77" t="str">
        <f aca="false">J2</f>
        <v>HOMELIFE</v>
      </c>
      <c r="K423" s="83"/>
      <c r="L423" s="83"/>
      <c r="M423" s="79"/>
      <c r="N423" s="79"/>
    </row>
    <row r="424" customFormat="false" ht="24.75" hidden="false" customHeight="true" outlineLevel="0" collapsed="false">
      <c r="C424" s="75"/>
      <c r="D424" s="76"/>
      <c r="E424" s="76"/>
      <c r="F424" s="76"/>
      <c r="G424" s="76"/>
      <c r="H424" s="76"/>
      <c r="I424" s="82"/>
      <c r="J424" s="80" t="str">
        <f aca="false">J3</f>
        <v>Fabricators Guide</v>
      </c>
      <c r="K424" s="83"/>
      <c r="L424" s="83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J4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240-9 Panel (3L6R)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191"/>
      <c r="C442" s="212"/>
      <c r="D442" s="98"/>
      <c r="E442" s="97"/>
      <c r="F442" s="97"/>
      <c r="H442" s="191"/>
      <c r="I442" s="191"/>
      <c r="J442" s="199"/>
    </row>
    <row r="443" s="96" customFormat="true" ht="15.75" hidden="false" customHeight="true" outlineLevel="0" collapsed="false">
      <c r="A443" s="190"/>
      <c r="C443" s="191"/>
      <c r="D443" s="192"/>
      <c r="E443" s="191"/>
      <c r="F443" s="191"/>
      <c r="H443" s="191"/>
      <c r="I443" s="191"/>
      <c r="J443" s="199"/>
    </row>
    <row r="444" s="96" customFormat="true" ht="34.5" hidden="false" customHeight="true" outlineLevel="0" collapsed="false">
      <c r="A444" s="97"/>
      <c r="C444" s="98"/>
      <c r="D444" s="194"/>
      <c r="E444" s="190"/>
      <c r="F444" s="189"/>
      <c r="H444" s="191"/>
      <c r="I444" s="196"/>
      <c r="J444" s="196"/>
    </row>
    <row r="445" customFormat="false" ht="15" hidden="false" customHeight="true" outlineLevel="0" collapsed="false">
      <c r="B445" s="211"/>
      <c r="C445" s="98"/>
      <c r="D445" s="98"/>
      <c r="E445" s="97"/>
      <c r="F445" s="98"/>
      <c r="G445" s="97"/>
      <c r="H445" s="97"/>
    </row>
    <row r="450" s="96" customFormat="true" ht="15.75" hidden="false" customHeight="true" outlineLevel="0" collapsed="false">
      <c r="A450" s="97"/>
      <c r="D450" s="73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191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97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196"/>
      <c r="J457" s="196"/>
    </row>
    <row r="458" s="96" customFormat="true" ht="15.7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195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202" customFormat="true" ht="15.75" hidden="false" customHeight="true" outlineLevel="0" collapsed="false">
      <c r="A477" s="97"/>
      <c r="B477" s="96"/>
      <c r="C477" s="96"/>
      <c r="D477" s="98"/>
      <c r="E477" s="97"/>
      <c r="F477" s="97"/>
      <c r="G477" s="97"/>
      <c r="H477" s="97"/>
      <c r="I477" s="97"/>
      <c r="J477" s="97"/>
    </row>
    <row r="478" s="96" customFormat="true" ht="15.75" hidden="false" customHeight="true" outlineLevel="0" collapsed="false">
      <c r="A478" s="191"/>
      <c r="D478" s="98"/>
      <c r="E478" s="97"/>
      <c r="F478" s="97"/>
      <c r="G478" s="97"/>
      <c r="H478" s="97"/>
      <c r="I478" s="191"/>
      <c r="J478" s="199"/>
    </row>
    <row r="479" s="96" customFormat="true" ht="15.75" hidden="false" customHeight="true" outlineLevel="0" collapsed="false">
      <c r="A479" s="190"/>
      <c r="B479" s="191"/>
      <c r="C479" s="191"/>
      <c r="D479" s="192"/>
      <c r="E479" s="191"/>
      <c r="F479" s="191"/>
      <c r="G479" s="191"/>
      <c r="H479" s="191"/>
      <c r="I479" s="189"/>
      <c r="J479" s="190"/>
    </row>
    <row r="480" s="96" customFormat="true" ht="15.75" hidden="false" customHeight="true" outlineLevel="0" collapsed="false">
      <c r="A480" s="200"/>
      <c r="B480" s="190"/>
      <c r="C480" s="191"/>
      <c r="D480" s="194"/>
      <c r="E480" s="190"/>
      <c r="F480" s="189"/>
      <c r="G480" s="190"/>
      <c r="H480" s="189"/>
      <c r="I480" s="196"/>
      <c r="J480" s="196"/>
    </row>
    <row r="481" s="96" customFormat="true" ht="15.75" hidden="false" customHeight="true" outlineLevel="0" collapsed="false">
      <c r="A481" s="200"/>
      <c r="C481" s="182"/>
      <c r="D481" s="98"/>
      <c r="E481" s="97"/>
      <c r="F481" s="97"/>
      <c r="G481" s="97"/>
      <c r="H481" s="182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C487" s="98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182"/>
      <c r="J499" s="97"/>
    </row>
    <row r="500" s="96" customFormat="true" ht="15.75" hidden="false" customHeight="true" outlineLevel="0" collapsed="false">
      <c r="A500" s="200"/>
      <c r="C500" s="188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I501" s="196"/>
      <c r="J501" s="196"/>
    </row>
    <row r="502" s="96" customFormat="true" ht="15.75" hidden="false" customHeight="true" outlineLevel="0" collapsed="false">
      <c r="A502" s="200"/>
      <c r="C502" s="98"/>
      <c r="D502" s="98"/>
      <c r="E502" s="97"/>
      <c r="F502" s="97"/>
      <c r="G502" s="97"/>
      <c r="H502" s="182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212"/>
      <c r="J510" s="195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212"/>
      <c r="J511" s="195"/>
    </row>
    <row r="512" s="96" customFormat="true" ht="15.75" hidden="false" customHeight="true" outlineLevel="0" collapsed="false">
      <c r="A512" s="191"/>
      <c r="B512" s="191"/>
      <c r="C512" s="191"/>
      <c r="D512" s="192"/>
      <c r="E512" s="191"/>
      <c r="F512" s="191"/>
      <c r="G512" s="191"/>
      <c r="H512" s="191"/>
      <c r="I512" s="191"/>
      <c r="J512" s="199"/>
    </row>
    <row r="513" s="96" customFormat="true" ht="15.75" hidden="false" customHeight="true" outlineLevel="0" collapsed="false">
      <c r="A513" s="191"/>
      <c r="B513" s="191"/>
      <c r="C513" s="191"/>
      <c r="D513" s="192"/>
      <c r="E513" s="191"/>
      <c r="F513" s="191"/>
      <c r="G513" s="191"/>
      <c r="H513" s="191"/>
      <c r="I513" s="191"/>
      <c r="J513" s="199"/>
    </row>
    <row r="514" s="96" customFormat="true" ht="15.75" hidden="false" customHeight="true" outlineLevel="0" collapsed="false">
      <c r="A514" s="191"/>
      <c r="B514" s="191"/>
      <c r="C514" s="191"/>
      <c r="D514" s="192"/>
      <c r="E514" s="191"/>
      <c r="F514" s="191"/>
      <c r="G514" s="191"/>
      <c r="H514" s="191"/>
      <c r="I514" s="191"/>
      <c r="J514" s="199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B516" s="191"/>
      <c r="C516" s="191"/>
      <c r="D516" s="192"/>
      <c r="E516" s="191"/>
      <c r="F516" s="191"/>
      <c r="G516" s="191"/>
      <c r="H516" s="191"/>
    </row>
    <row r="517" s="96" customFormat="true" ht="15.75" hidden="false" customHeight="true" outlineLevel="0" collapsed="false"/>
    <row r="518" s="96" customFormat="true" ht="24.75" hidden="false" customHeight="true" outlineLevel="0" collapsed="false">
      <c r="A518" s="88" t="s">
        <v>482</v>
      </c>
      <c r="B518" s="88"/>
      <c r="C518" s="88"/>
      <c r="D518" s="88"/>
      <c r="E518" s="88"/>
      <c r="F518" s="88"/>
      <c r="G518" s="88"/>
      <c r="H518" s="88"/>
      <c r="I518" s="88"/>
      <c r="J518" s="88"/>
    </row>
    <row r="519" s="96" customFormat="true" ht="34.5" hidden="false" customHeight="true" outlineLevel="0" collapsed="false">
      <c r="A519" s="322" t="s">
        <v>319</v>
      </c>
      <c r="B519" s="323" t="s">
        <v>168</v>
      </c>
      <c r="C519" s="115" t="s">
        <v>168</v>
      </c>
      <c r="D519" s="116" t="s">
        <v>483</v>
      </c>
      <c r="E519" s="115" t="s">
        <v>321</v>
      </c>
      <c r="F519" s="239" t="s">
        <v>484</v>
      </c>
      <c r="G519" s="240"/>
      <c r="H519" s="116" t="s">
        <v>484</v>
      </c>
      <c r="I519" s="116" t="s">
        <v>485</v>
      </c>
      <c r="J519" s="117" t="s">
        <v>323</v>
      </c>
      <c r="N519" s="118" t="s">
        <v>168</v>
      </c>
      <c r="O519" s="118" t="s">
        <v>168</v>
      </c>
    </row>
    <row r="520" s="96" customFormat="true" ht="15.75" hidden="false" customHeight="true" outlineLevel="0" collapsed="false">
      <c r="A520" s="324" t="n">
        <f aca="false">IF(C520="","",1)</f>
        <v>1</v>
      </c>
      <c r="B520" s="121" t="str">
        <f aca="false">IF($D$127=5,N520,IF($D$127=6,N521,IF($D$127=8,N522,IF($D$127=10,N523,IF($D$127=12,N524,IF($D$127=14,N525,IF($D$127=18,N526,IF($D$127=20,N527,IF($D$127=22,N528,)))))))))</f>
        <v>กระจก 8 mm (สูง) (กว้าง)</v>
      </c>
      <c r="C520" s="121" t="str">
        <f aca="false">IF($D$127=5,O520,IF($D$127=6,O521,IF($D$127=8,O522,IF($D$127=10,O523,IF($D$127=12,O524,IF($D$127=14,O525,IF($D$127=18,O526,IF($D$127=20,O527,IF($D$127=22,O528,)))))))))</f>
        <v>GLASS thk.8 mm (H) (W)</v>
      </c>
      <c r="D520" s="123" t="n">
        <f aca="false">$J$123-215</f>
        <v>1785</v>
      </c>
      <c r="E520" s="120" t="s">
        <v>486</v>
      </c>
      <c r="F520" s="224" t="s">
        <v>487</v>
      </c>
      <c r="G520" s="224"/>
      <c r="H520" s="120" t="s">
        <v>765</v>
      </c>
      <c r="I520" s="123" t="n">
        <f aca="false">(($J$126-185-(113.25*8))/9)-13</f>
        <v>88</v>
      </c>
      <c r="J520" s="232" t="n">
        <f aca="false">$J$120*9</f>
        <v>9</v>
      </c>
      <c r="M520" s="96" t="n">
        <f aca="false">ROW()</f>
        <v>520</v>
      </c>
      <c r="N520" s="62" t="s">
        <v>489</v>
      </c>
      <c r="O520" s="62" t="s">
        <v>490</v>
      </c>
    </row>
    <row r="521" s="96" customFormat="true" ht="15.75" hidden="false" customHeight="true" outlineLevel="0" collapsed="false">
      <c r="A521" s="227"/>
      <c r="B521" s="131"/>
      <c r="C521" s="131"/>
      <c r="D521" s="132" t="s">
        <v>208</v>
      </c>
      <c r="E521" s="130"/>
      <c r="F521" s="233"/>
      <c r="G521" s="234"/>
      <c r="H521" s="131"/>
      <c r="I521" s="133"/>
      <c r="J521" s="235"/>
      <c r="M521" s="96" t="n">
        <f aca="false">ROW()</f>
        <v>521</v>
      </c>
      <c r="N521" s="62" t="s">
        <v>491</v>
      </c>
      <c r="O521" s="62" t="s">
        <v>492</v>
      </c>
    </row>
    <row r="522" s="96" customFormat="true" ht="15.75" hidden="false" customHeight="true" outlineLevel="0" collapsed="false">
      <c r="A522" s="227"/>
      <c r="B522" s="131"/>
      <c r="C522" s="131"/>
      <c r="D522" s="132"/>
      <c r="E522" s="130"/>
      <c r="F522" s="233"/>
      <c r="G522" s="234"/>
      <c r="H522" s="130"/>
      <c r="I522" s="133"/>
      <c r="J522" s="235"/>
      <c r="M522" s="96" t="n">
        <f aca="false">ROW()</f>
        <v>522</v>
      </c>
      <c r="N522" s="62" t="s">
        <v>493</v>
      </c>
      <c r="O522" s="62" t="s">
        <v>494</v>
      </c>
    </row>
    <row r="523" s="96" customFormat="true" ht="15.75" hidden="false" customHeight="true" outlineLevel="0" collapsed="false">
      <c r="A523" s="130" t="str">
        <f aca="false">IF(B523="","",+A521+1)</f>
        <v/>
      </c>
      <c r="B523" s="131"/>
      <c r="C523" s="131"/>
      <c r="D523" s="132"/>
      <c r="E523" s="130"/>
      <c r="F523" s="233"/>
      <c r="G523" s="270"/>
      <c r="H523" s="130"/>
      <c r="I523" s="142"/>
      <c r="J523" s="133"/>
      <c r="M523" s="96" t="n">
        <f aca="false">ROW()</f>
        <v>523</v>
      </c>
      <c r="N523" s="62" t="s">
        <v>495</v>
      </c>
      <c r="O523" s="62" t="s">
        <v>496</v>
      </c>
    </row>
    <row r="524" s="96" customFormat="true" ht="15.75" hidden="false" customHeight="true" outlineLevel="0" collapsed="false">
      <c r="A524" s="136" t="str">
        <f aca="false">IF(B524="","",+A523+1)</f>
        <v/>
      </c>
      <c r="B524" s="135"/>
      <c r="C524" s="135"/>
      <c r="D524" s="139"/>
      <c r="E524" s="136"/>
      <c r="F524" s="236"/>
      <c r="G524" s="237"/>
      <c r="H524" s="136"/>
      <c r="I524" s="180"/>
      <c r="J524" s="140"/>
      <c r="M524" s="96" t="n">
        <f aca="false">ROW()</f>
        <v>524</v>
      </c>
      <c r="N524" s="62" t="s">
        <v>497</v>
      </c>
      <c r="O524" s="62" t="s">
        <v>498</v>
      </c>
    </row>
    <row r="525" s="96" customFormat="true" ht="15.75" hidden="false" customHeight="true" outlineLevel="0" collapsed="false">
      <c r="A525" s="97"/>
      <c r="D525" s="98"/>
      <c r="E525" s="97"/>
      <c r="F525" s="97"/>
      <c r="G525" s="97"/>
      <c r="H525" s="97"/>
      <c r="I525" s="97"/>
      <c r="J525" s="196"/>
      <c r="M525" s="96" t="n">
        <f aca="false">ROW()</f>
        <v>525</v>
      </c>
      <c r="N525" s="62" t="s">
        <v>499</v>
      </c>
      <c r="O525" s="62" t="s">
        <v>500</v>
      </c>
    </row>
    <row r="526" customFormat="false" ht="14.25" hidden="false" customHeight="false" outlineLevel="0" collapsed="false">
      <c r="J526" s="92" t="str">
        <f aca="false">LEFT($J$111,13)&amp;"-05"</f>
        <v>FG-240-9P3L6R-05</v>
      </c>
      <c r="M526" s="96" t="n">
        <f aca="false">ROW()</f>
        <v>526</v>
      </c>
      <c r="N526" s="62" t="s">
        <v>501</v>
      </c>
      <c r="O526" s="62" t="s">
        <v>502</v>
      </c>
      <c r="P526" s="96"/>
      <c r="Q526" s="96"/>
      <c r="R526" s="96"/>
      <c r="S526" s="96"/>
      <c r="T526" s="96"/>
      <c r="U526" s="96"/>
      <c r="V526" s="96"/>
    </row>
    <row r="527" customFormat="false" ht="14.25" hidden="false" customHeight="false" outlineLevel="0" collapsed="false">
      <c r="M527" s="96" t="n">
        <f aca="false">ROW()</f>
        <v>527</v>
      </c>
      <c r="N527" s="62" t="s">
        <v>503</v>
      </c>
      <c r="O527" s="62" t="s">
        <v>504</v>
      </c>
      <c r="P527" s="96"/>
      <c r="Q527" s="96"/>
      <c r="R527" s="96"/>
      <c r="S527" s="96"/>
      <c r="T527" s="96"/>
      <c r="U527" s="96"/>
      <c r="V527" s="96"/>
    </row>
    <row r="528" customFormat="false" ht="14.25" hidden="false" customHeight="false" outlineLevel="0" collapsed="false">
      <c r="M528" s="96" t="n">
        <f aca="false">ROW()</f>
        <v>528</v>
      </c>
      <c r="N528" s="62" t="s">
        <v>505</v>
      </c>
      <c r="O528" s="62" t="s">
        <v>506</v>
      </c>
      <c r="P528" s="96"/>
      <c r="Q528" s="96"/>
      <c r="R528" s="96"/>
      <c r="S528" s="96"/>
      <c r="T528" s="96"/>
      <c r="U528" s="96"/>
      <c r="V528" s="96"/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2:J152"/>
    <mergeCell ref="I153:J153"/>
    <mergeCell ref="I154:J154"/>
    <mergeCell ref="I155:J155"/>
    <mergeCell ref="I156:J156"/>
    <mergeCell ref="D157:D158"/>
    <mergeCell ref="H157:H158"/>
    <mergeCell ref="I157:J158"/>
    <mergeCell ref="D159:D160"/>
    <mergeCell ref="H159:H160"/>
    <mergeCell ref="I159:J159"/>
    <mergeCell ref="I160:J163"/>
    <mergeCell ref="D161:D166"/>
    <mergeCell ref="H161:H166"/>
    <mergeCell ref="I164:J165"/>
    <mergeCell ref="I166:J166"/>
    <mergeCell ref="D167:D168"/>
    <mergeCell ref="H167:H168"/>
    <mergeCell ref="D169:D170"/>
    <mergeCell ref="H169:H170"/>
    <mergeCell ref="A171:J171"/>
    <mergeCell ref="A213:J213"/>
    <mergeCell ref="C308:E308"/>
    <mergeCell ref="A320:J320"/>
    <mergeCell ref="F330:G330"/>
    <mergeCell ref="F331:G331"/>
    <mergeCell ref="F334:G334"/>
    <mergeCell ref="A427:J427"/>
    <mergeCell ref="A518:J518"/>
    <mergeCell ref="F520:G520"/>
  </mergeCells>
  <dataValidations count="4">
    <dataValidation allowBlank="true" errorStyle="stop" operator="between" showDropDown="false" showErrorMessage="true" showInputMessage="true" sqref="C206" type="list">
      <formula1>$O$173:$O$191</formula1>
      <formula2>0</formula2>
    </dataValidation>
    <dataValidation allowBlank="true" errorStyle="stop" operator="between" showDropDown="false" showErrorMessage="true" showInputMessage="true" sqref="D123:G123" type="list">
      <formula1>$P$118:$P$127</formula1>
      <formula2>0</formula2>
    </dataValidation>
    <dataValidation allowBlank="true" errorStyle="stop" operator="between" showDropDown="false" showErrorMessage="true" showInputMessage="true" sqref="D127:G127" type="list">
      <formula1>$N$119:$N$127</formula1>
      <formula2>0</formula2>
    </dataValidation>
    <dataValidation allowBlank="true" errorStyle="stop" operator="between" showDropDown="false" showErrorMessage="true" showInputMessage="true" sqref="D129:G129" type="list">
      <formula1>$O$119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Y529"/>
  <sheetViews>
    <sheetView showFormulas="false" showGridLines="false" showRowColHeaders="true" showZeros="true" rightToLeft="false" tabSelected="false" showOutlineSymbols="true" defaultGridColor="true" view="pageBreakPreview" topLeftCell="A112" colorId="64" zoomScale="75" zoomScaleNormal="75" zoomScalePageLayoutView="75" workbookViewId="0">
      <selection pane="topLeft" activeCell="I135" activeCellId="0" sqref="I135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57.67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6.67"/>
    <col collapsed="false" customWidth="true" hidden="false" outlineLevel="0" max="9" min="9" style="0" width="15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19.88"/>
    <col collapsed="false" customWidth="true" hidden="true" outlineLevel="1" max="22" min="22" style="0" width="12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766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>
      <c r="G55" s="91"/>
    </row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767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325" t="s">
        <v>285</v>
      </c>
      <c r="B117" s="325"/>
      <c r="C117" s="325"/>
      <c r="D117" s="325"/>
      <c r="E117" s="325"/>
      <c r="F117" s="325"/>
      <c r="G117" s="325"/>
      <c r="H117" s="325"/>
      <c r="I117" s="325"/>
      <c r="J117" s="325"/>
      <c r="K117" s="83"/>
      <c r="L117" s="87"/>
      <c r="M117" s="87"/>
      <c r="N117" s="87"/>
    </row>
    <row r="118" s="96" customFormat="true" ht="18" hidden="false" customHeight="true" outlineLevel="0" collapsed="false">
      <c r="A118" s="97"/>
      <c r="C118" s="81"/>
      <c r="D118" s="98"/>
      <c r="E118" s="83"/>
      <c r="J118" s="99"/>
      <c r="K118" s="83"/>
      <c r="N118" s="258" t="s">
        <v>288</v>
      </c>
      <c r="O118" s="97" t="s">
        <v>289</v>
      </c>
      <c r="P118" s="102" t="s">
        <v>290</v>
      </c>
    </row>
    <row r="119" s="96" customFormat="true" ht="15" hidden="false" customHeight="true" outlineLevel="0" collapsed="false">
      <c r="A119" s="97"/>
      <c r="C119" s="100" t="s">
        <v>286</v>
      </c>
      <c r="D119" s="101"/>
      <c r="E119" s="101"/>
      <c r="F119" s="101"/>
      <c r="G119" s="101"/>
      <c r="I119" s="83"/>
      <c r="J119" s="97"/>
      <c r="N119" s="259" t="n">
        <v>5</v>
      </c>
      <c r="O119" s="97" t="s">
        <v>509</v>
      </c>
      <c r="P119" s="106" t="s">
        <v>294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6</v>
      </c>
      <c r="O120" s="97" t="s">
        <v>296</v>
      </c>
      <c r="P120" s="106" t="s">
        <v>297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8</v>
      </c>
      <c r="P121" s="106" t="s">
        <v>299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10</v>
      </c>
      <c r="P122" s="106" t="s">
        <v>303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2500</v>
      </c>
      <c r="N123" s="259" t="n">
        <v>12</v>
      </c>
      <c r="P123" s="106" t="s">
        <v>305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14</v>
      </c>
      <c r="P124" s="106" t="s">
        <v>308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18</v>
      </c>
      <c r="P125" s="106" t="s">
        <v>311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5000</v>
      </c>
      <c r="K126" s="110"/>
      <c r="L126" s="110"/>
      <c r="N126" s="259" t="n">
        <v>20</v>
      </c>
      <c r="P126" s="106" t="s">
        <v>313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8</v>
      </c>
      <c r="E127" s="111"/>
      <c r="F127" s="111"/>
      <c r="G127" s="111"/>
      <c r="H127" s="104"/>
      <c r="I127" s="104"/>
      <c r="J127" s="105"/>
      <c r="N127" s="259" t="n">
        <v>22</v>
      </c>
      <c r="P127" s="106" t="s">
        <v>315</v>
      </c>
    </row>
    <row r="128" s="96" customFormat="true" ht="18.75" hidden="false" customHeight="true" outlineLevel="0" collapsed="false">
      <c r="C128" s="108" t="s">
        <v>314</v>
      </c>
      <c r="I128" s="97"/>
      <c r="J128" s="97"/>
    </row>
    <row r="129" s="96" customFormat="true" ht="15" hidden="false" customHeight="true" outlineLevel="0" collapsed="false">
      <c r="A129" s="89" t="str">
        <f aca="false">A18</f>
        <v>240-9 Panel (4L5R)</v>
      </c>
      <c r="C129" s="100" t="s">
        <v>511</v>
      </c>
      <c r="D129" s="101" t="s">
        <v>296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4940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18</v>
      </c>
      <c r="U133" s="127" t="s">
        <v>760</v>
      </c>
      <c r="V133" s="128" t="n">
        <f aca="false">($J$126-185-(113.25*8))/9</f>
        <v>434.333333333333</v>
      </c>
      <c r="W133" s="129" t="n">
        <f aca="false">$J$120*T133</f>
        <v>18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4914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18</v>
      </c>
      <c r="U134" s="130" t="s">
        <v>760</v>
      </c>
      <c r="V134" s="142" t="n">
        <f aca="false">($J$126-185-(113.25*8))/9</f>
        <v>434.333333333333</v>
      </c>
      <c r="W134" s="134" t="n">
        <f aca="false">$J$120*T134</f>
        <v>18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4940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18</v>
      </c>
      <c r="U135" s="136" t="s">
        <v>760</v>
      </c>
      <c r="V135" s="180" t="n">
        <f aca="false">($J$126-185-(113.25*8))/9</f>
        <v>434.333333333333</v>
      </c>
      <c r="W135" s="137" t="n">
        <f aca="false">$J$120*T135</f>
        <v>18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4940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18</v>
      </c>
      <c r="U136" s="127" t="s">
        <v>360</v>
      </c>
      <c r="V136" s="138" t="n">
        <f aca="false">$J$123-242</f>
        <v>2258</v>
      </c>
      <c r="W136" s="129" t="n">
        <f aca="false">$J$120*T136</f>
        <v>18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2500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18</v>
      </c>
      <c r="U137" s="130" t="s">
        <v>360</v>
      </c>
      <c r="V137" s="133" t="n">
        <f aca="false">$J$123-242</f>
        <v>2258</v>
      </c>
      <c r="W137" s="134" t="n">
        <f aca="false">$J$120*T137</f>
        <v>18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2500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18</v>
      </c>
      <c r="U138" s="136" t="s">
        <v>360</v>
      </c>
      <c r="V138" s="140" t="n">
        <f aca="false">$J$123-242</f>
        <v>2258</v>
      </c>
      <c r="W138" s="137" t="n">
        <f aca="false">$J$120*T138</f>
        <v>18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2404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2404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9</v>
      </c>
      <c r="H141" s="321" t="s">
        <v>761</v>
      </c>
      <c r="I141" s="141" t="n">
        <f aca="false">($J$126-60-(9+1)*4)/9</f>
        <v>544.444444444445</v>
      </c>
      <c r="J141" s="134" t="n">
        <f aca="false">$J$120*G141</f>
        <v>9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9</v>
      </c>
      <c r="H142" s="130" t="s">
        <v>761</v>
      </c>
      <c r="I142" s="141" t="n">
        <f aca="false">($J$126-60-(9+1)*4)/9</f>
        <v>544.444444444445</v>
      </c>
      <c r="J142" s="134" t="n">
        <f aca="false">$J$120*G142</f>
        <v>9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13</v>
      </c>
      <c r="H143" s="130" t="s">
        <v>389</v>
      </c>
      <c r="I143" s="133" t="n">
        <f aca="false">$J$123-92</f>
        <v>2408</v>
      </c>
      <c r="J143" s="134" t="n">
        <f aca="false">$J$120*G143</f>
        <v>13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2</v>
      </c>
      <c r="H144" s="130" t="s">
        <v>389</v>
      </c>
      <c r="I144" s="133" t="n">
        <f aca="false">$J$123-92</f>
        <v>2408</v>
      </c>
      <c r="J144" s="134" t="n">
        <f aca="false">$J$120*G144</f>
        <v>2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390</v>
      </c>
      <c r="C145" s="131" t="s">
        <v>391</v>
      </c>
      <c r="D145" s="132" t="s">
        <v>74</v>
      </c>
      <c r="E145" s="130" t="n">
        <v>1.106</v>
      </c>
      <c r="F145" s="132" t="s">
        <v>563</v>
      </c>
      <c r="G145" s="130" t="n">
        <v>2</v>
      </c>
      <c r="H145" s="130" t="s">
        <v>389</v>
      </c>
      <c r="I145" s="133" t="n">
        <f aca="false">$J$123-92</f>
        <v>2408</v>
      </c>
      <c r="J145" s="134" t="n">
        <f aca="false">$J$120*G145</f>
        <v>2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">
        <v>531</v>
      </c>
      <c r="C146" s="131" t="s">
        <v>532</v>
      </c>
      <c r="D146" s="132" t="s">
        <v>74</v>
      </c>
      <c r="E146" s="130" t="n">
        <v>1.106</v>
      </c>
      <c r="F146" s="132" t="s">
        <v>564</v>
      </c>
      <c r="G146" s="130" t="n">
        <v>1</v>
      </c>
      <c r="H146" s="130" t="s">
        <v>389</v>
      </c>
      <c r="I146" s="133" t="n">
        <f aca="false">$J$123-92</f>
        <v>2408</v>
      </c>
      <c r="J146" s="134" t="n">
        <f aca="false">$J$120*G146</f>
        <v>1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IF($D$127=5,O133,IF($D$127=6,O133,IF($D$127=8,O134,IF($D$127=10,O134,IF($D$127=12,O134,IF($D$127=14,O135,IF($D$127=18,O135,IF($D$127=20,O135,IF($D$127=22,O135,)))))))))</f>
        <v>8-12mm คิ้วตบกระจกแนวนอน</v>
      </c>
      <c r="C147" s="131" t="str">
        <f aca="false">IF($D$127=5,P133,IF($D$127=6,P133,IF($D$127=8,P134,IF($D$127=10,P134,IF($D$127=12,P134,IF($D$127=14,P135,IF($D$127=18,P135,IF($D$127=20,P135,IF($D$127=22,P135,)))))))))</f>
        <v>8-12mm GLAZING BEAD HORIZONTAL</v>
      </c>
      <c r="D147" s="131" t="str">
        <f aca="false">IF($D$127=5,Q133,IF($D$127=6,Q133,IF($D$127=8,Q134,IF($D$127=10,Q134,IF($D$127=12,Q134,IF($D$127=14,Q135,IF($D$127=18,Q135,IF($D$127=20,Q135,IF($D$127=22,Q135,)))))))))</f>
        <v>B24016</v>
      </c>
      <c r="E147" s="131" t="n">
        <f aca="false">IF($D$127=5,R133,IF($D$127=6,R133,IF($D$127=8,R134,IF($D$127=10,R134,IF($D$127=12,R134,IF($D$127=14,R135,IF($D$127=18,R135,IF($D$127=20,R135,IF($D$127=22,R135,)))))))))</f>
        <v>0.215</v>
      </c>
      <c r="F147" s="131" t="str">
        <f aca="false">IF($D$127=5,S133,IF($D$127=6,S133,IF($D$127=8,S134,IF($D$127=10,S134,IF($D$127=12,S134,IF($D$127=14,S135,IF($D$127=18,S135,IF($D$127=20,S135,IF($D$127=22,S135,)))))))))</f>
        <v>B24016-001</v>
      </c>
      <c r="G147" s="130" t="n">
        <f aca="false">IF($D$127=5,T133,IF($D$127=6,T133,IF($D$127=8,T134,IF($D$127=10,T134,IF($D$127=12,T134,IF($D$127=14,T135,IF($D$127=18,T135,IF($D$127=20,T135,IF($D$127=22,T135,)))))))))</f>
        <v>18</v>
      </c>
      <c r="H147" s="130" t="str">
        <f aca="false">IF($D$127=5,U133,IF($D$127=6,U133,IF($D$127=8,U134,IF($D$127=10,U134,IF($D$127=12,U134,IF($D$127=14,U135,IF($D$127=18,U135,IF($D$127=20,U135,IF($D$127=22,U135,)))))))))</f>
        <v>(W-185-(113.25 × 8))/9</v>
      </c>
      <c r="I147" s="141" t="n">
        <f aca="false">IF($D$127=5,V133,IF($D$127=6,V133,IF($D$127=8,V134,IF($D$127=10,V134,IF($D$127=12,V134,IF($D$127=14,V135,IF($D$127=18,V135,IF($D$127=20,V135,IF($D$127=22,V135,)))))))))</f>
        <v>434.333333333333</v>
      </c>
      <c r="J147" s="134" t="n">
        <f aca="false">$J$120*G147</f>
        <v>18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tr">
        <f aca="false">IF($D$127=5,O136,IF($D$127=6,O136,IF($D$127=8,O137,IF($D$127=10,O137,IF($D$127=12,O137,IF($D$127=14,O138,IF($D$127=18,O138,IF($D$127=20,O138,IF($D$127=22,O138,)))))))))</f>
        <v>8-12mm คิ้วตบกระจกแนวตั้ง</v>
      </c>
      <c r="C148" s="131" t="str">
        <f aca="false">IF($D$127=5,P136,IF($D$127=6,P136,IF($D$127=8,P137,IF($D$127=10,P137,IF($D$127=12,P137,IF($D$127=14,P138,IF($D$127=18,P138,IF($D$127=20,P138,IF($D$127=22,P138,)))))))))</f>
        <v>8-12mm GLAZING BEAD VERTICAL</v>
      </c>
      <c r="D148" s="131" t="str">
        <f aca="false">IF($D$127=5,Q136,IF($D$127=6,Q136,IF($D$127=8,Q137,IF($D$127=10,Q137,IF($D$127=12,Q137,IF($D$127=14,Q138,IF($D$127=18,Q138,IF($D$127=20,Q138,IF($D$127=22,Q138,)))))))))</f>
        <v>B24016</v>
      </c>
      <c r="E148" s="131" t="n">
        <f aca="false">IF($D$127=5,R136,IF($D$127=6,R136,IF($D$127=8,R137,IF($D$127=10,R137,IF($D$127=12,R137,IF($D$127=14,R138,IF($D$127=18,R138,IF($D$127=20,R138,IF($D$127=22,R138,)))))))))</f>
        <v>0.215</v>
      </c>
      <c r="F148" s="131" t="str">
        <f aca="false">IF($D$127=5,S136,IF($D$127=6,S136,IF($D$127=8,S137,IF($D$127=10,S137,IF($D$127=12,S137,IF($D$127=14,S138,IF($D$127=18,S138,IF($D$127=20,S138,IF($D$127=22,S138,)))))))))</f>
        <v>B24016-002</v>
      </c>
      <c r="G148" s="130" t="n">
        <f aca="false">IF($D$127=5,T136,IF($D$127=6,T136,IF($D$127=8,T137,IF($D$127=10,T137,IF($D$127=12,T137,IF($D$127=14,T138,IF($D$127=18,T138,IF($D$127=20,T138,IF($D$127=22,T138,)))))))))</f>
        <v>18</v>
      </c>
      <c r="H148" s="130" t="str">
        <f aca="false">IF($D$127=5,U136,IF($D$127=6,U136,IF($D$127=8,U137,IF($D$127=10,U137,IF($D$127=12,U137,IF($D$127=14,U138,IF($D$127=18,U138,IF($D$127=20,U138,IF($D$127=22,U138,)))))))))</f>
        <v>H-242</v>
      </c>
      <c r="I148" s="133" t="n">
        <f aca="false">IF($D$127=5,V136,IF($D$127=6,V136,IF($D$127=8,V137,IF($D$127=10,V137,IF($D$127=12,V137,IF($D$127=14,V138,IF($D$127=18,V138,IF($D$127=20,V138,IF($D$127=22,V138,)))))))))</f>
        <v>2258</v>
      </c>
      <c r="J148" s="134" t="n">
        <f aca="false">$J$120*G148</f>
        <v>18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535</v>
      </c>
      <c r="D149" s="132" t="s">
        <v>536</v>
      </c>
      <c r="E149" s="130"/>
      <c r="F149" s="132" t="s">
        <v>537</v>
      </c>
      <c r="G149" s="130" t="n">
        <v>1</v>
      </c>
      <c r="H149" s="130" t="s">
        <v>389</v>
      </c>
      <c r="I149" s="133" t="n">
        <f aca="false">$J$123-92</f>
        <v>2408</v>
      </c>
      <c r="J149" s="134" t="n">
        <f aca="false">$J$120*G149</f>
        <v>1</v>
      </c>
    </row>
    <row r="150" s="96" customFormat="true" ht="18" hidden="false" customHeight="true" outlineLevel="0" collapsed="false">
      <c r="A150" s="130" t="n">
        <f aca="false">IF(B150="","",+A149+1)</f>
        <v>18</v>
      </c>
      <c r="B150" s="131" t="s">
        <v>534</v>
      </c>
      <c r="C150" s="131" t="s">
        <v>535</v>
      </c>
      <c r="D150" s="132" t="s">
        <v>536</v>
      </c>
      <c r="E150" s="130"/>
      <c r="F150" s="132" t="s">
        <v>539</v>
      </c>
      <c r="G150" s="130" t="n">
        <v>1</v>
      </c>
      <c r="H150" s="130" t="s">
        <v>389</v>
      </c>
      <c r="I150" s="133" t="n">
        <f aca="false">$J$123-92</f>
        <v>2408</v>
      </c>
      <c r="J150" s="134" t="n">
        <f aca="false">$J$120*G150</f>
        <v>1</v>
      </c>
    </row>
    <row r="151" s="96" customFormat="true" ht="18" hidden="false" customHeight="true" outlineLevel="0" collapsed="false">
      <c r="A151" s="130" t="str">
        <f aca="false">IF(B151="","",+A140+1)</f>
        <v/>
      </c>
      <c r="B151" s="143"/>
      <c r="C151" s="143"/>
      <c r="D151" s="144"/>
      <c r="E151" s="145"/>
      <c r="F151" s="144"/>
      <c r="G151" s="145"/>
      <c r="H151" s="145"/>
      <c r="I151" s="146"/>
      <c r="J151" s="147" t="n">
        <f aca="false">$J$120*G151</f>
        <v>0</v>
      </c>
    </row>
    <row r="152" s="96" customFormat="true" ht="27" hidden="false" customHeight="true" outlineLevel="1" collapsed="false">
      <c r="A152" s="148" t="s">
        <v>319</v>
      </c>
      <c r="B152" s="148" t="s">
        <v>320</v>
      </c>
      <c r="C152" s="148" t="s">
        <v>168</v>
      </c>
      <c r="D152" s="148" t="s">
        <v>166</v>
      </c>
      <c r="E152" s="148" t="s">
        <v>321</v>
      </c>
      <c r="F152" s="149" t="s">
        <v>393</v>
      </c>
      <c r="G152" s="148" t="s">
        <v>394</v>
      </c>
      <c r="H152" s="150" t="s">
        <v>395</v>
      </c>
      <c r="I152" s="151"/>
      <c r="J152" s="151"/>
    </row>
    <row r="153" s="96" customFormat="true" ht="15" hidden="false" customHeight="true" outlineLevel="1" collapsed="false">
      <c r="A153" s="152" t="n">
        <f aca="false">IF(B153="","",1)</f>
        <v>1</v>
      </c>
      <c r="B153" s="153" t="str">
        <f aca="false">B133</f>
        <v>เฟรมบน</v>
      </c>
      <c r="C153" s="153" t="str">
        <f aca="false">C133</f>
        <v>HEAD</v>
      </c>
      <c r="D153" s="154" t="str">
        <f aca="false">VLOOKUP(C153,$C$133:$H$151,2,0)</f>
        <v>B24001</v>
      </c>
      <c r="E153" s="155" t="n">
        <f aca="false">VLOOKUP(C153,$C$133:$H$151,3,0)</f>
        <v>1.603</v>
      </c>
      <c r="F153" s="263" t="n">
        <f aca="false">VLOOKUP(C153,$C$133:$J$151,7,0)</f>
        <v>4940</v>
      </c>
      <c r="G153" s="155" t="n">
        <f aca="false">VLOOKUP(C153,$C$133:$J$151,8,0)</f>
        <v>1</v>
      </c>
      <c r="H153" s="264" t="n">
        <f aca="false">ROUNDUP((F153*G153)/6400,0)</f>
        <v>1</v>
      </c>
      <c r="I153" s="265"/>
      <c r="J153" s="265"/>
    </row>
    <row r="154" s="96" customFormat="true" ht="15" hidden="false" customHeight="true" outlineLevel="1" collapsed="false">
      <c r="A154" s="158" t="n">
        <f aca="false">IF(B154="","",+A153+1)</f>
        <v>2</v>
      </c>
      <c r="B154" s="153" t="str">
        <f aca="false">B134</f>
        <v>บังใบบน</v>
      </c>
      <c r="C154" s="153" t="str">
        <f aca="false">C134</f>
        <v>DOOR STOP HEAD</v>
      </c>
      <c r="D154" s="154" t="str">
        <f aca="false">VLOOKUP(C154,$C$133:$H$151,2,0)</f>
        <v>B24002</v>
      </c>
      <c r="E154" s="155" t="n">
        <f aca="false">VLOOKUP(C154,$C$133:$H$151,3,0)</f>
        <v>0.278</v>
      </c>
      <c r="F154" s="263" t="n">
        <f aca="false">VLOOKUP(C154,$C$133:$I$151,7,0)</f>
        <v>4914</v>
      </c>
      <c r="G154" s="155" t="n">
        <f aca="false">VLOOKUP(C154,$C$133:$J$151,8,0)</f>
        <v>1</v>
      </c>
      <c r="H154" s="266" t="n">
        <f aca="false">ROUNDUP((F154*G154)/6400,0)</f>
        <v>1</v>
      </c>
      <c r="I154" s="265"/>
      <c r="J154" s="265"/>
    </row>
    <row r="155" s="96" customFormat="true" ht="15" hidden="false" customHeight="true" outlineLevel="1" collapsed="false">
      <c r="A155" s="158" t="n">
        <f aca="false">IF(B155="","",+A154+1)</f>
        <v>3</v>
      </c>
      <c r="B155" s="153" t="str">
        <f aca="false">B135</f>
        <v>เฟรมล่าง </v>
      </c>
      <c r="C155" s="153" t="str">
        <f aca="false">C135</f>
        <v>SILL</v>
      </c>
      <c r="D155" s="154" t="str">
        <f aca="false">VLOOKUP(C155,$C$133:$H$151,2,0)</f>
        <v>B24003</v>
      </c>
      <c r="E155" s="155" t="n">
        <f aca="false">VLOOKUP(C155,$C$133:$H$151,3,0)</f>
        <v>1.603</v>
      </c>
      <c r="F155" s="263" t="n">
        <f aca="false">VLOOKUP(C155,$C$133:$I$151,7,0)</f>
        <v>4940</v>
      </c>
      <c r="G155" s="155" t="n">
        <f aca="false">VLOOKUP(C155,$C$133:$J$151,8,0)</f>
        <v>1</v>
      </c>
      <c r="H155" s="266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4</v>
      </c>
      <c r="B156" s="153" t="str">
        <f aca="false">B136</f>
        <v>ตัวตับธรณี</v>
      </c>
      <c r="C156" s="153" t="str">
        <f aca="false">C136</f>
        <v>DOOR STOP SILL</v>
      </c>
      <c r="D156" s="154" t="str">
        <f aca="false">VLOOKUP(C156,$C$133:$H$151,2,0)</f>
        <v>B24004</v>
      </c>
      <c r="E156" s="155" t="n">
        <f aca="false">VLOOKUP(C156,$C$133:$H$151,3,0)</f>
        <v>0.516</v>
      </c>
      <c r="F156" s="263" t="n">
        <f aca="false">VLOOKUP(C156,$C$133:$I$151,7,0)</f>
        <v>4940</v>
      </c>
      <c r="G156" s="155" t="n">
        <f aca="false">VLOOKUP(C156,$C$133:$J$151,8,0)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5</v>
      </c>
      <c r="B157" s="153" t="str">
        <f aca="false">B137</f>
        <v>เฟรมข้าง (ซ้าย)</v>
      </c>
      <c r="C157" s="153" t="str">
        <f aca="false">C137</f>
        <v>JAMB (L)</v>
      </c>
      <c r="D157" s="159" t="str">
        <f aca="false">VLOOKUP(C157,$C$133:$H$151,2,0)</f>
        <v>B24005</v>
      </c>
      <c r="E157" s="155" t="n">
        <f aca="false">VLOOKUP(C157,$C$133:$H$151,3,0)</f>
        <v>0.893</v>
      </c>
      <c r="F157" s="263" t="n">
        <f aca="false">VLOOKUP(C157,$C$133:$I$151,7,0)</f>
        <v>2500</v>
      </c>
      <c r="G157" s="155" t="n">
        <f aca="false">VLOOKUP(C157,$C$133:$J$151,8,0)</f>
        <v>1</v>
      </c>
      <c r="H157" s="160" t="n">
        <f aca="false">ROUNDUP(((F157*G157)+(F158*G158))/6400,0)</f>
        <v>1</v>
      </c>
      <c r="I157" s="161"/>
      <c r="J157" s="161"/>
    </row>
    <row r="158" s="96" customFormat="true" ht="15" hidden="false" customHeight="true" outlineLevel="1" collapsed="false">
      <c r="A158" s="158" t="n">
        <f aca="false">IF(B158="","",+A157+1)</f>
        <v>6</v>
      </c>
      <c r="B158" s="153" t="str">
        <f aca="false">B138</f>
        <v>เฟรมข้าง (ขวา)</v>
      </c>
      <c r="C158" s="153" t="str">
        <f aca="false">C138</f>
        <v>JAMB (R)</v>
      </c>
      <c r="D158" s="159"/>
      <c r="E158" s="155" t="n">
        <f aca="false">VLOOKUP(C158,$C$133:$H$151,3,0)</f>
        <v>0.893</v>
      </c>
      <c r="F158" s="263" t="n">
        <f aca="false">VLOOKUP(C158,$C$133:$I$151,7,0)</f>
        <v>2500</v>
      </c>
      <c r="G158" s="155" t="n">
        <f aca="false">VLOOKUP(C158,$C$133:$J$151,8,0)</f>
        <v>1</v>
      </c>
      <c r="H158" s="160"/>
      <c r="I158" s="161"/>
      <c r="J158" s="161"/>
    </row>
    <row r="159" s="96" customFormat="true" ht="15" hidden="false" customHeight="true" outlineLevel="1" collapsed="false">
      <c r="A159" s="158" t="n">
        <f aca="false">IF(B159="","",+A158+1)</f>
        <v>7</v>
      </c>
      <c r="B159" s="153" t="str">
        <f aca="false">B139</f>
        <v>บังใบข้าง (ซ้าย)</v>
      </c>
      <c r="C159" s="153" t="str">
        <f aca="false">C139</f>
        <v>DOOR STOP JAMB (L)</v>
      </c>
      <c r="D159" s="159" t="str">
        <f aca="false">VLOOKUP(C159,$C$133:$H$151,2,0)</f>
        <v>B24006</v>
      </c>
      <c r="E159" s="155" t="n">
        <f aca="false">VLOOKUP(C159,$C$133:$H$151,3,0)</f>
        <v>0.235</v>
      </c>
      <c r="F159" s="263" t="n">
        <f aca="false">VLOOKUP(C159,$C$133:$I$151,7,0)</f>
        <v>2404</v>
      </c>
      <c r="G159" s="155" t="n">
        <f aca="false">VLOOKUP(C159,$C$133:$J$151,8,0)</f>
        <v>1</v>
      </c>
      <c r="H159" s="160" t="n">
        <f aca="false">ROUNDUP(((F159*G159)+(F160*G160))/6400,0)</f>
        <v>1</v>
      </c>
      <c r="I159" s="265"/>
      <c r="J159" s="265"/>
    </row>
    <row r="160" s="96" customFormat="true" ht="15" hidden="false" customHeight="true" outlineLevel="1" collapsed="false">
      <c r="A160" s="158" t="n">
        <f aca="false">IF(B160="","",+A159+1)</f>
        <v>8</v>
      </c>
      <c r="B160" s="153" t="str">
        <f aca="false">B140</f>
        <v>บังใบข้าง (ขวา)</v>
      </c>
      <c r="C160" s="153" t="str">
        <f aca="false">C140</f>
        <v>DOOR STOP JAMB (R)</v>
      </c>
      <c r="D160" s="159"/>
      <c r="E160" s="155" t="n">
        <f aca="false">VLOOKUP(C160,$C$133:$H$151,3,0)</f>
        <v>0.235</v>
      </c>
      <c r="F160" s="263" t="n">
        <f aca="false">VLOOKUP(C160,$C$133:$I$151,7,0)</f>
        <v>2404</v>
      </c>
      <c r="G160" s="155" t="n">
        <f aca="false">VLOOKUP(C160,$C$133:$J$151,8,0)</f>
        <v>1</v>
      </c>
      <c r="H160" s="160"/>
      <c r="I160" s="161"/>
      <c r="J160" s="161"/>
    </row>
    <row r="161" s="96" customFormat="true" ht="13.5" hidden="false" customHeight="true" outlineLevel="1" collapsed="false">
      <c r="A161" s="158" t="n">
        <f aca="false">IF(B161="","",+A160+1)</f>
        <v>9</v>
      </c>
      <c r="B161" s="153" t="str">
        <f aca="false">B141</f>
        <v>ขวางบน</v>
      </c>
      <c r="C161" s="153" t="str">
        <f aca="false">C141</f>
        <v>SASH (Hor) (T)</v>
      </c>
      <c r="D161" s="159" t="str">
        <f aca="false">VLOOKUP(C161,$C$133:$H$151,2,0)</f>
        <v>B24007</v>
      </c>
      <c r="E161" s="155" t="n">
        <f aca="false">VLOOKUP(C161,$C$133:$H$151,3,0)</f>
        <v>1.106</v>
      </c>
      <c r="F161" s="267" t="n">
        <f aca="false">VLOOKUP(C161,$C$133:$I$151,7,0)</f>
        <v>544.444444444445</v>
      </c>
      <c r="G161" s="155" t="n">
        <f aca="false">VLOOKUP(C161,$C$133:$J$151,8,0)</f>
        <v>9</v>
      </c>
      <c r="H161" s="160" t="n">
        <f aca="false">ROUNDUP(((F161*G161)+(F162*G162)+(F163*G163)+(F164*G164)+(F165*G165)+(F166*G166))/6400,0)</f>
        <v>9</v>
      </c>
      <c r="I161" s="161"/>
      <c r="J161" s="161"/>
    </row>
    <row r="162" s="96" customFormat="true" ht="13.5" hidden="false" customHeight="true" outlineLevel="1" collapsed="false">
      <c r="A162" s="158" t="n">
        <f aca="false">IF(B162="","",+A161+1)</f>
        <v>10</v>
      </c>
      <c r="B162" s="153" t="str">
        <f aca="false">B142</f>
        <v>ขวางล่าง</v>
      </c>
      <c r="C162" s="153" t="str">
        <f aca="false">C142</f>
        <v>SASH (Hor) (B)</v>
      </c>
      <c r="D162" s="159"/>
      <c r="E162" s="155" t="n">
        <f aca="false">VLOOKUP(C162,$C$133:$H$151,3,0)</f>
        <v>1.106</v>
      </c>
      <c r="F162" s="267" t="n">
        <f aca="false">VLOOKUP(C162,$C$133:$I$151,7,0)</f>
        <v>544.444444444445</v>
      </c>
      <c r="G162" s="155" t="n">
        <f aca="false">VLOOKUP(C162,$C$133:$J$151,8,0)</f>
        <v>9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11</v>
      </c>
      <c r="B163" s="153" t="str">
        <f aca="false">B143</f>
        <v>เสา</v>
      </c>
      <c r="C163" s="153" t="str">
        <f aca="false">C143</f>
        <v>SASH (Ver) </v>
      </c>
      <c r="D163" s="159"/>
      <c r="E163" s="155" t="n">
        <f aca="false">VLOOKUP(C163,$C$133:$H$151,3,0)</f>
        <v>1.106</v>
      </c>
      <c r="F163" s="263" t="n">
        <f aca="false">VLOOKUP(C163,$C$133:$I$151,7,0)</f>
        <v>2408</v>
      </c>
      <c r="G163" s="155" t="n">
        <f aca="false">VLOOKUP(C163,$C$133:$J$151,8,0)</f>
        <v>13</v>
      </c>
      <c r="H163" s="160"/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12</v>
      </c>
      <c r="B164" s="153" t="str">
        <f aca="false">B144</f>
        <v>เสากุญแจ</v>
      </c>
      <c r="C164" s="153" t="str">
        <f aca="false">C144</f>
        <v>SASH (Ver) LOCK </v>
      </c>
      <c r="D164" s="159"/>
      <c r="E164" s="155" t="n">
        <f aca="false">VLOOKUP(C164,$C$133:$H$151,3,0)</f>
        <v>1.106</v>
      </c>
      <c r="F164" s="263" t="n">
        <f aca="false">VLOOKUP(C164,$C$133:$I$151,7,0)</f>
        <v>2408</v>
      </c>
      <c r="G164" s="155" t="n">
        <f aca="false">VLOOKUP(C164,$C$133:$J$151,8,0)</f>
        <v>2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13</v>
      </c>
      <c r="B165" s="153" t="str">
        <f aca="false">B145</f>
        <v>เสากุญแจ</v>
      </c>
      <c r="C165" s="153" t="str">
        <f aca="false">C145</f>
        <v>SASH (Ver) LOCK </v>
      </c>
      <c r="D165" s="159"/>
      <c r="E165" s="155" t="n">
        <f aca="false">VLOOKUP(C165,$C$133:$H$151,3,0)</f>
        <v>1.106</v>
      </c>
      <c r="F165" s="263" t="n">
        <f aca="false">VLOOKUP(C165,$C$133:$I$151,7,0)</f>
        <v>2408</v>
      </c>
      <c r="G165" s="155" t="n">
        <f aca="false">VLOOKUP(C165,$C$133:$J$151,8,0)</f>
        <v>2</v>
      </c>
      <c r="H165" s="160"/>
      <c r="I165" s="161"/>
      <c r="J165" s="161"/>
    </row>
    <row r="166" s="96" customFormat="true" ht="15" hidden="false" customHeight="true" outlineLevel="1" collapsed="false">
      <c r="A166" s="158" t="n">
        <f aca="false">IF(B166="","",+A165+1)</f>
        <v>14</v>
      </c>
      <c r="B166" s="153" t="str">
        <f aca="false">B146</f>
        <v>เสากุญแจมือจับ</v>
      </c>
      <c r="C166" s="153" t="str">
        <f aca="false">C146</f>
        <v>SASH (Ver) LOCK HANDLE</v>
      </c>
      <c r="D166" s="159"/>
      <c r="E166" s="155" t="n">
        <f aca="false">VLOOKUP(C166,$C$133:$H$151,3,0)</f>
        <v>1.106</v>
      </c>
      <c r="F166" s="263" t="n">
        <f aca="false">VLOOKUP(C166,$C$133:$I$151,7,0)</f>
        <v>2408</v>
      </c>
      <c r="G166" s="155" t="n">
        <f aca="false">VLOOKUP(C166,$C$133:$J$151,8,0)</f>
        <v>1</v>
      </c>
      <c r="H166" s="160"/>
      <c r="I166" s="265"/>
      <c r="J166" s="265"/>
    </row>
    <row r="167" s="96" customFormat="true" ht="15" hidden="false" customHeight="true" outlineLevel="1" collapsed="false">
      <c r="A167" s="158" t="n">
        <f aca="false">IF(B167="","",+A166+1)</f>
        <v>15</v>
      </c>
      <c r="B167" s="153" t="str">
        <f aca="false">B147</f>
        <v>8-12mm คิ้วตบกระจกแนวนอน</v>
      </c>
      <c r="C167" s="153" t="str">
        <f aca="false">C147</f>
        <v>8-12mm GLAZING BEAD HORIZONTAL</v>
      </c>
      <c r="D167" s="159" t="str">
        <f aca="false">VLOOKUP(C167,$C$133:$H$151,2,0)</f>
        <v>B24016</v>
      </c>
      <c r="E167" s="155" t="n">
        <f aca="false">VLOOKUP(C167,$C$133:$H$151,3,0)</f>
        <v>0.215</v>
      </c>
      <c r="F167" s="267" t="n">
        <f aca="false">VLOOKUP(C167,$C$133:$I$151,7,0)</f>
        <v>434.333333333333</v>
      </c>
      <c r="G167" s="155" t="n">
        <f aca="false">VLOOKUP(C167,$C$133:$J$151,8,0)</f>
        <v>18</v>
      </c>
      <c r="H167" s="160" t="n">
        <f aca="false">ROUNDUP(((F167*G167)+(F168*G168))/6400,0)</f>
        <v>8</v>
      </c>
      <c r="I167" s="196"/>
      <c r="J167" s="196"/>
    </row>
    <row r="168" s="96" customFormat="true" ht="15" hidden="false" customHeight="true" outlineLevel="1" collapsed="false">
      <c r="A168" s="158" t="n">
        <f aca="false">IF(B168="","",+A167+1)</f>
        <v>16</v>
      </c>
      <c r="B168" s="153" t="str">
        <f aca="false">B148</f>
        <v>8-12mm คิ้วตบกระจกแนวตั้ง</v>
      </c>
      <c r="C168" s="153" t="str">
        <f aca="false">C148</f>
        <v>8-12mm GLAZING BEAD VERTICAL</v>
      </c>
      <c r="D168" s="159"/>
      <c r="E168" s="155" t="n">
        <f aca="false">VLOOKUP(C168,$C$133:$H$151,3,0)</f>
        <v>0.215</v>
      </c>
      <c r="F168" s="263" t="n">
        <f aca="false">VLOOKUP(C168,$C$133:$I$151,7,0)</f>
        <v>2258</v>
      </c>
      <c r="G168" s="155" t="n">
        <f aca="false">VLOOKUP(C168,$C$133:$J$151,8,0)</f>
        <v>18</v>
      </c>
      <c r="H168" s="160"/>
      <c r="I168" s="196"/>
      <c r="J168" s="196"/>
    </row>
    <row r="169" s="96" customFormat="true" ht="13.5" hidden="false" customHeight="true" outlineLevel="1" collapsed="false">
      <c r="A169" s="158" t="n">
        <f aca="false">IF(B169="","",+A168+1)</f>
        <v>17</v>
      </c>
      <c r="B169" s="153" t="str">
        <f aca="false">B149</f>
        <v>บังใบ</v>
      </c>
      <c r="C169" s="153" t="str">
        <f aca="false">C149</f>
        <v>SASH STOP</v>
      </c>
      <c r="D169" s="163" t="str">
        <f aca="false">VLOOKUP(C169,$C$133:$H$151,2,0)</f>
        <v>B24009</v>
      </c>
      <c r="E169" s="155" t="n">
        <f aca="false">VLOOKUP(C169,$C$133:$H$151,3,0)</f>
        <v>0</v>
      </c>
      <c r="F169" s="263" t="n">
        <f aca="false">VLOOKUP(C169,$C$133:$I$151,7,0)</f>
        <v>2408</v>
      </c>
      <c r="G169" s="155" t="n">
        <f aca="false">VLOOKUP(C169,$C$133:$J$151,8,0)</f>
        <v>1</v>
      </c>
      <c r="H169" s="160" t="n">
        <f aca="false">ROUNDUP(((F169*G169)+(F170*G170))/6400,0)</f>
        <v>1</v>
      </c>
      <c r="I169" s="196"/>
      <c r="J169" s="196"/>
    </row>
    <row r="170" s="96" customFormat="true" ht="14.25" hidden="false" customHeight="false" outlineLevel="1" collapsed="false">
      <c r="A170" s="158" t="n">
        <f aca="false">IF(B170="","",+A169+1)</f>
        <v>18</v>
      </c>
      <c r="B170" s="153" t="str">
        <f aca="false">B150</f>
        <v>บังใบ</v>
      </c>
      <c r="C170" s="153" t="str">
        <f aca="false">C150</f>
        <v>SASH STOP</v>
      </c>
      <c r="D170" s="163"/>
      <c r="E170" s="155" t="n">
        <f aca="false">VLOOKUP(C170,$C$133:$H$151,3,0)</f>
        <v>0</v>
      </c>
      <c r="F170" s="263" t="n">
        <f aca="false">VLOOKUP(C170,$C$133:$I$151,7,0)</f>
        <v>2408</v>
      </c>
      <c r="G170" s="155" t="n">
        <f aca="false">VLOOKUP(C170,$C$133:$J$151,8,0)</f>
        <v>1</v>
      </c>
      <c r="H170" s="160"/>
      <c r="I170" s="196"/>
      <c r="J170" s="196"/>
    </row>
    <row r="171" s="96" customFormat="true" ht="24.75" hidden="false" customHeight="true" outlineLevel="0" collapsed="false">
      <c r="A171" s="113" t="s">
        <v>396</v>
      </c>
      <c r="B171" s="113"/>
      <c r="C171" s="113"/>
      <c r="D171" s="113"/>
      <c r="E171" s="113"/>
      <c r="F171" s="113"/>
      <c r="G171" s="113"/>
      <c r="H171" s="113"/>
      <c r="I171" s="113"/>
      <c r="J171" s="113"/>
    </row>
    <row r="172" s="96" customFormat="true" ht="34.5" hidden="false" customHeight="true" outlineLevel="0" collapsed="false">
      <c r="A172" s="114" t="s">
        <v>319</v>
      </c>
      <c r="B172" s="115" t="s">
        <v>320</v>
      </c>
      <c r="C172" s="115" t="s">
        <v>168</v>
      </c>
      <c r="D172" s="115" t="s">
        <v>397</v>
      </c>
      <c r="E172" s="115" t="s">
        <v>321</v>
      </c>
      <c r="F172" s="116" t="s">
        <v>398</v>
      </c>
      <c r="G172" s="115" t="s">
        <v>399</v>
      </c>
      <c r="H172" s="116" t="s">
        <v>400</v>
      </c>
      <c r="I172" s="116" t="s">
        <v>401</v>
      </c>
      <c r="J172" s="117" t="s">
        <v>402</v>
      </c>
      <c r="N172" s="107" t="s">
        <v>288</v>
      </c>
      <c r="O172" s="165" t="s">
        <v>320</v>
      </c>
      <c r="P172" s="165" t="s">
        <v>168</v>
      </c>
      <c r="Q172" s="165" t="s">
        <v>397</v>
      </c>
      <c r="R172" s="165" t="s">
        <v>321</v>
      </c>
      <c r="S172" s="165" t="s">
        <v>398</v>
      </c>
      <c r="T172" s="165" t="s">
        <v>399</v>
      </c>
      <c r="U172" s="165" t="s">
        <v>400</v>
      </c>
      <c r="V172" s="165" t="s">
        <v>401</v>
      </c>
      <c r="W172" s="165" t="s">
        <v>402</v>
      </c>
    </row>
    <row r="173" s="96" customFormat="true" ht="18" hidden="false" customHeight="true" outlineLevel="0" collapsed="false">
      <c r="A173" s="166" t="n">
        <f aca="false">IF(B173="","",1)</f>
        <v>1</v>
      </c>
      <c r="B173" s="131" t="s">
        <v>410</v>
      </c>
      <c r="C173" s="131" t="s">
        <v>411</v>
      </c>
      <c r="D173" s="132" t="s">
        <v>267</v>
      </c>
      <c r="E173" s="130"/>
      <c r="F173" s="130" t="s">
        <v>267</v>
      </c>
      <c r="G173" s="130" t="s">
        <v>405</v>
      </c>
      <c r="H173" s="130" t="n">
        <v>18</v>
      </c>
      <c r="I173" s="133"/>
      <c r="J173" s="134" t="n">
        <f aca="false">$J$120*H173</f>
        <v>18</v>
      </c>
      <c r="N173" s="107" t="s">
        <v>406</v>
      </c>
      <c r="O173" s="55" t="s">
        <v>407</v>
      </c>
      <c r="P173" s="62" t="s">
        <v>408</v>
      </c>
      <c r="Q173" s="55" t="s">
        <v>227</v>
      </c>
      <c r="R173" s="158"/>
      <c r="S173" s="158" t="s">
        <v>227</v>
      </c>
      <c r="T173" s="158" t="s">
        <v>409</v>
      </c>
      <c r="U173" s="168" t="n">
        <f aca="false">((($I$141*$G$141)+($I$142*$G$142)+($I$143*$G$143)+($I$144*$G$144)+($I$145*$G$145)+($I$146*$G$146))/1000)*$J$120</f>
        <v>53.144</v>
      </c>
      <c r="V173" s="168" t="n">
        <v>100</v>
      </c>
      <c r="W173" s="169" t="n">
        <f aca="false">ROUNDUP((U173)/100,0)</f>
        <v>1</v>
      </c>
    </row>
    <row r="174" s="96" customFormat="true" ht="18" hidden="false" customHeight="true" outlineLevel="0" collapsed="false">
      <c r="A174" s="170" t="n">
        <f aca="false">IF(B174="","",+A173+1)</f>
        <v>2</v>
      </c>
      <c r="B174" s="131" t="s">
        <v>415</v>
      </c>
      <c r="C174" s="131" t="s">
        <v>416</v>
      </c>
      <c r="D174" s="132" t="s">
        <v>222</v>
      </c>
      <c r="E174" s="130"/>
      <c r="F174" s="130" t="s">
        <v>222</v>
      </c>
      <c r="G174" s="130" t="s">
        <v>405</v>
      </c>
      <c r="H174" s="130" t="n">
        <v>2</v>
      </c>
      <c r="I174" s="133"/>
      <c r="J174" s="134" t="n">
        <f aca="false">$J$120*H174</f>
        <v>2</v>
      </c>
      <c r="N174" s="107" t="s">
        <v>412</v>
      </c>
      <c r="O174" s="55" t="s">
        <v>413</v>
      </c>
      <c r="P174" s="62" t="s">
        <v>414</v>
      </c>
      <c r="Q174" s="55" t="s">
        <v>234</v>
      </c>
      <c r="R174" s="158"/>
      <c r="S174" s="158" t="s">
        <v>234</v>
      </c>
      <c r="T174" s="158" t="s">
        <v>409</v>
      </c>
      <c r="U174" s="168" t="n">
        <f aca="false">((($I$141*$G$141)+($I$142*$G$142)+($I$143*$G$143)+($I$144*$G$144)+($I$145*$G$145)+($I$146*$G$146))/1000)*$J$120</f>
        <v>53.144</v>
      </c>
      <c r="V174" s="168" t="n">
        <v>100</v>
      </c>
      <c r="W174" s="169" t="n">
        <f aca="false">ROUNDUP((U174)/100,0)</f>
        <v>1</v>
      </c>
    </row>
    <row r="175" s="96" customFormat="true" ht="18" hidden="false" customHeight="true" outlineLevel="0" collapsed="false">
      <c r="A175" s="170" t="n">
        <f aca="false">IF(B175="","",+A174+1)</f>
        <v>3</v>
      </c>
      <c r="B175" s="131" t="s">
        <v>420</v>
      </c>
      <c r="C175" s="131" t="s">
        <v>421</v>
      </c>
      <c r="D175" s="132" t="s">
        <v>225</v>
      </c>
      <c r="E175" s="130"/>
      <c r="F175" s="130" t="s">
        <v>225</v>
      </c>
      <c r="G175" s="130" t="s">
        <v>405</v>
      </c>
      <c r="H175" s="130" t="n">
        <v>2</v>
      </c>
      <c r="I175" s="133"/>
      <c r="J175" s="134" t="n">
        <f aca="false">$J$120*H175</f>
        <v>2</v>
      </c>
      <c r="N175" s="107" t="s">
        <v>417</v>
      </c>
      <c r="O175" s="62" t="s">
        <v>418</v>
      </c>
      <c r="P175" s="62" t="s">
        <v>419</v>
      </c>
      <c r="Q175" s="55" t="s">
        <v>236</v>
      </c>
      <c r="R175" s="158"/>
      <c r="S175" s="158" t="s">
        <v>236</v>
      </c>
      <c r="T175" s="158" t="s">
        <v>409</v>
      </c>
      <c r="U175" s="168" t="n">
        <f aca="false">((($I$141*$G$141)+($I$142*$G$142)+($I$143*$G$143)+($I$144*$G$144)+($I$145*$G$145)+($I$146*$G$146))/1000)*$J$120</f>
        <v>53.144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4</v>
      </c>
      <c r="B176" s="131" t="s">
        <v>425</v>
      </c>
      <c r="C176" s="131" t="s">
        <v>426</v>
      </c>
      <c r="D176" s="132" t="n">
        <v>9</v>
      </c>
      <c r="E176" s="130"/>
      <c r="F176" s="130" t="n">
        <v>9</v>
      </c>
      <c r="G176" s="130" t="s">
        <v>405</v>
      </c>
      <c r="H176" s="130" t="n">
        <v>8</v>
      </c>
      <c r="I176" s="133"/>
      <c r="J176" s="134" t="n">
        <f aca="false">$J$120*H176</f>
        <v>8</v>
      </c>
      <c r="N176" s="107" t="s">
        <v>422</v>
      </c>
      <c r="O176" s="62" t="s">
        <v>423</v>
      </c>
      <c r="P176" s="62" t="s">
        <v>424</v>
      </c>
      <c r="Q176" s="55" t="s">
        <v>238</v>
      </c>
      <c r="R176" s="158"/>
      <c r="S176" s="158" t="s">
        <v>238</v>
      </c>
      <c r="T176" s="158" t="s">
        <v>409</v>
      </c>
      <c r="U176" s="168" t="n">
        <f aca="false">((($I$141*$G$141)+($I$142*$G$142)+($I$143*$G$143)+($I$144*$G$144)+($I$145*$G$145)+($I$146*$G$146))/1000)*$J$120</f>
        <v>53.144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5</v>
      </c>
      <c r="B177" s="131" t="s">
        <v>430</v>
      </c>
      <c r="C177" s="131" t="s">
        <v>431</v>
      </c>
      <c r="D177" s="132" t="n">
        <v>9</v>
      </c>
      <c r="E177" s="130"/>
      <c r="F177" s="130" t="n">
        <v>9</v>
      </c>
      <c r="G177" s="130" t="s">
        <v>405</v>
      </c>
      <c r="H177" s="130" t="n">
        <v>110</v>
      </c>
      <c r="I177" s="133"/>
      <c r="J177" s="134" t="n">
        <f aca="false">$J$120*H177</f>
        <v>110</v>
      </c>
      <c r="N177" s="107" t="s">
        <v>427</v>
      </c>
      <c r="O177" s="62" t="s">
        <v>428</v>
      </c>
      <c r="P177" s="62" t="s">
        <v>429</v>
      </c>
      <c r="Q177" s="55" t="s">
        <v>240</v>
      </c>
      <c r="R177" s="158"/>
      <c r="S177" s="158" t="s">
        <v>240</v>
      </c>
      <c r="T177" s="158" t="s">
        <v>409</v>
      </c>
      <c r="U177" s="168" t="n">
        <f aca="false">((($I$141*$G$141)+($I$142*$G$142)+($I$143*$G$143)+($I$144*$G$144)+($I$145*$G$145)+($I$146*$G$146))/1000)*$J$120</f>
        <v>53.144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6</v>
      </c>
      <c r="B178" s="131" t="s">
        <v>603</v>
      </c>
      <c r="C178" s="131" t="s">
        <v>438</v>
      </c>
      <c r="D178" s="132" t="s">
        <v>4</v>
      </c>
      <c r="E178" s="130"/>
      <c r="F178" s="130" t="s">
        <v>4</v>
      </c>
      <c r="G178" s="130" t="s">
        <v>434</v>
      </c>
      <c r="H178" s="130" t="n">
        <v>1</v>
      </c>
      <c r="I178" s="133"/>
      <c r="J178" s="134" t="n">
        <f aca="false">$J$120*H178</f>
        <v>1</v>
      </c>
    </row>
    <row r="179" s="96" customFormat="true" ht="18" hidden="false" customHeight="true" outlineLevel="0" collapsed="false">
      <c r="A179" s="170" t="n">
        <f aca="false">IF(B179="","",+A178+1)</f>
        <v>7</v>
      </c>
      <c r="B179" s="131" t="s">
        <v>556</v>
      </c>
      <c r="C179" s="131" t="s">
        <v>557</v>
      </c>
      <c r="D179" s="132" t="s">
        <v>5</v>
      </c>
      <c r="E179" s="130"/>
      <c r="F179" s="130" t="s">
        <v>5</v>
      </c>
      <c r="G179" s="130" t="s">
        <v>434</v>
      </c>
      <c r="H179" s="130" t="n">
        <v>3</v>
      </c>
      <c r="I179" s="133"/>
      <c r="J179" s="134" t="n">
        <f aca="false">$J$120*H179</f>
        <v>3</v>
      </c>
    </row>
    <row r="180" s="96" customFormat="true" ht="18" hidden="false" customHeight="true" outlineLevel="0" collapsed="false">
      <c r="A180" s="170" t="n">
        <f aca="false">IF(B180="","",+A179+1)</f>
        <v>8</v>
      </c>
      <c r="B180" s="131" t="s">
        <v>432</v>
      </c>
      <c r="C180" s="131" t="s">
        <v>433</v>
      </c>
      <c r="D180" s="132" t="s">
        <v>6</v>
      </c>
      <c r="E180" s="130"/>
      <c r="F180" s="130" t="s">
        <v>6</v>
      </c>
      <c r="G180" s="130" t="s">
        <v>434</v>
      </c>
      <c r="H180" s="130" t="n">
        <v>1</v>
      </c>
      <c r="I180" s="133"/>
      <c r="J180" s="134" t="n">
        <f aca="false">$J$120*H180</f>
        <v>1</v>
      </c>
    </row>
    <row r="181" s="96" customFormat="true" ht="18" hidden="false" customHeight="true" outlineLevel="0" collapsed="false">
      <c r="A181" s="170" t="n">
        <f aca="false">IF(B181="","",+A180+1)</f>
        <v>9</v>
      </c>
      <c r="B181" s="131" t="s">
        <v>512</v>
      </c>
      <c r="C181" s="131" t="s">
        <v>513</v>
      </c>
      <c r="D181" s="132" t="s">
        <v>7</v>
      </c>
      <c r="E181" s="130"/>
      <c r="F181" s="130" t="s">
        <v>7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10</v>
      </c>
      <c r="B182" s="131" t="s">
        <v>514</v>
      </c>
      <c r="C182" s="131" t="s">
        <v>768</v>
      </c>
      <c r="D182" s="132" t="s">
        <v>9</v>
      </c>
      <c r="E182" s="130"/>
      <c r="F182" s="130" t="s">
        <v>9</v>
      </c>
      <c r="G182" s="130" t="s">
        <v>434</v>
      </c>
      <c r="H182" s="130" t="n">
        <v>1</v>
      </c>
      <c r="I182" s="133"/>
      <c r="J182" s="134" t="n">
        <f aca="false">$J$120*H182</f>
        <v>1</v>
      </c>
      <c r="Q182" s="172"/>
      <c r="R182" s="172"/>
      <c r="S182" s="172"/>
      <c r="T182" s="97"/>
      <c r="U182" s="97"/>
      <c r="V182" s="97"/>
    </row>
    <row r="183" s="96" customFormat="true" ht="18" hidden="false" customHeight="true" outlineLevel="0" collapsed="false">
      <c r="A183" s="170" t="n">
        <f aca="false">IF(B183="","",+A182+1)</f>
        <v>11</v>
      </c>
      <c r="B183" s="131" t="s">
        <v>554</v>
      </c>
      <c r="C183" s="131" t="s">
        <v>555</v>
      </c>
      <c r="D183" s="132" t="s">
        <v>11</v>
      </c>
      <c r="E183" s="130"/>
      <c r="F183" s="130" t="s">
        <v>11</v>
      </c>
      <c r="G183" s="130" t="s">
        <v>434</v>
      </c>
      <c r="H183" s="130" t="n">
        <v>3</v>
      </c>
      <c r="I183" s="142"/>
      <c r="J183" s="134" t="n">
        <f aca="false">$J$120*H183</f>
        <v>3</v>
      </c>
      <c r="N183" s="107" t="s">
        <v>289</v>
      </c>
      <c r="O183" s="165" t="s">
        <v>320</v>
      </c>
      <c r="P183" s="165" t="s">
        <v>168</v>
      </c>
      <c r="Q183" s="165" t="s">
        <v>397</v>
      </c>
      <c r="R183" s="165" t="s">
        <v>321</v>
      </c>
      <c r="S183" s="165" t="s">
        <v>398</v>
      </c>
      <c r="T183" s="165" t="s">
        <v>399</v>
      </c>
      <c r="U183" s="165" t="s">
        <v>400</v>
      </c>
      <c r="V183" s="165" t="s">
        <v>401</v>
      </c>
      <c r="W183" s="165" t="s">
        <v>402</v>
      </c>
    </row>
    <row r="184" s="96" customFormat="true" ht="18" hidden="false" customHeight="true" outlineLevel="0" collapsed="false">
      <c r="A184" s="170" t="n">
        <f aca="false">IF(B184="","",+A183+1)</f>
        <v>12</v>
      </c>
      <c r="B184" s="131" t="s">
        <v>769</v>
      </c>
      <c r="C184" s="131" t="s">
        <v>770</v>
      </c>
      <c r="D184" s="132" t="s">
        <v>262</v>
      </c>
      <c r="E184" s="130"/>
      <c r="F184" s="130" t="s">
        <v>262</v>
      </c>
      <c r="G184" s="130" t="s">
        <v>434</v>
      </c>
      <c r="H184" s="130" t="n">
        <v>1</v>
      </c>
      <c r="I184" s="142"/>
      <c r="J184" s="134" t="n">
        <f aca="false">$J$120*H184</f>
        <v>1</v>
      </c>
      <c r="N184" s="107" t="s">
        <v>445</v>
      </c>
      <c r="O184" s="62" t="s">
        <v>446</v>
      </c>
      <c r="P184" s="62" t="s">
        <v>447</v>
      </c>
      <c r="Q184" s="55" t="s">
        <v>230</v>
      </c>
      <c r="R184" s="158"/>
      <c r="S184" s="158" t="s">
        <v>230</v>
      </c>
      <c r="T184" s="158" t="s">
        <v>409</v>
      </c>
      <c r="U184" s="168" t="n">
        <f aca="false">((($I$134*$G$134)+($I$136*$G$136)+($I$139*$G$139))/1000)*$J$120</f>
        <v>12.258</v>
      </c>
      <c r="V184" s="168" t="n">
        <v>300</v>
      </c>
      <c r="W184" s="169" t="n">
        <f aca="false">ROUNDUP((U184)/V184,0)</f>
        <v>1</v>
      </c>
    </row>
    <row r="185" s="96" customFormat="true" ht="18" hidden="false" customHeight="true" outlineLevel="0" collapsed="false">
      <c r="A185" s="170" t="n">
        <f aca="false">IF(B185="","",+A184+1)</f>
        <v>13</v>
      </c>
      <c r="B185" s="131" t="s">
        <v>771</v>
      </c>
      <c r="C185" s="131" t="s">
        <v>772</v>
      </c>
      <c r="D185" s="132" t="s">
        <v>264</v>
      </c>
      <c r="E185" s="130"/>
      <c r="F185" s="130" t="s">
        <v>264</v>
      </c>
      <c r="G185" s="130" t="s">
        <v>434</v>
      </c>
      <c r="H185" s="130" t="n">
        <v>3</v>
      </c>
      <c r="I185" s="142"/>
      <c r="J185" s="134" t="n">
        <f aca="false">$J$120*H185</f>
        <v>3</v>
      </c>
      <c r="N185" s="107" t="s">
        <v>448</v>
      </c>
      <c r="O185" s="62" t="s">
        <v>449</v>
      </c>
      <c r="P185" s="62" t="s">
        <v>450</v>
      </c>
      <c r="Q185" s="55" t="s">
        <v>451</v>
      </c>
      <c r="R185" s="158"/>
      <c r="S185" s="158" t="s">
        <v>451</v>
      </c>
      <c r="T185" s="158" t="s">
        <v>409</v>
      </c>
      <c r="U185" s="168" t="n">
        <f aca="false">((($I$134*$G$134)+($I$136*$G$136)+($I$139*$G$139))/1000)*$J$120</f>
        <v>12.258</v>
      </c>
      <c r="V185" s="168" t="n">
        <v>100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14</v>
      </c>
      <c r="B186" s="131" t="s">
        <v>439</v>
      </c>
      <c r="C186" s="131" t="s">
        <v>440</v>
      </c>
      <c r="D186" s="132" t="s">
        <v>12</v>
      </c>
      <c r="E186" s="130"/>
      <c r="F186" s="130" t="s">
        <v>12</v>
      </c>
      <c r="G186" s="130" t="s">
        <v>434</v>
      </c>
      <c r="H186" s="130" t="n">
        <v>4</v>
      </c>
      <c r="I186" s="142"/>
      <c r="J186" s="134" t="n">
        <f aca="false">$J$120*H186</f>
        <v>4</v>
      </c>
      <c r="N186" s="107" t="s">
        <v>445</v>
      </c>
      <c r="O186" s="62" t="s">
        <v>452</v>
      </c>
      <c r="P186" s="62" t="s">
        <v>453</v>
      </c>
      <c r="Q186" s="55" t="s">
        <v>232</v>
      </c>
      <c r="R186" s="158"/>
      <c r="S186" s="158" t="s">
        <v>232</v>
      </c>
      <c r="T186" s="158" t="s">
        <v>409</v>
      </c>
      <c r="U186" s="168" t="n">
        <f aca="false">((($I$141*$G$141*2)+($I$143*$G$143*2)+($I$144*$G$144*2)+($I$145*$G$145))/1000)*$J$120</f>
        <v>86.856</v>
      </c>
      <c r="V186" s="168" t="n">
        <v>350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15</v>
      </c>
      <c r="B187" s="131" t="s">
        <v>540</v>
      </c>
      <c r="C187" s="131" t="s">
        <v>541</v>
      </c>
      <c r="D187" s="132" t="s">
        <v>542</v>
      </c>
      <c r="E187" s="130"/>
      <c r="F187" s="130" t="s">
        <v>542</v>
      </c>
      <c r="G187" s="130" t="s">
        <v>434</v>
      </c>
      <c r="H187" s="130" t="n">
        <v>1</v>
      </c>
      <c r="I187" s="133"/>
      <c r="J187" s="134" t="n">
        <f aca="false">$J$120*H187</f>
        <v>1</v>
      </c>
      <c r="N187" s="107" t="s">
        <v>448</v>
      </c>
      <c r="O187" s="62" t="s">
        <v>454</v>
      </c>
      <c r="P187" s="62" t="s">
        <v>455</v>
      </c>
      <c r="Q187" s="55" t="s">
        <v>456</v>
      </c>
      <c r="R187" s="158"/>
      <c r="S187" s="158" t="s">
        <v>456</v>
      </c>
      <c r="T187" s="158" t="s">
        <v>409</v>
      </c>
      <c r="U187" s="168" t="n">
        <f aca="false">((($I$141*$G$141*2)+($I$143*$G$143*2)+($I$144*$G$144*2)+($I$145*$G$145))/1000)*$J$120</f>
        <v>86.856</v>
      </c>
      <c r="V187" s="168" t="n">
        <v>100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16</v>
      </c>
      <c r="B188" s="131" t="s">
        <v>441</v>
      </c>
      <c r="C188" s="131" t="s">
        <v>442</v>
      </c>
      <c r="D188" s="132" t="s">
        <v>274</v>
      </c>
      <c r="E188" s="130"/>
      <c r="F188" s="130" t="s">
        <v>274</v>
      </c>
      <c r="G188" s="130" t="s">
        <v>405</v>
      </c>
      <c r="H188" s="130" t="n">
        <v>8</v>
      </c>
      <c r="I188" s="133"/>
      <c r="J188" s="134" t="n">
        <f aca="false">$J$120*H188</f>
        <v>8</v>
      </c>
    </row>
    <row r="189" s="96" customFormat="true" ht="18" hidden="false" customHeight="true" outlineLevel="0" collapsed="false">
      <c r="A189" s="170" t="n">
        <f aca="false">IF(B189="","",+A188+1)</f>
        <v>17</v>
      </c>
      <c r="B189" s="131" t="s">
        <v>443</v>
      </c>
      <c r="C189" s="131" t="s">
        <v>444</v>
      </c>
      <c r="D189" s="132" t="s">
        <v>272</v>
      </c>
      <c r="E189" s="130"/>
      <c r="F189" s="130" t="s">
        <v>272</v>
      </c>
      <c r="G189" s="130" t="s">
        <v>405</v>
      </c>
      <c r="H189" s="130" t="n">
        <v>1</v>
      </c>
      <c r="I189" s="133"/>
      <c r="J189" s="134" t="n">
        <f aca="false">$J$120*H189</f>
        <v>1</v>
      </c>
    </row>
    <row r="190" s="96" customFormat="true" ht="18" hidden="false" customHeight="true" outlineLevel="0" collapsed="false">
      <c r="A190" s="170" t="n">
        <f aca="false">IF(B190="","",+A189+1)</f>
        <v>18</v>
      </c>
      <c r="B190" s="131" t="s">
        <v>403</v>
      </c>
      <c r="C190" s="131" t="s">
        <v>404</v>
      </c>
      <c r="D190" s="132" t="s">
        <v>276</v>
      </c>
      <c r="E190" s="130"/>
      <c r="F190" s="130" t="s">
        <v>276</v>
      </c>
      <c r="G190" s="130" t="s">
        <v>405</v>
      </c>
      <c r="H190" s="130" t="n">
        <v>4</v>
      </c>
      <c r="I190" s="133"/>
      <c r="J190" s="134" t="n">
        <f aca="false">$J$120*H190</f>
        <v>4</v>
      </c>
    </row>
    <row r="191" s="96" customFormat="true" ht="18" hidden="false" customHeight="true" outlineLevel="0" collapsed="false">
      <c r="A191" s="170" t="n">
        <f aca="false">IF(B191="","",+A190+1)</f>
        <v>19</v>
      </c>
      <c r="B191" s="131" t="s">
        <v>580</v>
      </c>
      <c r="C191" s="131" t="s">
        <v>581</v>
      </c>
      <c r="D191" s="132" t="s">
        <v>582</v>
      </c>
      <c r="E191" s="130"/>
      <c r="F191" s="130" t="s">
        <v>582</v>
      </c>
      <c r="G191" s="130" t="s">
        <v>409</v>
      </c>
      <c r="H191" s="173" t="n">
        <f aca="false">((($I$149*$G$149)+($I$150*$G$150))/1000)*$J$120</f>
        <v>4.816</v>
      </c>
      <c r="I191" s="174" t="n">
        <v>100</v>
      </c>
      <c r="J191" s="177" t="n">
        <f aca="false">ROUNDUP((H191)/100,0)</f>
        <v>1</v>
      </c>
    </row>
    <row r="192" s="96" customFormat="true" ht="18" hidden="false" customHeight="true" outlineLevel="0" collapsed="false">
      <c r="A192" s="170" t="n">
        <f aca="false">IF(B192="","",+A191+1)</f>
        <v>20</v>
      </c>
      <c r="B192" s="131" t="s">
        <v>583</v>
      </c>
      <c r="C192" s="131" t="s">
        <v>584</v>
      </c>
      <c r="D192" s="132" t="s">
        <v>585</v>
      </c>
      <c r="E192" s="130"/>
      <c r="F192" s="130" t="s">
        <v>585</v>
      </c>
      <c r="G192" s="130" t="s">
        <v>409</v>
      </c>
      <c r="H192" s="173" t="n">
        <f aca="false">((($I$146*$G$146*2))/1000)*$J$120</f>
        <v>4.816</v>
      </c>
      <c r="I192" s="174" t="n">
        <v>100</v>
      </c>
      <c r="J192" s="177" t="n">
        <f aca="false">ROUNDUP((H192)/100,0)</f>
        <v>1</v>
      </c>
    </row>
    <row r="193" customFormat="false" ht="18" hidden="false" customHeight="true" outlineLevel="0" collapsed="false">
      <c r="A193" s="170" t="n">
        <f aca="false">IF(B193="","",+A192+1)</f>
        <v>21</v>
      </c>
      <c r="B193" s="132" t="str">
        <f aca="false">IF($D$129="Standard",$O$184,IF($D$129="Soumdproof",$O$185,))</f>
        <v>ยางเฟรมกันน้ำ (กันเสียง)</v>
      </c>
      <c r="C193" s="132" t="str">
        <f aca="false">IF($D$129="Standard",$P$184,IF($D$129="Soumdproof",$P$185,))</f>
        <v>FRAME SEAL (Soumdproof)</v>
      </c>
      <c r="D193" s="132" t="str">
        <f aca="false">IF($D$129="Standard",$Q$184,IF($D$129="Soumdproof",$Q$185,))</f>
        <v>02-025</v>
      </c>
      <c r="E193" s="130" t="n">
        <f aca="false">IF($D$129="Standard",R189,IF($D$129="Soumdproof",R190,))</f>
        <v>0</v>
      </c>
      <c r="F193" s="130" t="str">
        <f aca="false">IF($D$129="Standard",$S$184,IF($D$129="Soumdproof",$S$185,))</f>
        <v>02-025</v>
      </c>
      <c r="G193" s="130" t="str">
        <f aca="false">IF($D$129="Standard",$T$184,IF($D$129="Soumdproof",$T$185,))</f>
        <v>M</v>
      </c>
      <c r="H193" s="173" t="n">
        <f aca="false">IF($D$129="Standard",$U$184,IF($D$129="Soumdproof",$U$185,))</f>
        <v>12.258</v>
      </c>
      <c r="I193" s="174" t="n">
        <f aca="false">IF($D$129="Standard",$V$184,IF($D$129="Soumdproof",$V$185,))</f>
        <v>100</v>
      </c>
      <c r="J193" s="175" t="n">
        <f aca="false">ROUNDUP((H193)/100,0)</f>
        <v>1</v>
      </c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</row>
    <row r="194" s="96" customFormat="true" ht="18" hidden="false" customHeight="true" outlineLevel="0" collapsed="false">
      <c r="A194" s="170" t="n">
        <f aca="false">IF(B194="","",+A193+1)</f>
        <v>22</v>
      </c>
      <c r="B194" s="132" t="str">
        <f aca="false">IF($D$129="Standard",$O$186,IF($D$129="Soumdproof",$O$187,))</f>
        <v>ยางแซชกันน้ำ (กันเสียง)</v>
      </c>
      <c r="C194" s="132" t="str">
        <f aca="false">IF($D$129="Standard",$P$186,IF($D$129="Soumdproof",$P$187,))</f>
        <v>SASH SEAL FOAM (Soumdproof)</v>
      </c>
      <c r="D194" s="132" t="str">
        <f aca="false">IF($D$129="Standard",$Q$186,IF($D$129="Soumdproof",$Q$187,))</f>
        <v>02-035</v>
      </c>
      <c r="E194" s="130" t="n">
        <f aca="false">IF($D$129="Standard",R191,IF($D$129="Soumdproof",R192,))</f>
        <v>0</v>
      </c>
      <c r="F194" s="130" t="str">
        <f aca="false">IF($D$129="Standard",$S$186,IF($D$129="Soumdproof",$S$187,))</f>
        <v>02-035</v>
      </c>
      <c r="G194" s="130" t="str">
        <f aca="false">IF($D$129="Standard",$T$186,IF($D$129="Soumdproof",$T$187,))</f>
        <v>M</v>
      </c>
      <c r="H194" s="173" t="n">
        <f aca="false">IF($D$129="Standard",$U$186,IF($D$129="Soumdproof",$U$187,))</f>
        <v>86.856</v>
      </c>
      <c r="I194" s="174" t="n">
        <f aca="false">IF($D$129="Standard",$V$186,IF($D$129="Soumdproof",$V$187,))</f>
        <v>100</v>
      </c>
      <c r="J194" s="177" t="n">
        <f aca="false">ROUNDUP((H194)/100,0)</f>
        <v>1</v>
      </c>
    </row>
    <row r="195" s="96" customFormat="true" ht="18" hidden="false" customHeight="true" outlineLevel="0" collapsed="false">
      <c r="A195" s="170" t="n">
        <f aca="false">IF(B195="","",+A194+1)</f>
        <v>23</v>
      </c>
      <c r="B195" s="176" t="str">
        <f aca="false">IF($D$127=5,$O$175,IF($D$127=6,$O$176,IF($D$127=8,$O$177,IF($D$127=10,$O$175,IF($D$127=12,$O$175,IF($D$127=14,$O$177,IF($D$127=18,$O$175,IF($D$127=20,$O$176,IF($D$127=22,"")))))))))</f>
        <v>8,14 mm ยางอัดกระจก</v>
      </c>
      <c r="C195" s="176" t="str">
        <f aca="false">IF($D$127=5,$P$175,IF($D$127=6,$P$176,IF($D$127=8,$P$177,IF($D$127=10,$P$175,IF($D$127=12,$P$175,IF($D$127=14,$P$177,IF($D$127=18,$P$175,IF($D$127=20,$P$176,IF($D$127=22,"")))))))))</f>
        <v>8,14 mm ROLL IN WEDGE</v>
      </c>
      <c r="D195" s="176" t="str">
        <f aca="false">IF($D$127=5,$Q$175,IF($D$127=6,$Q$176,IF($D$127=8,$Q$177,IF($D$127=10,$Q$175,IF($D$127=12,$Q$175,IF($D$127=14,$Q$177,IF($D$127=18,$Q$175,IF($D$127=20,$Q$176,IF($D$127=22,"")))))))))</f>
        <v>02-045</v>
      </c>
      <c r="E195" s="176" t="n">
        <f aca="false">IF($D$127=5,R180,IF($D$127=6,R181,IF($D$127=8,R182,IF($D$127=10,R180,IF($D$127=12,R180,IF($D$127=14,R182,IF($D$127=18,R180,IF($D$127=20,R181,IF($D$127=22,"",)))))))))</f>
        <v>0</v>
      </c>
      <c r="F195" s="167" t="str">
        <f aca="false">IF($D$127=5,$S$175,IF($D$127=6,$S$176,IF($D$127=8,$S$177,IF($D$127=10,$S$175,IF($D$127=12,$S$175,IF($D$127=14,$S$177,IF($D$127=18,$S$175,IF($D$127=20,$S$176,IF($D$127=22,"")))))))))</f>
        <v>02-045</v>
      </c>
      <c r="G195" s="167" t="str">
        <f aca="false">IF($D$127=5,$T$175,IF($D$127=6,$T$176,IF($D$127=8,$T$177,IF($D$127=10,$T$175,IF($D$127=12,$T$175,IF($D$127=14,$T$177,IF($D$127=18,$T$175,IF($D$127=20,$T$176,IF($D$127=22,"")))))))))</f>
        <v>M</v>
      </c>
      <c r="H195" s="173" t="n">
        <f aca="false">IF($D$127=5,$U$175,IF($D$127=6,$U$176,IF($D$127=8,$U$177,IF($D$127=10,$U$175*2,IF($D$127=12,$U$175,IF($D$127=14,$U$177*2,IF($D$127=18,$U$175,IF($D$127=20,$U$176,IF($D$127=22,"")))))))))</f>
        <v>53.144</v>
      </c>
      <c r="I195" s="174" t="n">
        <f aca="false">IF($D$127=5,$V$175,IF($D$127=6,$V$176,IF($D$127=8,$V$177,IF($D$127=10,$V$175,IF($D$127=12,$V$175,IF($D$127=14,$V$177,IF($D$127=18,$V$175,IF($D$127=20,$V$176,IF($D$127=22,"")))))))))</f>
        <v>100</v>
      </c>
      <c r="J195" s="177" t="n">
        <f aca="false">ROUNDUP((H195)/100,0)</f>
        <v>1</v>
      </c>
    </row>
    <row r="196" s="96" customFormat="true" ht="18" hidden="false" customHeight="true" outlineLevel="0" collapsed="false">
      <c r="A196" s="170" t="n">
        <f aca="false">IF(B196="","",+A195+1)</f>
        <v>24</v>
      </c>
      <c r="B196" s="176" t="str">
        <f aca="false">IF($D$127=5,$O$173,IF($D$127=6,$O$173,IF($D$127=8,$O$175,IF($D$127=10,"",IF($D$127=12,$O$174,IF($D$127=14,"",IF($D$127=18,$O$173,IF($D$127=20,$O$174,IF($D$127=22,"",)))))))))</f>
        <v>5,8,10,12,18 mmยางอัดกระจก</v>
      </c>
      <c r="C196" s="176" t="str">
        <f aca="false">IF($D$127=5,$P$173,IF($D$127=6,$P$173,IF($D$127=8,$P$175,IF($D$127=10,"",IF($D$127=12,$P$174,IF($D$127=14,"",IF($D$127=18,$P$173,IF($D$127=20,$P$174,IF($D$127=22,"",)))))))))</f>
        <v>5,8,10,12,18 mm ROLL IN WEDGE</v>
      </c>
      <c r="D196" s="176" t="str">
        <f aca="false">IF($D$127=5,$Q$173,IF($D$127=6,$Q$173,IF($D$127=8,$Q$175,IF($D$127=10,"",IF($D$127=12,$Q$174,IF($D$127=14,"",IF($D$127=18,$Q$173,IF($D$127=20,$Q$174,IF($D$127=22,"",)))))))))</f>
        <v>02-033</v>
      </c>
      <c r="E196" s="176" t="n">
        <f aca="false">IF($D$127=5,R178,IF($D$127=6,R178,IF($D$127=8,R180,IF($D$127=10,"",IF($D$127=12,R179,IF($D$127=14,"",IF($D$127=18,R178,IF($D$127=20,R179,IF($D$127=22,"",)))))))))</f>
        <v>0</v>
      </c>
      <c r="F196" s="167" t="str">
        <f aca="false">IF($D$127=5,$S$173,IF($D$127=6,$S$173,IF($D$127=8,$S$175,IF($D$127=10,"",IF($D$127=12,$S$174,IF($D$127=14,"",IF($D$127=18,$S$173,IF($D$127=20,$S$174,IF($D$127=22,"",)))))))))</f>
        <v>02-033</v>
      </c>
      <c r="G196" s="167" t="str">
        <f aca="false">IF($D$127=5,$T$173,IF($D$127=6,$T$173,IF($D$127=8,$T$175,IF($D$127=10,"",IF($D$127=12,$T$174,IF($D$127=14,"",IF($D$127=18,$T$173,IF($D$127=20,$T$174,IF($D$127=22,"",)))))))))</f>
        <v>M</v>
      </c>
      <c r="H196" s="173" t="n">
        <f aca="false">IF($D$127=5,$U$173,IF($D$127=6,$U$173,IF($D$127=8,$U$175,IF($D$127=10,"",IF($D$127=12,$U$174,IF($D$127=14,"",IF($D$127=18,$U$173,IF($D$127=20,$U$174,IF($D$127=22,"")))))))))</f>
        <v>53.144</v>
      </c>
      <c r="I196" s="174" t="n">
        <f aca="false">IF($D$127=5,$V$173,IF($D$127=6,$V$173,IF($D$127=8,$V$175,IF($D$127=10,"",IF($D$127=12,$V$174,IF($D$127=14,"",IF($D$127=18,$V$173,IF($D$127=20,$V$174,IF($D$127=22,"",)))))))))</f>
        <v>100</v>
      </c>
      <c r="J196" s="177" t="n">
        <f aca="false">ROUNDUP((H196)/100,0)</f>
        <v>1</v>
      </c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/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$J$120*H198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$J$120*H204</f>
        <v>0</v>
      </c>
    </row>
    <row r="205" s="96" customFormat="true" ht="18" hidden="false" customHeight="true" outlineLevel="0" collapsed="false">
      <c r="A205" s="179" t="str">
        <f aca="false">IF(B205="","",+A204+1)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$J$120*H205</f>
        <v>0</v>
      </c>
    </row>
    <row r="206" s="96" customFormat="true" ht="18" hidden="false" customHeight="true" outlineLevel="0" collapsed="false">
      <c r="A206" s="200"/>
      <c r="D206" s="98"/>
      <c r="E206" s="97"/>
      <c r="F206" s="97"/>
      <c r="G206" s="97"/>
      <c r="H206" s="97"/>
      <c r="I206" s="196"/>
      <c r="J206" s="256"/>
    </row>
    <row r="207" customFormat="false" ht="18" hidden="false" customHeight="true" outlineLevel="0" collapsed="false">
      <c r="A207" s="97"/>
      <c r="J207" s="92" t="str">
        <f aca="false">LEFT($J$111,13)&amp;"-02"</f>
        <v>FG-240-9P4L5R-02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458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4940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461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4914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464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4940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1"/>
      <c r="H251" s="97"/>
      <c r="J251" s="97"/>
    </row>
    <row r="252" s="96" customFormat="true" ht="15.75" hidden="false" customHeight="true" outlineLevel="0" collapsed="false">
      <c r="A252" s="97"/>
      <c r="D252" s="98"/>
      <c r="E252" s="97"/>
      <c r="F252" s="97"/>
      <c r="G252" s="190"/>
      <c r="H252" s="97"/>
      <c r="I252" s="196"/>
      <c r="J252" s="196"/>
    </row>
    <row r="253" s="96" customFormat="true" ht="15.75" hidden="false" customHeight="true" outlineLevel="0" collapsed="false">
      <c r="A253" s="97"/>
      <c r="D253" s="98"/>
      <c r="E253" s="97"/>
      <c r="F253" s="97"/>
      <c r="G253" s="97"/>
      <c r="H253" s="97"/>
      <c r="I253" s="196"/>
      <c r="J253" s="196"/>
    </row>
    <row r="254" s="96" customFormat="true" ht="15.75" hidden="false" customHeight="true" outlineLevel="0" collapsed="false">
      <c r="A254" s="191"/>
      <c r="B254" s="191"/>
      <c r="D254" s="192"/>
      <c r="E254" s="191"/>
      <c r="F254" s="191"/>
      <c r="G254" s="97"/>
      <c r="H254" s="97"/>
      <c r="I254" s="196"/>
      <c r="J254" s="196"/>
    </row>
    <row r="255" s="96" customFormat="true" ht="15.75" hidden="false" customHeight="true" outlineLevel="0" collapsed="false">
      <c r="A255" s="190"/>
      <c r="B255" s="190"/>
      <c r="C255" s="184" t="s">
        <v>465</v>
      </c>
      <c r="D255" s="194"/>
      <c r="E255" s="190"/>
      <c r="F255" s="189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459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1" t="s">
        <v>460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5" t="n">
        <f aca="false">$I$136</f>
        <v>4940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C259" s="187" t="n">
        <f aca="false">$J$136</f>
        <v>1</v>
      </c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98"/>
      <c r="D264" s="98"/>
      <c r="E264" s="97"/>
      <c r="F264" s="97"/>
      <c r="G264" s="97"/>
      <c r="I264" s="196"/>
      <c r="J264" s="196"/>
    </row>
    <row r="265" s="96" customFormat="true" ht="15.75" hidden="false" customHeight="true" outlineLevel="0" collapsed="false">
      <c r="A265" s="200"/>
      <c r="D265" s="98"/>
      <c r="E265" s="97"/>
      <c r="F265" s="97"/>
      <c r="G265" s="97"/>
      <c r="I265" s="196"/>
      <c r="J265" s="196"/>
    </row>
    <row r="266" s="96" customFormat="true" ht="15.75" hidden="false" customHeight="true" outlineLevel="0" collapsed="false">
      <c r="A266" s="200"/>
      <c r="C266" s="184" t="s">
        <v>466</v>
      </c>
      <c r="D266" s="98"/>
      <c r="E266" s="97"/>
      <c r="F266" s="97"/>
      <c r="G266" s="97"/>
      <c r="H266" s="97"/>
      <c r="I266" s="196"/>
      <c r="J266" s="196"/>
    </row>
    <row r="267" s="96" customFormat="true" ht="15.75" hidden="false" customHeight="true" outlineLevel="0" collapsed="false">
      <c r="A267" s="200"/>
      <c r="C267" s="181" t="s">
        <v>467</v>
      </c>
      <c r="D267" s="181"/>
      <c r="E267" s="181"/>
      <c r="F267" s="97"/>
      <c r="G267" s="97"/>
      <c r="H267" s="97"/>
      <c r="I267" s="196"/>
      <c r="J267" s="196"/>
    </row>
    <row r="268" s="96" customFormat="true" ht="15.75" hidden="false" customHeight="true" outlineLevel="0" collapsed="false">
      <c r="A268" s="200"/>
      <c r="C268" s="181" t="s">
        <v>468</v>
      </c>
      <c r="D268" s="181"/>
      <c r="E268" s="181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C269" s="185" t="n">
        <f aca="false">$I$137</f>
        <v>2500</v>
      </c>
      <c r="D269" s="98"/>
      <c r="E269" s="97"/>
      <c r="F269" s="97"/>
      <c r="J269" s="97"/>
    </row>
    <row r="270" s="96" customFormat="true" ht="15.75" hidden="false" customHeight="true" outlineLevel="0" collapsed="false">
      <c r="A270" s="200"/>
      <c r="C270" s="187" t="n">
        <f aca="false">$J$137+$J$138</f>
        <v>2</v>
      </c>
      <c r="D270" s="98"/>
      <c r="E270" s="97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4"/>
      <c r="E271" s="184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4"/>
      <c r="E272" s="184"/>
      <c r="F272" s="97"/>
      <c r="G272" s="97"/>
      <c r="H272" s="97"/>
      <c r="J272" s="97"/>
    </row>
    <row r="273" s="96" customFormat="true" ht="15.75" hidden="false" customHeight="true" outlineLevel="0" collapsed="false">
      <c r="A273" s="200"/>
      <c r="D273" s="181"/>
      <c r="E273" s="181"/>
      <c r="F273" s="97"/>
      <c r="G273" s="97"/>
      <c r="H273" s="97"/>
      <c r="J273" s="97"/>
    </row>
    <row r="274" s="96" customFormat="true" ht="15.75" hidden="false" customHeight="true" outlineLevel="0" collapsed="false">
      <c r="A274" s="200"/>
      <c r="D274" s="181"/>
      <c r="E274" s="181"/>
      <c r="F274" s="97"/>
      <c r="G274" s="97"/>
      <c r="H274" s="97"/>
      <c r="J274" s="97"/>
    </row>
    <row r="275" s="96" customFormat="true" ht="15.75" hidden="false" customHeight="true" outlineLevel="0" collapsed="false">
      <c r="A275" s="200"/>
      <c r="D275" s="181"/>
      <c r="E275" s="181"/>
      <c r="F275" s="97"/>
      <c r="G275" s="97"/>
      <c r="I275" s="196"/>
      <c r="J275" s="196"/>
    </row>
    <row r="276" s="96" customFormat="true" ht="15.75" hidden="false" customHeight="true" outlineLevel="0" collapsed="false">
      <c r="A276" s="200"/>
      <c r="D276" s="98"/>
      <c r="E276" s="97"/>
      <c r="F276" s="97"/>
      <c r="G276" s="97"/>
      <c r="I276" s="196"/>
      <c r="J276" s="196"/>
    </row>
    <row r="277" s="96" customFormat="true" ht="15.75" hidden="false" customHeight="true" outlineLevel="0" collapsed="false">
      <c r="A277" s="200"/>
      <c r="C277" s="184" t="s">
        <v>469</v>
      </c>
      <c r="D277" s="201"/>
      <c r="E277" s="196"/>
      <c r="F277" s="97"/>
      <c r="G277" s="97"/>
      <c r="I277" s="196"/>
      <c r="J277" s="196"/>
    </row>
    <row r="278" s="96" customFormat="true" ht="15.75" hidden="false" customHeight="true" outlineLevel="0" collapsed="false">
      <c r="A278" s="200"/>
      <c r="C278" s="181" t="s">
        <v>470</v>
      </c>
      <c r="D278" s="181"/>
      <c r="E278" s="181"/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C279" s="181" t="s">
        <v>471</v>
      </c>
      <c r="D279" s="181"/>
      <c r="E279" s="181"/>
      <c r="F279" s="97"/>
      <c r="G279" s="97"/>
      <c r="I279" s="97"/>
      <c r="J279" s="196"/>
    </row>
    <row r="280" s="96" customFormat="true" ht="15.75" hidden="false" customHeight="true" outlineLevel="0" collapsed="false">
      <c r="A280" s="200"/>
      <c r="C280" s="185" t="n">
        <f aca="false">$I$139</f>
        <v>2404</v>
      </c>
      <c r="F280" s="97"/>
      <c r="G280" s="97"/>
      <c r="I280" s="97"/>
      <c r="J280" s="196"/>
    </row>
    <row r="281" s="96" customFormat="true" ht="15.75" hidden="false" customHeight="true" outlineLevel="0" collapsed="false">
      <c r="A281" s="200"/>
      <c r="C281" s="187" t="n">
        <f aca="false">$J$139+$J$140</f>
        <v>2</v>
      </c>
      <c r="F281" s="97"/>
      <c r="G281" s="97"/>
      <c r="I281" s="97"/>
      <c r="J281" s="196"/>
    </row>
    <row r="282" s="96" customFormat="true" ht="15.75" hidden="false" customHeight="true" outlineLevel="0" collapsed="false">
      <c r="A282" s="200"/>
      <c r="F282" s="97"/>
      <c r="G282" s="97"/>
      <c r="H282" s="97"/>
      <c r="J282" s="97"/>
    </row>
    <row r="283" s="96" customFormat="true" ht="15.75" hidden="false" customHeight="true" outlineLevel="0" collapsed="false">
      <c r="A283" s="200"/>
      <c r="F283" s="97"/>
      <c r="G283" s="97"/>
      <c r="H283" s="97"/>
      <c r="J283" s="97"/>
    </row>
    <row r="284" s="96" customFormat="true" ht="15.75" hidden="false" customHeight="true" outlineLevel="0" collapsed="false">
      <c r="A284" s="200"/>
      <c r="F284" s="97"/>
      <c r="G284" s="97"/>
      <c r="H284" s="97"/>
      <c r="I284" s="201"/>
      <c r="J284" s="196"/>
    </row>
    <row r="285" s="96" customFormat="true" ht="15.75" hidden="false" customHeight="true" outlineLevel="0" collapsed="false">
      <c r="A285" s="200"/>
      <c r="C285" s="184" t="s">
        <v>472</v>
      </c>
      <c r="F285" s="97"/>
      <c r="G285" s="97"/>
      <c r="H285" s="97"/>
      <c r="I285" s="97"/>
      <c r="J285" s="196"/>
    </row>
    <row r="286" s="96" customFormat="true" ht="15.75" hidden="false" customHeight="true" outlineLevel="0" collapsed="false">
      <c r="A286" s="200"/>
      <c r="C286" s="83" t="s">
        <v>763</v>
      </c>
      <c r="D286" s="98"/>
      <c r="E286" s="97"/>
      <c r="F286" s="97"/>
      <c r="G286" s="97"/>
      <c r="H286" s="97"/>
      <c r="I286" s="196"/>
      <c r="J286" s="196"/>
    </row>
    <row r="287" s="96" customFormat="true" ht="15.75" hidden="false" customHeight="true" outlineLevel="0" collapsed="false">
      <c r="A287" s="200"/>
      <c r="C287" s="181" t="s">
        <v>764</v>
      </c>
      <c r="D287" s="98"/>
      <c r="E287" s="97"/>
      <c r="F287" s="97"/>
      <c r="G287" s="97"/>
      <c r="H287" s="97"/>
      <c r="I287" s="196"/>
      <c r="J287" s="196"/>
    </row>
    <row r="288" s="96" customFormat="true" ht="15.75" hidden="false" customHeight="true" outlineLevel="0" collapsed="false">
      <c r="A288" s="200"/>
      <c r="C288" s="181" t="s">
        <v>475</v>
      </c>
      <c r="D288" s="181"/>
      <c r="E288" s="181"/>
      <c r="F288" s="97"/>
      <c r="G288" s="97"/>
      <c r="I288" s="196"/>
      <c r="J288" s="196"/>
    </row>
    <row r="289" s="202" customFormat="true" ht="15.75" hidden="false" customHeight="true" outlineLevel="0" collapsed="false">
      <c r="A289" s="200"/>
      <c r="B289" s="96"/>
      <c r="C289" s="181" t="s">
        <v>476</v>
      </c>
      <c r="D289" s="181"/>
      <c r="E289" s="181"/>
      <c r="F289" s="97"/>
      <c r="G289" s="97"/>
      <c r="H289" s="96"/>
      <c r="I289" s="97"/>
      <c r="J289" s="97"/>
    </row>
    <row r="290" s="96" customFormat="true" ht="15.75" hidden="false" customHeight="true" outlineLevel="0" collapsed="false">
      <c r="A290" s="200"/>
      <c r="C290" s="185" t="n">
        <f aca="false">$I$141</f>
        <v>544.444444444445</v>
      </c>
      <c r="F290" s="97"/>
      <c r="G290" s="97"/>
      <c r="I290" s="191"/>
      <c r="J290" s="199"/>
    </row>
    <row r="291" s="96" customFormat="true" ht="15.75" hidden="false" customHeight="true" outlineLevel="0" collapsed="false">
      <c r="A291" s="200"/>
      <c r="C291" s="187" t="n">
        <f aca="false">$J$141+$J$142</f>
        <v>18</v>
      </c>
      <c r="D291" s="98"/>
      <c r="E291" s="97"/>
      <c r="F291" s="97"/>
      <c r="G291" s="97"/>
      <c r="H291" s="98"/>
      <c r="I291" s="189"/>
      <c r="J291" s="190"/>
    </row>
    <row r="292" s="96" customFormat="true" ht="15.75" hidden="false" customHeight="true" outlineLevel="0" collapsed="false">
      <c r="A292" s="200"/>
      <c r="C292" s="185" t="n">
        <f aca="false">$I$143</f>
        <v>2408</v>
      </c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C293" s="187" t="n">
        <f aca="false">$J$143+$J$144+$J$145+$J$146</f>
        <v>18</v>
      </c>
      <c r="D293" s="98"/>
      <c r="E293" s="97"/>
      <c r="F293" s="97"/>
      <c r="G293" s="97"/>
      <c r="H293" s="97"/>
      <c r="I293" s="196"/>
      <c r="J293" s="196"/>
    </row>
    <row r="294" s="96" customFormat="true" ht="15.75" hidden="false" customHeight="true" outlineLevel="0" collapsed="false">
      <c r="A294" s="200"/>
      <c r="D294" s="98"/>
      <c r="E294" s="97"/>
      <c r="F294" s="97"/>
      <c r="G294" s="97"/>
      <c r="H294" s="97"/>
      <c r="I294" s="196"/>
      <c r="J294" s="196"/>
    </row>
    <row r="295" s="96" customFormat="true" ht="15.75" hidden="false" customHeight="true" outlineLevel="0" collapsed="false">
      <c r="A295" s="200"/>
      <c r="D295" s="98"/>
      <c r="E295" s="97"/>
      <c r="F295" s="97"/>
      <c r="G295" s="97"/>
      <c r="H295" s="97"/>
      <c r="I295" s="97"/>
      <c r="J295" s="196"/>
    </row>
    <row r="296" s="96" customFormat="true" ht="15.75" hidden="false" customHeight="true" outlineLevel="0" collapsed="false">
      <c r="A296" s="200"/>
      <c r="C296" s="202"/>
      <c r="D296" s="98"/>
      <c r="E296" s="97"/>
      <c r="F296" s="97"/>
      <c r="G296" s="97"/>
      <c r="H296" s="97"/>
      <c r="I296" s="97"/>
      <c r="J296" s="196"/>
    </row>
    <row r="297" s="96" customFormat="true" ht="15.75" hidden="false" customHeight="true" outlineLevel="0" collapsed="false">
      <c r="A297" s="200"/>
      <c r="C297" s="184" t="s">
        <v>477</v>
      </c>
      <c r="D297" s="98"/>
      <c r="E297" s="97"/>
      <c r="F297" s="97"/>
      <c r="G297" s="97"/>
      <c r="H297" s="97"/>
      <c r="I297" s="97"/>
      <c r="J297" s="196"/>
    </row>
    <row r="298" s="96" customFormat="true" ht="15.75" hidden="false" customHeight="true" outlineLevel="0" collapsed="false">
      <c r="A298" s="200"/>
      <c r="C298" s="83" t="s">
        <v>763</v>
      </c>
      <c r="D298" s="98"/>
      <c r="E298" s="97"/>
      <c r="F298" s="97"/>
      <c r="G298" s="191"/>
      <c r="H298" s="191"/>
      <c r="I298" s="97"/>
      <c r="J298" s="196"/>
    </row>
    <row r="299" s="96" customFormat="true" ht="15.75" hidden="false" customHeight="true" outlineLevel="0" collapsed="false">
      <c r="A299" s="200"/>
      <c r="C299" s="181" t="s">
        <v>764</v>
      </c>
      <c r="D299" s="181"/>
      <c r="E299" s="181"/>
      <c r="F299" s="97"/>
      <c r="G299" s="190"/>
      <c r="H299" s="189"/>
      <c r="I299" s="97"/>
      <c r="J299" s="196"/>
    </row>
    <row r="300" s="96" customFormat="true" ht="15.75" hidden="false" customHeight="true" outlineLevel="0" collapsed="false">
      <c r="A300" s="107"/>
      <c r="C300" s="181" t="s">
        <v>478</v>
      </c>
      <c r="D300" s="181"/>
      <c r="E300" s="181"/>
      <c r="F300" s="97"/>
      <c r="G300" s="97"/>
      <c r="H300" s="97"/>
      <c r="I300" s="97"/>
      <c r="J300" s="196"/>
    </row>
    <row r="301" s="96" customFormat="true" ht="15.75" hidden="false" customHeight="true" outlineLevel="0" collapsed="false">
      <c r="A301" s="191"/>
      <c r="B301" s="191"/>
      <c r="C301" s="181" t="s">
        <v>479</v>
      </c>
      <c r="D301" s="203"/>
      <c r="E301" s="204"/>
      <c r="F301" s="191"/>
      <c r="G301" s="97"/>
      <c r="H301" s="97"/>
      <c r="I301" s="97"/>
      <c r="J301" s="196"/>
    </row>
    <row r="302" s="96" customFormat="true" ht="15.75" hidden="false" customHeight="true" outlineLevel="0" collapsed="false">
      <c r="A302" s="190"/>
      <c r="B302" s="190"/>
      <c r="C302" s="185" t="n">
        <f aca="false">$I$147</f>
        <v>434.333333333333</v>
      </c>
      <c r="D302" s="205"/>
      <c r="E302" s="206"/>
      <c r="F302" s="189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7" t="n">
        <f aca="false">$J$147</f>
        <v>18</v>
      </c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C304" s="185" t="n">
        <f aca="false">$I$148</f>
        <v>2258</v>
      </c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C305" s="187" t="n">
        <f aca="false">$J$148</f>
        <v>18</v>
      </c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D306" s="98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4" t="s">
        <v>744</v>
      </c>
      <c r="D307" s="98"/>
      <c r="E307" s="97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181" t="s">
        <v>475</v>
      </c>
      <c r="D308" s="181"/>
      <c r="E308" s="181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249" t="s">
        <v>476</v>
      </c>
      <c r="D309" s="249"/>
      <c r="E309" s="249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5" t="n">
        <f aca="false">$I$149</f>
        <v>2408</v>
      </c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C311" s="187" t="n">
        <f aca="false">$J$149+$J$150</f>
        <v>2</v>
      </c>
      <c r="D311" s="181"/>
      <c r="E311" s="181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LEFT($J$111,13)&amp;"-03"</f>
        <v>FG-240-9P4L5R-03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I316" s="76"/>
      <c r="J316" s="77" t="str">
        <f aca="false">$J$2</f>
        <v>HOMELIFE</v>
      </c>
      <c r="K316" s="83"/>
      <c r="L316" s="83"/>
      <c r="M316" s="79"/>
      <c r="N316" s="79"/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240-9 Panel (4L5R)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195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91"/>
      <c r="D405" s="98"/>
      <c r="E405" s="97"/>
      <c r="F405" s="97"/>
      <c r="G405" s="97"/>
      <c r="H405" s="97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LEFT($J$111,13)&amp;"-04"</f>
        <v>FG-240-9P4L5R-04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B423" s="96"/>
      <c r="C423" s="96"/>
      <c r="D423" s="98"/>
      <c r="E423" s="97"/>
      <c r="F423" s="97"/>
      <c r="G423" s="97"/>
      <c r="H423" s="97"/>
      <c r="I423" s="76"/>
      <c r="J423" s="77" t="str">
        <f aca="false">J2</f>
        <v>HOMELIFE</v>
      </c>
      <c r="K423" s="83"/>
      <c r="L423" s="83"/>
      <c r="M423" s="79"/>
      <c r="N423" s="79"/>
    </row>
    <row r="424" customFormat="false" ht="24.75" hidden="false" customHeight="true" outlineLevel="0" collapsed="false">
      <c r="C424" s="75"/>
      <c r="D424" s="76"/>
      <c r="E424" s="76"/>
      <c r="F424" s="76"/>
      <c r="G424" s="76"/>
      <c r="H424" s="76"/>
      <c r="I424" s="82"/>
      <c r="J424" s="80" t="str">
        <f aca="false">J3</f>
        <v>Fabricators Guide</v>
      </c>
      <c r="K424" s="83"/>
      <c r="L424" s="83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J4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240-9 Panel (4L5R)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191"/>
      <c r="C442" s="212"/>
      <c r="D442" s="98"/>
      <c r="E442" s="97"/>
      <c r="F442" s="97"/>
      <c r="H442" s="191"/>
      <c r="I442" s="191"/>
      <c r="J442" s="199"/>
    </row>
    <row r="443" s="96" customFormat="true" ht="15.75" hidden="false" customHeight="true" outlineLevel="0" collapsed="false">
      <c r="A443" s="190"/>
      <c r="C443" s="191"/>
      <c r="D443" s="192"/>
      <c r="E443" s="191"/>
      <c r="F443" s="191"/>
      <c r="H443" s="191"/>
      <c r="I443" s="191"/>
      <c r="J443" s="199"/>
    </row>
    <row r="444" s="96" customFormat="true" ht="15.75" hidden="false" customHeight="true" outlineLevel="0" collapsed="false">
      <c r="A444" s="97"/>
      <c r="C444" s="98"/>
      <c r="D444" s="194"/>
      <c r="E444" s="190"/>
      <c r="F444" s="189"/>
      <c r="H444" s="191"/>
      <c r="I444" s="196"/>
      <c r="J444" s="196"/>
    </row>
    <row r="445" customFormat="false" ht="15" hidden="false" customHeight="true" outlineLevel="0" collapsed="false">
      <c r="B445" s="211"/>
      <c r="C445" s="98"/>
      <c r="D445" s="98"/>
      <c r="E445" s="97"/>
      <c r="F445" s="98"/>
      <c r="G445" s="97"/>
      <c r="H445" s="97"/>
    </row>
    <row r="450" s="96" customFormat="true" ht="15.75" hidden="false" customHeight="true" outlineLevel="0" collapsed="false">
      <c r="A450" s="97"/>
      <c r="D450" s="73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191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97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196"/>
      <c r="J457" s="196"/>
    </row>
    <row r="458" s="96" customFormat="true" ht="15.7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195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202" customFormat="true" ht="15.75" hidden="false" customHeight="true" outlineLevel="0" collapsed="false">
      <c r="A477" s="97"/>
      <c r="B477" s="96"/>
      <c r="C477" s="96"/>
      <c r="D477" s="98"/>
      <c r="E477" s="97"/>
      <c r="F477" s="97"/>
      <c r="G477" s="97"/>
      <c r="H477" s="97"/>
      <c r="I477" s="97"/>
      <c r="J477" s="97"/>
    </row>
    <row r="478" s="96" customFormat="true" ht="15.75" hidden="false" customHeight="true" outlineLevel="0" collapsed="false">
      <c r="A478" s="191"/>
      <c r="D478" s="98"/>
      <c r="E478" s="97"/>
      <c r="F478" s="97"/>
      <c r="G478" s="97"/>
      <c r="H478" s="97"/>
      <c r="I478" s="191"/>
      <c r="J478" s="199"/>
    </row>
    <row r="479" s="96" customFormat="true" ht="15.75" hidden="false" customHeight="true" outlineLevel="0" collapsed="false">
      <c r="A479" s="190"/>
      <c r="B479" s="191"/>
      <c r="C479" s="191"/>
      <c r="D479" s="192"/>
      <c r="E479" s="191"/>
      <c r="F479" s="191"/>
      <c r="G479" s="191"/>
      <c r="H479" s="191"/>
      <c r="I479" s="189"/>
      <c r="J479" s="190"/>
    </row>
    <row r="480" s="96" customFormat="true" ht="15.75" hidden="false" customHeight="true" outlineLevel="0" collapsed="false">
      <c r="A480" s="200"/>
      <c r="B480" s="190"/>
      <c r="C480" s="191"/>
      <c r="D480" s="194"/>
      <c r="E480" s="190"/>
      <c r="F480" s="189"/>
      <c r="G480" s="190"/>
      <c r="H480" s="189"/>
      <c r="I480" s="196"/>
      <c r="J480" s="196"/>
    </row>
    <row r="481" s="96" customFormat="true" ht="15.75" hidden="false" customHeight="true" outlineLevel="0" collapsed="false">
      <c r="A481" s="200"/>
      <c r="C481" s="182"/>
      <c r="D481" s="98"/>
      <c r="E481" s="97"/>
      <c r="F481" s="97"/>
      <c r="G481" s="97"/>
      <c r="H481" s="182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C487" s="98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182"/>
      <c r="J499" s="97"/>
    </row>
    <row r="500" s="96" customFormat="true" ht="15.75" hidden="false" customHeight="true" outlineLevel="0" collapsed="false">
      <c r="A500" s="200"/>
      <c r="C500" s="188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I501" s="196"/>
      <c r="J501" s="196"/>
    </row>
    <row r="502" s="96" customFormat="true" ht="15.75" hidden="false" customHeight="true" outlineLevel="0" collapsed="false">
      <c r="A502" s="200"/>
      <c r="C502" s="98"/>
      <c r="D502" s="98"/>
      <c r="E502" s="97"/>
      <c r="F502" s="97"/>
      <c r="G502" s="97"/>
      <c r="H502" s="182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I507" s="196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196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196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97"/>
      <c r="J513" s="196"/>
    </row>
    <row r="514" s="96" customFormat="true" ht="15.75" hidden="false" customHeight="true" outlineLevel="0" collapsed="false">
      <c r="A514" s="200"/>
      <c r="D514" s="98"/>
      <c r="E514" s="97"/>
      <c r="F514" s="97"/>
      <c r="G514" s="97"/>
      <c r="H514" s="97"/>
      <c r="I514" s="97"/>
      <c r="J514" s="196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A516" s="191"/>
      <c r="B516" s="191"/>
      <c r="C516" s="191"/>
      <c r="D516" s="192"/>
      <c r="E516" s="191"/>
      <c r="F516" s="191"/>
      <c r="G516" s="191"/>
      <c r="H516" s="191"/>
      <c r="I516" s="191"/>
      <c r="J516" s="199"/>
    </row>
    <row r="517" s="96" customFormat="true" ht="15.75" hidden="false" customHeight="true" outlineLevel="0" collapsed="false">
      <c r="B517" s="191"/>
      <c r="C517" s="191"/>
      <c r="D517" s="192"/>
      <c r="E517" s="191"/>
      <c r="F517" s="191"/>
      <c r="G517" s="191"/>
      <c r="H517" s="191"/>
    </row>
    <row r="518" s="96" customFormat="true" ht="15.75" hidden="false" customHeight="true" outlineLevel="0" collapsed="false"/>
    <row r="519" s="96" customFormat="true" ht="24.75" hidden="false" customHeight="true" outlineLevel="0" collapsed="false">
      <c r="A519" s="88" t="s">
        <v>482</v>
      </c>
      <c r="B519" s="88"/>
      <c r="C519" s="88"/>
      <c r="D519" s="88"/>
      <c r="E519" s="88"/>
      <c r="F519" s="88"/>
      <c r="G519" s="88"/>
      <c r="H519" s="88"/>
      <c r="I519" s="88"/>
      <c r="J519" s="88"/>
    </row>
    <row r="520" s="96" customFormat="true" ht="34.5" hidden="false" customHeight="true" outlineLevel="0" collapsed="false">
      <c r="A520" s="322" t="s">
        <v>319</v>
      </c>
      <c r="B520" s="323" t="s">
        <v>168</v>
      </c>
      <c r="C520" s="115" t="s">
        <v>168</v>
      </c>
      <c r="D520" s="116" t="s">
        <v>483</v>
      </c>
      <c r="E520" s="115" t="s">
        <v>321</v>
      </c>
      <c r="F520" s="239" t="s">
        <v>484</v>
      </c>
      <c r="G520" s="240"/>
      <c r="H520" s="116" t="s">
        <v>484</v>
      </c>
      <c r="I520" s="116" t="s">
        <v>485</v>
      </c>
      <c r="J520" s="117" t="s">
        <v>323</v>
      </c>
      <c r="N520" s="118" t="s">
        <v>168</v>
      </c>
      <c r="O520" s="118" t="s">
        <v>168</v>
      </c>
    </row>
    <row r="521" s="96" customFormat="true" ht="15.75" hidden="false" customHeight="true" outlineLevel="0" collapsed="false">
      <c r="A521" s="324" t="n">
        <f aca="false">IF(C521="","",1)</f>
        <v>1</v>
      </c>
      <c r="B521" s="121" t="str">
        <f aca="false">IF($D$127=5,N521,IF($D$127=6,N522,IF($D$127=8,N523,IF($D$127=10,N524,IF($D$127=12,N525,IF($D$127=14,N526,IF($D$127=18,N527,IF($D$127=20,N528,IF($D$127=22,N529,)))))))))</f>
        <v>กระจก 8 mm (สูง) (กว้าง)</v>
      </c>
      <c r="C521" s="121" t="str">
        <f aca="false">IF($D$127=5,O521,IF($D$127=6,O522,IF($D$127=8,O523,IF($D$127=10,O524,IF($D$127=12,O525,IF($D$127=14,O526,IF($D$127=18,O527,IF($D$127=20,O528,IF($D$127=22,O529,)))))))))</f>
        <v>GLASS thk.8 mm (H) (W)</v>
      </c>
      <c r="D521" s="123" t="n">
        <f aca="false">$J$123-215</f>
        <v>2285</v>
      </c>
      <c r="E521" s="120" t="s">
        <v>486</v>
      </c>
      <c r="F521" s="224" t="s">
        <v>487</v>
      </c>
      <c r="G521" s="224"/>
      <c r="H521" s="120" t="s">
        <v>765</v>
      </c>
      <c r="I521" s="225" t="n">
        <f aca="false">(($J$126-185-(113.25*8))/9)-13</f>
        <v>421.333333333333</v>
      </c>
      <c r="J521" s="232" t="n">
        <f aca="false">$J$120*9</f>
        <v>9</v>
      </c>
      <c r="N521" s="62" t="s">
        <v>489</v>
      </c>
      <c r="O521" s="62" t="s">
        <v>490</v>
      </c>
    </row>
    <row r="522" s="96" customFormat="true" ht="15.75" hidden="false" customHeight="true" outlineLevel="0" collapsed="false">
      <c r="A522" s="227"/>
      <c r="B522" s="131"/>
      <c r="C522" s="131"/>
      <c r="D522" s="132" t="s">
        <v>208</v>
      </c>
      <c r="E522" s="130"/>
      <c r="F522" s="233"/>
      <c r="G522" s="234"/>
      <c r="H522" s="131"/>
      <c r="I522" s="133"/>
      <c r="J522" s="235"/>
      <c r="N522" s="62" t="s">
        <v>491</v>
      </c>
      <c r="O522" s="62" t="s">
        <v>492</v>
      </c>
    </row>
    <row r="523" s="96" customFormat="true" ht="15.75" hidden="false" customHeight="true" outlineLevel="0" collapsed="false">
      <c r="A523" s="227"/>
      <c r="B523" s="131"/>
      <c r="C523" s="131"/>
      <c r="D523" s="132"/>
      <c r="E523" s="130"/>
      <c r="F523" s="233"/>
      <c r="G523" s="234"/>
      <c r="H523" s="130"/>
      <c r="I523" s="133"/>
      <c r="J523" s="235"/>
      <c r="N523" s="62" t="s">
        <v>493</v>
      </c>
      <c r="O523" s="62" t="s">
        <v>494</v>
      </c>
    </row>
    <row r="524" s="96" customFormat="true" ht="15.75" hidden="false" customHeight="true" outlineLevel="0" collapsed="false">
      <c r="A524" s="130" t="str">
        <f aca="false">IF(B524="","",+A522+1)</f>
        <v/>
      </c>
      <c r="B524" s="131"/>
      <c r="C524" s="131"/>
      <c r="D524" s="132"/>
      <c r="E524" s="130"/>
      <c r="F524" s="233"/>
      <c r="G524" s="270"/>
      <c r="H524" s="130"/>
      <c r="I524" s="142"/>
      <c r="J524" s="133"/>
      <c r="N524" s="62" t="s">
        <v>495</v>
      </c>
      <c r="O524" s="62" t="s">
        <v>496</v>
      </c>
    </row>
    <row r="525" s="96" customFormat="true" ht="15.75" hidden="false" customHeight="true" outlineLevel="0" collapsed="false">
      <c r="A525" s="136" t="str">
        <f aca="false">IF(B525="","",+A524+1)</f>
        <v/>
      </c>
      <c r="B525" s="135"/>
      <c r="C525" s="135"/>
      <c r="D525" s="139"/>
      <c r="E525" s="136"/>
      <c r="F525" s="236"/>
      <c r="G525" s="237"/>
      <c r="H525" s="136"/>
      <c r="I525" s="180"/>
      <c r="J525" s="140"/>
      <c r="N525" s="62" t="s">
        <v>497</v>
      </c>
      <c r="O525" s="62" t="s">
        <v>498</v>
      </c>
    </row>
    <row r="526" s="96" customFormat="true" ht="15.75" hidden="false" customHeight="true" outlineLevel="0" collapsed="false">
      <c r="A526" s="97"/>
      <c r="D526" s="98"/>
      <c r="E526" s="97"/>
      <c r="F526" s="97"/>
      <c r="G526" s="97"/>
      <c r="H526" s="97"/>
      <c r="I526" s="97"/>
      <c r="J526" s="196"/>
      <c r="N526" s="62" t="s">
        <v>499</v>
      </c>
      <c r="O526" s="62" t="s">
        <v>500</v>
      </c>
    </row>
    <row r="527" customFormat="false" ht="14.25" hidden="false" customHeight="false" outlineLevel="0" collapsed="false">
      <c r="J527" s="92" t="str">
        <f aca="false">LEFT($J$111,13)&amp;"-05"</f>
        <v>FG-240-9P4L5R-05</v>
      </c>
      <c r="N527" s="62" t="s">
        <v>501</v>
      </c>
      <c r="O527" s="62" t="s">
        <v>502</v>
      </c>
      <c r="P527" s="96"/>
      <c r="Q527" s="96"/>
      <c r="R527" s="96"/>
      <c r="S527" s="96"/>
      <c r="T527" s="96"/>
      <c r="U527" s="96"/>
      <c r="V527" s="96"/>
    </row>
    <row r="528" customFormat="false" ht="14.25" hidden="false" customHeight="false" outlineLevel="0" collapsed="false">
      <c r="N528" s="62" t="s">
        <v>503</v>
      </c>
      <c r="O528" s="62" t="s">
        <v>504</v>
      </c>
    </row>
    <row r="529" customFormat="false" ht="14.25" hidden="false" customHeight="false" outlineLevel="0" collapsed="false">
      <c r="N529" s="62" t="s">
        <v>505</v>
      </c>
      <c r="O529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2:J152"/>
    <mergeCell ref="I153:J153"/>
    <mergeCell ref="I154:J154"/>
    <mergeCell ref="I155:J155"/>
    <mergeCell ref="I156:J156"/>
    <mergeCell ref="D157:D158"/>
    <mergeCell ref="H157:H158"/>
    <mergeCell ref="I157:J158"/>
    <mergeCell ref="D159:D160"/>
    <mergeCell ref="H159:H160"/>
    <mergeCell ref="I159:J159"/>
    <mergeCell ref="I160:J163"/>
    <mergeCell ref="D161:D166"/>
    <mergeCell ref="H161:H166"/>
    <mergeCell ref="I164:J165"/>
    <mergeCell ref="I166:J166"/>
    <mergeCell ref="D167:D168"/>
    <mergeCell ref="H167:H168"/>
    <mergeCell ref="D169:D170"/>
    <mergeCell ref="H169:H170"/>
    <mergeCell ref="A171:J171"/>
    <mergeCell ref="A213:J213"/>
    <mergeCell ref="C309:E309"/>
    <mergeCell ref="A320:J320"/>
    <mergeCell ref="F330:G330"/>
    <mergeCell ref="F331:G331"/>
    <mergeCell ref="F334:G334"/>
    <mergeCell ref="A427:J427"/>
    <mergeCell ref="A519:J519"/>
    <mergeCell ref="F521:G521"/>
  </mergeCells>
  <dataValidations count="3">
    <dataValidation allowBlank="true" errorStyle="stop" operator="between" showDropDown="false" showErrorMessage="true" showInputMessage="true" sqref="D123:G123" type="list">
      <formula1>$P$118:$P$127</formula1>
      <formula2>0</formula2>
    </dataValidation>
    <dataValidation allowBlank="true" errorStyle="stop" operator="between" showDropDown="false" showErrorMessage="true" showInputMessage="true" sqref="D127:G127" type="list">
      <formula1>$N$119:$N$127</formula1>
      <formula2>0</formula2>
    </dataValidation>
    <dataValidation allowBlank="true" errorStyle="stop" operator="between" showDropDown="false" showErrorMessage="true" showInputMessage="true" sqref="D129:G129" type="list">
      <formula1>$O$119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Y527"/>
  <sheetViews>
    <sheetView showFormulas="false" showGridLines="false" showRowColHeaders="true" showZeros="true" rightToLeft="false" tabSelected="false" showOutlineSymbols="true" defaultGridColor="true" view="pageBreakPreview" topLeftCell="A130" colorId="64" zoomScale="75" zoomScaleNormal="75" zoomScalePageLayoutView="75" workbookViewId="0">
      <selection pane="topLeft" activeCell="I135" activeCellId="0" sqref="I135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58.66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19.67"/>
    <col collapsed="false" customWidth="true" hidden="false" outlineLevel="0" max="7" min="7" style="0" width="7.56"/>
    <col collapsed="false" customWidth="true" hidden="false" outlineLevel="0" max="8" min="8" style="0" width="26.67"/>
    <col collapsed="false" customWidth="true" hidden="false" outlineLevel="0" max="9" min="9" style="0" width="15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19.88"/>
    <col collapsed="false" customWidth="true" hidden="true" outlineLevel="1" max="22" min="22" style="0" width="12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773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>
      <c r="G55" s="91"/>
    </row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774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8" hidden="false" customHeight="true" outlineLevel="0" collapsed="false">
      <c r="A118" s="97"/>
      <c r="C118" s="81"/>
      <c r="D118" s="98"/>
      <c r="E118" s="83"/>
      <c r="J118" s="99"/>
      <c r="K118" s="83"/>
      <c r="N118" s="258" t="s">
        <v>288</v>
      </c>
      <c r="O118" s="97" t="s">
        <v>289</v>
      </c>
      <c r="P118" s="102" t="s">
        <v>290</v>
      </c>
    </row>
    <row r="119" s="96" customFormat="true" ht="15" hidden="false" customHeight="true" outlineLevel="0" collapsed="false">
      <c r="A119" s="97"/>
      <c r="C119" s="100" t="s">
        <v>286</v>
      </c>
      <c r="D119" s="101"/>
      <c r="E119" s="101"/>
      <c r="F119" s="101"/>
      <c r="G119" s="101"/>
      <c r="I119" s="83"/>
      <c r="J119" s="97"/>
      <c r="N119" s="259" t="n">
        <v>5</v>
      </c>
      <c r="O119" s="97" t="s">
        <v>509</v>
      </c>
      <c r="P119" s="106" t="s">
        <v>294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6</v>
      </c>
      <c r="O120" s="97" t="s">
        <v>296</v>
      </c>
      <c r="P120" s="106" t="s">
        <v>297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8</v>
      </c>
      <c r="P121" s="106" t="s">
        <v>299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10</v>
      </c>
      <c r="P122" s="106" t="s">
        <v>303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2500</v>
      </c>
      <c r="N123" s="259" t="n">
        <v>12</v>
      </c>
      <c r="P123" s="106" t="s">
        <v>305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14</v>
      </c>
      <c r="P124" s="106" t="s">
        <v>308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18</v>
      </c>
      <c r="P125" s="106" t="s">
        <v>311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5000</v>
      </c>
      <c r="K126" s="110"/>
      <c r="L126" s="110"/>
      <c r="N126" s="259" t="n">
        <v>20</v>
      </c>
      <c r="P126" s="106" t="s">
        <v>313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8</v>
      </c>
      <c r="E127" s="111"/>
      <c r="F127" s="111"/>
      <c r="G127" s="111"/>
      <c r="H127" s="104"/>
      <c r="I127" s="104"/>
      <c r="J127" s="105"/>
      <c r="N127" s="259" t="n">
        <v>22</v>
      </c>
      <c r="P127" s="106" t="s">
        <v>315</v>
      </c>
    </row>
    <row r="128" s="96" customFormat="true" ht="18.75" hidden="false" customHeight="true" outlineLevel="0" collapsed="false">
      <c r="C128" s="108" t="s">
        <v>314</v>
      </c>
      <c r="I128" s="97"/>
      <c r="J128" s="97"/>
    </row>
    <row r="129" s="96" customFormat="true" ht="15" hidden="false" customHeight="true" outlineLevel="0" collapsed="false">
      <c r="A129" s="89" t="str">
        <f aca="false">A18</f>
        <v>240-9 Panel (5L4R)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4940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18</v>
      </c>
      <c r="U133" s="127" t="s">
        <v>760</v>
      </c>
      <c r="V133" s="128" t="n">
        <f aca="false">($J$126-185-(113.25*8))/9</f>
        <v>434.333333333333</v>
      </c>
      <c r="W133" s="129" t="n">
        <f aca="false">$J$120*T133</f>
        <v>18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4914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18</v>
      </c>
      <c r="U134" s="130" t="s">
        <v>760</v>
      </c>
      <c r="V134" s="142" t="n">
        <f aca="false">($J$126-185-(113.25*8))/9</f>
        <v>434.333333333333</v>
      </c>
      <c r="W134" s="134" t="n">
        <f aca="false">$J$120*T134</f>
        <v>18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4940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18</v>
      </c>
      <c r="U135" s="136" t="s">
        <v>760</v>
      </c>
      <c r="V135" s="180" t="n">
        <f aca="false">($J$126-185-(113.25*8))/9</f>
        <v>434.333333333333</v>
      </c>
      <c r="W135" s="137" t="n">
        <f aca="false">$J$120*T135</f>
        <v>18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4940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18</v>
      </c>
      <c r="U136" s="127" t="s">
        <v>360</v>
      </c>
      <c r="V136" s="138" t="n">
        <f aca="false">$J$123-242</f>
        <v>2258</v>
      </c>
      <c r="W136" s="129" t="n">
        <f aca="false">$J$120*T136</f>
        <v>18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2500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18</v>
      </c>
      <c r="U137" s="130" t="s">
        <v>360</v>
      </c>
      <c r="V137" s="133" t="n">
        <f aca="false">$J$123-242</f>
        <v>2258</v>
      </c>
      <c r="W137" s="134" t="n">
        <f aca="false">$J$120*T137</f>
        <v>18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2500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18</v>
      </c>
      <c r="U138" s="136" t="s">
        <v>360</v>
      </c>
      <c r="V138" s="140" t="n">
        <f aca="false">$J$123-242</f>
        <v>2258</v>
      </c>
      <c r="W138" s="137" t="n">
        <f aca="false">$J$120*T138</f>
        <v>18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2404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2404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9</v>
      </c>
      <c r="H141" s="321" t="s">
        <v>761</v>
      </c>
      <c r="I141" s="141" t="n">
        <f aca="false">($J$126-60-(9+1)*4)/9</f>
        <v>544.444444444445</v>
      </c>
      <c r="J141" s="134" t="n">
        <f aca="false">$J$120*G141</f>
        <v>9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9</v>
      </c>
      <c r="H142" s="130" t="s">
        <v>761</v>
      </c>
      <c r="I142" s="141" t="n">
        <f aca="false">($J$126-60-(9+1)*4)/9</f>
        <v>544.444444444445</v>
      </c>
      <c r="J142" s="134" t="n">
        <f aca="false">$J$120*G142</f>
        <v>9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13</v>
      </c>
      <c r="H143" s="130" t="s">
        <v>389</v>
      </c>
      <c r="I143" s="133" t="n">
        <f aca="false">$J$123-92</f>
        <v>2408</v>
      </c>
      <c r="J143" s="134" t="n">
        <f aca="false">$J$120*G143</f>
        <v>13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2</v>
      </c>
      <c r="H144" s="130" t="s">
        <v>389</v>
      </c>
      <c r="I144" s="133" t="n">
        <f aca="false">$J$123-92</f>
        <v>2408</v>
      </c>
      <c r="J144" s="134" t="n">
        <f aca="false">$J$120*G144</f>
        <v>2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390</v>
      </c>
      <c r="C145" s="131" t="s">
        <v>391</v>
      </c>
      <c r="D145" s="132" t="s">
        <v>74</v>
      </c>
      <c r="E145" s="130" t="n">
        <v>1.106</v>
      </c>
      <c r="F145" s="132" t="s">
        <v>563</v>
      </c>
      <c r="G145" s="130" t="n">
        <v>2</v>
      </c>
      <c r="H145" s="130" t="s">
        <v>389</v>
      </c>
      <c r="I145" s="133" t="n">
        <f aca="false">$J$123-92</f>
        <v>2408</v>
      </c>
      <c r="J145" s="134" t="n">
        <f aca="false">$J$120*G145</f>
        <v>2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">
        <v>531</v>
      </c>
      <c r="C146" s="131" t="s">
        <v>532</v>
      </c>
      <c r="D146" s="132" t="s">
        <v>74</v>
      </c>
      <c r="E146" s="130" t="n">
        <v>1.106</v>
      </c>
      <c r="F146" s="132" t="s">
        <v>533</v>
      </c>
      <c r="G146" s="130" t="n">
        <v>1</v>
      </c>
      <c r="H146" s="130" t="s">
        <v>389</v>
      </c>
      <c r="I146" s="133" t="n">
        <f aca="false">$J$123-92</f>
        <v>2408</v>
      </c>
      <c r="J146" s="134" t="n">
        <f aca="false">$J$120*G146</f>
        <v>1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IF($D$127=5,O133,IF($D$127=6,O133,IF($D$127=8,O134,IF($D$127=10,O134,IF($D$127=12,O134,IF($D$127=14,O135,IF($D$127=18,O135,IF($D$127=20,O135,IF($D$127=22,O135,)))))))))</f>
        <v>8-12mm คิ้วตบกระจกแนวนอน</v>
      </c>
      <c r="C147" s="131" t="str">
        <f aca="false">IF($D$127=5,P133,IF($D$127=6,P133,IF($D$127=8,P134,IF($D$127=10,P134,IF($D$127=12,P134,IF($D$127=14,P135,IF($D$127=18,P135,IF($D$127=20,P135,IF($D$127=22,P135,)))))))))</f>
        <v>8-12mm GLAZING BEAD HORIZONTAL</v>
      </c>
      <c r="D147" s="131" t="str">
        <f aca="false">IF($D$127=5,Q133,IF($D$127=6,Q133,IF($D$127=8,Q134,IF($D$127=10,Q134,IF($D$127=12,Q134,IF($D$127=14,Q135,IF($D$127=18,Q135,IF($D$127=20,Q135,IF($D$127=22,Q135,)))))))))</f>
        <v>B24016</v>
      </c>
      <c r="E147" s="131" t="n">
        <f aca="false">IF($D$127=5,R133,IF($D$127=6,R133,IF($D$127=8,R134,IF($D$127=10,R134,IF($D$127=12,R134,IF($D$127=14,R135,IF($D$127=18,R135,IF($D$127=20,R135,IF($D$127=22,R135,)))))))))</f>
        <v>0.215</v>
      </c>
      <c r="F147" s="131" t="str">
        <f aca="false">IF($D$127=5,S133,IF($D$127=6,S133,IF($D$127=8,S134,IF($D$127=10,S134,IF($D$127=12,S134,IF($D$127=14,S135,IF($D$127=18,S135,IF($D$127=20,S135,IF($D$127=22,S135,)))))))))</f>
        <v>B24016-001</v>
      </c>
      <c r="G147" s="130" t="n">
        <f aca="false">IF($D$127=5,T133,IF($D$127=6,T133,IF($D$127=8,T134,IF($D$127=10,T134,IF($D$127=12,T134,IF($D$127=14,T135,IF($D$127=18,T135,IF($D$127=20,T135,IF($D$127=22,T135,)))))))))</f>
        <v>18</v>
      </c>
      <c r="H147" s="130" t="str">
        <f aca="false">IF($D$127=5,U133,IF($D$127=6,U133,IF($D$127=8,U134,IF($D$127=10,U134,IF($D$127=12,U134,IF($D$127=14,U135,IF($D$127=18,U135,IF($D$127=20,U135,IF($D$127=22,U135,)))))))))</f>
        <v>(W-185-(113.25 × 8))/9</v>
      </c>
      <c r="I147" s="141" t="n">
        <f aca="false">IF($D$127=5,V133,IF($D$127=6,V133,IF($D$127=8,V134,IF($D$127=10,V134,IF($D$127=12,V134,IF($D$127=14,V135,IF($D$127=18,V135,IF($D$127=20,V135,IF($D$127=22,V135,)))))))))</f>
        <v>434.333333333333</v>
      </c>
      <c r="J147" s="134" t="n">
        <f aca="false">$J$120*G147</f>
        <v>18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tr">
        <f aca="false">IF($D$127=5,O136,IF($D$127=6,O136,IF($D$127=8,O137,IF($D$127=10,O137,IF($D$127=12,O137,IF($D$127=14,O138,IF($D$127=18,O138,IF($D$127=20,O138,IF($D$127=22,O138,)))))))))</f>
        <v>8-12mm คิ้วตบกระจกแนวตั้ง</v>
      </c>
      <c r="C148" s="131" t="str">
        <f aca="false">IF($D$127=5,P136,IF($D$127=6,P136,IF($D$127=8,P137,IF($D$127=10,P137,IF($D$127=12,P137,IF($D$127=14,P138,IF($D$127=18,P138,IF($D$127=20,P138,IF($D$127=22,P138,)))))))))</f>
        <v>8-12mm GLAZING BEAD VERTICAL</v>
      </c>
      <c r="D148" s="131" t="str">
        <f aca="false">IF($D$127=5,Q136,IF($D$127=6,Q136,IF($D$127=8,Q137,IF($D$127=10,Q137,IF($D$127=12,Q137,IF($D$127=14,Q138,IF($D$127=18,Q138,IF($D$127=20,Q138,IF($D$127=22,Q138,)))))))))</f>
        <v>B24016</v>
      </c>
      <c r="E148" s="131" t="n">
        <f aca="false">IF($D$127=5,R136,IF($D$127=6,R136,IF($D$127=8,R137,IF($D$127=10,R137,IF($D$127=12,R137,IF($D$127=14,R138,IF($D$127=18,R138,IF($D$127=20,R138,IF($D$127=22,R138,)))))))))</f>
        <v>0.215</v>
      </c>
      <c r="F148" s="131" t="str">
        <f aca="false">IF($D$127=5,S136,IF($D$127=6,S136,IF($D$127=8,S137,IF($D$127=10,S137,IF($D$127=12,S137,IF($D$127=14,S138,IF($D$127=18,S138,IF($D$127=20,S138,IF($D$127=22,S138,)))))))))</f>
        <v>B24016-002</v>
      </c>
      <c r="G148" s="130" t="n">
        <f aca="false">IF($D$127=5,T136,IF($D$127=6,T136,IF($D$127=8,T137,IF($D$127=10,T137,IF($D$127=12,T137,IF($D$127=14,T138,IF($D$127=18,T138,IF($D$127=20,T138,IF($D$127=22,T138,)))))))))</f>
        <v>18</v>
      </c>
      <c r="H148" s="130" t="str">
        <f aca="false">IF($D$127=5,U136,IF($D$127=6,U136,IF($D$127=8,U137,IF($D$127=10,U137,IF($D$127=12,U137,IF($D$127=14,U138,IF($D$127=18,U138,IF($D$127=20,U138,IF($D$127=22,U138,)))))))))</f>
        <v>H-242</v>
      </c>
      <c r="I148" s="133" t="n">
        <f aca="false">IF($D$127=5,V136,IF($D$127=6,V136,IF($D$127=8,V137,IF($D$127=10,V137,IF($D$127=12,V137,IF($D$127=14,V138,IF($D$127=18,V138,IF($D$127=20,V138,IF($D$127=22,V138,)))))))))</f>
        <v>2258</v>
      </c>
      <c r="J148" s="134" t="n">
        <f aca="false">$J$120*G148</f>
        <v>18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535</v>
      </c>
      <c r="D149" s="132" t="s">
        <v>536</v>
      </c>
      <c r="E149" s="130"/>
      <c r="F149" s="132" t="s">
        <v>537</v>
      </c>
      <c r="G149" s="130" t="n">
        <v>1</v>
      </c>
      <c r="H149" s="130" t="s">
        <v>389</v>
      </c>
      <c r="I149" s="133" t="n">
        <f aca="false">$J$123-92</f>
        <v>2408</v>
      </c>
      <c r="J149" s="134" t="n">
        <f aca="false">$J$120*G149</f>
        <v>1</v>
      </c>
    </row>
    <row r="150" s="96" customFormat="true" ht="18" hidden="false" customHeight="true" outlineLevel="0" collapsed="false">
      <c r="A150" s="130" t="n">
        <f aca="false">IF(B150="","",+A149+1)</f>
        <v>18</v>
      </c>
      <c r="B150" s="131" t="s">
        <v>534</v>
      </c>
      <c r="C150" s="131" t="s">
        <v>535</v>
      </c>
      <c r="D150" s="132" t="s">
        <v>536</v>
      </c>
      <c r="E150" s="130"/>
      <c r="F150" s="132" t="s">
        <v>539</v>
      </c>
      <c r="G150" s="130" t="n">
        <v>1</v>
      </c>
      <c r="H150" s="130" t="s">
        <v>389</v>
      </c>
      <c r="I150" s="133" t="n">
        <f aca="false">$J$123-92</f>
        <v>2408</v>
      </c>
      <c r="J150" s="134" t="n">
        <f aca="false">$J$120*G150</f>
        <v>1</v>
      </c>
    </row>
    <row r="151" s="96" customFormat="true" ht="18" hidden="false" customHeight="true" outlineLevel="0" collapsed="false">
      <c r="A151" s="130" t="str">
        <f aca="false">IF(B151="","",+A140+1)</f>
        <v/>
      </c>
      <c r="B151" s="143"/>
      <c r="C151" s="143"/>
      <c r="D151" s="144"/>
      <c r="E151" s="145"/>
      <c r="F151" s="144"/>
      <c r="G151" s="145"/>
      <c r="H151" s="145"/>
      <c r="I151" s="146"/>
      <c r="J151" s="147" t="n">
        <f aca="false">$J$120*G151</f>
        <v>0</v>
      </c>
    </row>
    <row r="152" s="96" customFormat="true" ht="27" hidden="false" customHeight="true" outlineLevel="1" collapsed="false">
      <c r="A152" s="148" t="s">
        <v>319</v>
      </c>
      <c r="B152" s="148" t="s">
        <v>320</v>
      </c>
      <c r="C152" s="148" t="s">
        <v>168</v>
      </c>
      <c r="D152" s="148" t="s">
        <v>166</v>
      </c>
      <c r="E152" s="148" t="s">
        <v>321</v>
      </c>
      <c r="F152" s="149" t="s">
        <v>393</v>
      </c>
      <c r="G152" s="148" t="s">
        <v>394</v>
      </c>
      <c r="H152" s="150" t="s">
        <v>395</v>
      </c>
      <c r="I152" s="151"/>
      <c r="J152" s="151"/>
    </row>
    <row r="153" s="96" customFormat="true" ht="15" hidden="false" customHeight="true" outlineLevel="1" collapsed="false">
      <c r="A153" s="152" t="n">
        <f aca="false">IF(B153="","",1)</f>
        <v>1</v>
      </c>
      <c r="B153" s="153" t="str">
        <f aca="false">B133</f>
        <v>เฟรมบน</v>
      </c>
      <c r="C153" s="153" t="str">
        <f aca="false">C133</f>
        <v>HEAD</v>
      </c>
      <c r="D153" s="154" t="str">
        <f aca="false">VLOOKUP(C153,$C$133:$H$151,2,0)</f>
        <v>B24001</v>
      </c>
      <c r="E153" s="155" t="n">
        <f aca="false">VLOOKUP(C153,$C$133:$H$151,3,0)</f>
        <v>1.603</v>
      </c>
      <c r="F153" s="263" t="n">
        <f aca="false">VLOOKUP(C153,$C$133:$J$151,7,0)</f>
        <v>4940</v>
      </c>
      <c r="G153" s="155" t="n">
        <f aca="false">VLOOKUP(C153,$C$133:$J$151,8,0)</f>
        <v>1</v>
      </c>
      <c r="H153" s="264" t="n">
        <f aca="false">ROUNDUP((F153*G153)/6400,0)</f>
        <v>1</v>
      </c>
      <c r="I153" s="265"/>
      <c r="J153" s="265"/>
    </row>
    <row r="154" s="96" customFormat="true" ht="15" hidden="false" customHeight="true" outlineLevel="1" collapsed="false">
      <c r="A154" s="158" t="n">
        <f aca="false">IF(B154="","",+A153+1)</f>
        <v>2</v>
      </c>
      <c r="B154" s="153" t="str">
        <f aca="false">B134</f>
        <v>บังใบบน</v>
      </c>
      <c r="C154" s="153" t="str">
        <f aca="false">C134</f>
        <v>DOOR STOP HEAD</v>
      </c>
      <c r="D154" s="154" t="str">
        <f aca="false">VLOOKUP(C154,$C$133:$H$151,2,0)</f>
        <v>B24002</v>
      </c>
      <c r="E154" s="155" t="n">
        <f aca="false">VLOOKUP(C154,$C$133:$H$151,3,0)</f>
        <v>0.278</v>
      </c>
      <c r="F154" s="263" t="n">
        <f aca="false">VLOOKUP(C154,$C$133:$I$151,7,0)</f>
        <v>4914</v>
      </c>
      <c r="G154" s="155" t="n">
        <f aca="false">VLOOKUP(C154,$C$133:$J$151,8,0)</f>
        <v>1</v>
      </c>
      <c r="H154" s="266" t="n">
        <f aca="false">ROUNDUP((F154*G154)/6400,0)</f>
        <v>1</v>
      </c>
      <c r="I154" s="265"/>
      <c r="J154" s="265"/>
    </row>
    <row r="155" s="96" customFormat="true" ht="15" hidden="false" customHeight="true" outlineLevel="1" collapsed="false">
      <c r="A155" s="158" t="n">
        <f aca="false">IF(B155="","",+A154+1)</f>
        <v>3</v>
      </c>
      <c r="B155" s="153" t="str">
        <f aca="false">B135</f>
        <v>เฟรมล่าง </v>
      </c>
      <c r="C155" s="153" t="str">
        <f aca="false">C135</f>
        <v>SILL</v>
      </c>
      <c r="D155" s="154" t="str">
        <f aca="false">VLOOKUP(C155,$C$133:$H$151,2,0)</f>
        <v>B24003</v>
      </c>
      <c r="E155" s="155" t="n">
        <f aca="false">VLOOKUP(C155,$C$133:$H$151,3,0)</f>
        <v>1.603</v>
      </c>
      <c r="F155" s="263" t="n">
        <f aca="false">VLOOKUP(C155,$C$133:$I$151,7,0)</f>
        <v>4940</v>
      </c>
      <c r="G155" s="155" t="n">
        <f aca="false">VLOOKUP(C155,$C$133:$J$151,8,0)</f>
        <v>1</v>
      </c>
      <c r="H155" s="266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4</v>
      </c>
      <c r="B156" s="153" t="str">
        <f aca="false">B136</f>
        <v>ตัวตับธรณี</v>
      </c>
      <c r="C156" s="153" t="str">
        <f aca="false">C136</f>
        <v>DOOR STOP SILL</v>
      </c>
      <c r="D156" s="154" t="str">
        <f aca="false">VLOOKUP(C156,$C$133:$H$151,2,0)</f>
        <v>B24004</v>
      </c>
      <c r="E156" s="155" t="n">
        <f aca="false">VLOOKUP(C156,$C$133:$H$151,3,0)</f>
        <v>0.516</v>
      </c>
      <c r="F156" s="263" t="n">
        <f aca="false">VLOOKUP(C156,$C$133:$I$151,7,0)</f>
        <v>4940</v>
      </c>
      <c r="G156" s="155" t="n">
        <f aca="false">VLOOKUP(C156,$C$133:$J$151,8,0)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5</v>
      </c>
      <c r="B157" s="153" t="str">
        <f aca="false">B137</f>
        <v>เฟรมข้าง (ซ้าย)</v>
      </c>
      <c r="C157" s="153" t="str">
        <f aca="false">C137</f>
        <v>JAMB (L)</v>
      </c>
      <c r="D157" s="159" t="str">
        <f aca="false">VLOOKUP(C157,$C$133:$H$151,2,0)</f>
        <v>B24005</v>
      </c>
      <c r="E157" s="155" t="n">
        <f aca="false">VLOOKUP(C157,$C$133:$H$151,3,0)</f>
        <v>0.893</v>
      </c>
      <c r="F157" s="263" t="n">
        <f aca="false">VLOOKUP(C157,$C$133:$I$151,7,0)</f>
        <v>2500</v>
      </c>
      <c r="G157" s="155" t="n">
        <f aca="false">VLOOKUP(C157,$C$133:$J$151,8,0)</f>
        <v>1</v>
      </c>
      <c r="H157" s="160" t="n">
        <f aca="false">ROUNDUP(((F157*G157)+(F158*G158))/6400,0)</f>
        <v>1</v>
      </c>
      <c r="I157" s="161"/>
      <c r="J157" s="161"/>
    </row>
    <row r="158" s="96" customFormat="true" ht="15" hidden="false" customHeight="true" outlineLevel="1" collapsed="false">
      <c r="A158" s="158" t="n">
        <f aca="false">IF(B158="","",+A157+1)</f>
        <v>6</v>
      </c>
      <c r="B158" s="153" t="str">
        <f aca="false">B138</f>
        <v>เฟรมข้าง (ขวา)</v>
      </c>
      <c r="C158" s="153" t="str">
        <f aca="false">C138</f>
        <v>JAMB (R)</v>
      </c>
      <c r="D158" s="159"/>
      <c r="E158" s="155" t="n">
        <f aca="false">VLOOKUP(C158,$C$133:$H$151,3,0)</f>
        <v>0.893</v>
      </c>
      <c r="F158" s="263" t="n">
        <f aca="false">VLOOKUP(C158,$C$133:$I$151,7,0)</f>
        <v>2500</v>
      </c>
      <c r="G158" s="155" t="n">
        <f aca="false">VLOOKUP(C158,$C$133:$J$151,8,0)</f>
        <v>1</v>
      </c>
      <c r="H158" s="160"/>
      <c r="I158" s="161"/>
      <c r="J158" s="161"/>
    </row>
    <row r="159" s="96" customFormat="true" ht="15" hidden="false" customHeight="true" outlineLevel="1" collapsed="false">
      <c r="A159" s="158" t="n">
        <f aca="false">IF(B159="","",+A158+1)</f>
        <v>7</v>
      </c>
      <c r="B159" s="153" t="str">
        <f aca="false">B139</f>
        <v>บังใบข้าง (ซ้าย)</v>
      </c>
      <c r="C159" s="153" t="str">
        <f aca="false">C139</f>
        <v>DOOR STOP JAMB (L)</v>
      </c>
      <c r="D159" s="159" t="str">
        <f aca="false">VLOOKUP(C159,$C$133:$H$151,2,0)</f>
        <v>B24006</v>
      </c>
      <c r="E159" s="155" t="n">
        <f aca="false">VLOOKUP(C159,$C$133:$H$151,3,0)</f>
        <v>0.235</v>
      </c>
      <c r="F159" s="263" t="n">
        <f aca="false">VLOOKUP(C159,$C$133:$I$151,7,0)</f>
        <v>2404</v>
      </c>
      <c r="G159" s="155" t="n">
        <f aca="false">VLOOKUP(C159,$C$133:$J$151,8,0)</f>
        <v>1</v>
      </c>
      <c r="H159" s="160" t="n">
        <f aca="false">ROUNDUP(((F159*G159)+(F160*G160))/6400,0)</f>
        <v>1</v>
      </c>
      <c r="I159" s="265"/>
      <c r="J159" s="265"/>
    </row>
    <row r="160" s="96" customFormat="true" ht="15" hidden="false" customHeight="true" outlineLevel="1" collapsed="false">
      <c r="A160" s="158" t="n">
        <f aca="false">IF(B160="","",+A159+1)</f>
        <v>8</v>
      </c>
      <c r="B160" s="153" t="str">
        <f aca="false">B140</f>
        <v>บังใบข้าง (ขวา)</v>
      </c>
      <c r="C160" s="153" t="str">
        <f aca="false">C140</f>
        <v>DOOR STOP JAMB (R)</v>
      </c>
      <c r="D160" s="159"/>
      <c r="E160" s="155" t="n">
        <f aca="false">VLOOKUP(C160,$C$133:$H$151,3,0)</f>
        <v>0.235</v>
      </c>
      <c r="F160" s="263" t="n">
        <f aca="false">VLOOKUP(C160,$C$133:$I$151,7,0)</f>
        <v>2404</v>
      </c>
      <c r="G160" s="155" t="n">
        <f aca="false">VLOOKUP(C160,$C$133:$J$151,8,0)</f>
        <v>1</v>
      </c>
      <c r="H160" s="160"/>
      <c r="I160" s="161"/>
      <c r="J160" s="161"/>
    </row>
    <row r="161" s="96" customFormat="true" ht="13.5" hidden="false" customHeight="true" outlineLevel="1" collapsed="false">
      <c r="A161" s="158" t="n">
        <f aca="false">IF(B161="","",+A160+1)</f>
        <v>9</v>
      </c>
      <c r="B161" s="153" t="str">
        <f aca="false">B141</f>
        <v>ขวางบน</v>
      </c>
      <c r="C161" s="153" t="str">
        <f aca="false">C141</f>
        <v>SASH (Hor) (T)</v>
      </c>
      <c r="D161" s="159" t="str">
        <f aca="false">VLOOKUP(C161,$C$133:$H$151,2,0)</f>
        <v>B24007</v>
      </c>
      <c r="E161" s="155" t="n">
        <f aca="false">VLOOKUP(C161,$C$133:$H$151,3,0)</f>
        <v>1.106</v>
      </c>
      <c r="F161" s="267" t="n">
        <f aca="false">VLOOKUP(C161,$C$133:$I$151,7,0)</f>
        <v>544.444444444445</v>
      </c>
      <c r="G161" s="155" t="n">
        <f aca="false">VLOOKUP(C161,$C$133:$J$151,8,0)</f>
        <v>9</v>
      </c>
      <c r="H161" s="160" t="n">
        <f aca="false">ROUNDUP(((F161*G161)+(F162*G162)+(F163*G163)+(F164*G164)+(F165*G165)+(F166*G166))/6400,0)</f>
        <v>9</v>
      </c>
      <c r="I161" s="161"/>
      <c r="J161" s="161"/>
    </row>
    <row r="162" s="96" customFormat="true" ht="13.5" hidden="false" customHeight="true" outlineLevel="1" collapsed="false">
      <c r="A162" s="158" t="n">
        <f aca="false">IF(B162="","",+A161+1)</f>
        <v>10</v>
      </c>
      <c r="B162" s="153" t="str">
        <f aca="false">B142</f>
        <v>ขวางล่าง</v>
      </c>
      <c r="C162" s="153" t="str">
        <f aca="false">C142</f>
        <v>SASH (Hor) (B)</v>
      </c>
      <c r="D162" s="159"/>
      <c r="E162" s="155" t="n">
        <f aca="false">VLOOKUP(C162,$C$133:$H$151,3,0)</f>
        <v>1.106</v>
      </c>
      <c r="F162" s="267" t="n">
        <f aca="false">VLOOKUP(C162,$C$133:$I$151,7,0)</f>
        <v>544.444444444445</v>
      </c>
      <c r="G162" s="155" t="n">
        <f aca="false">VLOOKUP(C162,$C$133:$J$151,8,0)</f>
        <v>9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11</v>
      </c>
      <c r="B163" s="153" t="str">
        <f aca="false">B143</f>
        <v>เสา</v>
      </c>
      <c r="C163" s="153" t="str">
        <f aca="false">C143</f>
        <v>SASH (Ver) </v>
      </c>
      <c r="D163" s="159"/>
      <c r="E163" s="155" t="n">
        <f aca="false">VLOOKUP(C163,$C$133:$H$151,3,0)</f>
        <v>1.106</v>
      </c>
      <c r="F163" s="263" t="n">
        <f aca="false">VLOOKUP(C163,$C$133:$I$151,7,0)</f>
        <v>2408</v>
      </c>
      <c r="G163" s="155" t="n">
        <f aca="false">VLOOKUP(C163,$C$133:$J$151,8,0)</f>
        <v>13</v>
      </c>
      <c r="H163" s="160"/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12</v>
      </c>
      <c r="B164" s="153" t="str">
        <f aca="false">B144</f>
        <v>เสากุญแจ</v>
      </c>
      <c r="C164" s="153" t="str">
        <f aca="false">C144</f>
        <v>SASH (Ver) LOCK </v>
      </c>
      <c r="D164" s="159"/>
      <c r="E164" s="155" t="n">
        <f aca="false">VLOOKUP(C164,$C$133:$H$151,3,0)</f>
        <v>1.106</v>
      </c>
      <c r="F164" s="263" t="n">
        <f aca="false">VLOOKUP(C164,$C$133:$I$151,7,0)</f>
        <v>2408</v>
      </c>
      <c r="G164" s="155" t="n">
        <f aca="false">VLOOKUP(C164,$C$133:$J$151,8,0)</f>
        <v>2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13</v>
      </c>
      <c r="B165" s="153" t="str">
        <f aca="false">B145</f>
        <v>เสากุญแจ</v>
      </c>
      <c r="C165" s="153" t="str">
        <f aca="false">C145</f>
        <v>SASH (Ver) LOCK </v>
      </c>
      <c r="D165" s="159"/>
      <c r="E165" s="155" t="n">
        <f aca="false">VLOOKUP(C165,$C$133:$H$151,3,0)</f>
        <v>1.106</v>
      </c>
      <c r="F165" s="263" t="n">
        <f aca="false">VLOOKUP(C165,$C$133:$I$151,7,0)</f>
        <v>2408</v>
      </c>
      <c r="G165" s="155" t="n">
        <f aca="false">VLOOKUP(C165,$C$133:$J$151,8,0)</f>
        <v>2</v>
      </c>
      <c r="H165" s="160"/>
      <c r="I165" s="161"/>
      <c r="J165" s="161"/>
    </row>
    <row r="166" s="96" customFormat="true" ht="15" hidden="false" customHeight="true" outlineLevel="1" collapsed="false">
      <c r="A166" s="158" t="n">
        <f aca="false">IF(B166="","",+A165+1)</f>
        <v>14</v>
      </c>
      <c r="B166" s="153" t="str">
        <f aca="false">B146</f>
        <v>เสากุญแจมือจับ</v>
      </c>
      <c r="C166" s="153" t="str">
        <f aca="false">C146</f>
        <v>SASH (Ver) LOCK HANDLE</v>
      </c>
      <c r="D166" s="159"/>
      <c r="E166" s="155" t="n">
        <f aca="false">VLOOKUP(C166,$C$133:$H$151,3,0)</f>
        <v>1.106</v>
      </c>
      <c r="F166" s="263" t="n">
        <f aca="false">VLOOKUP(C166,$C$133:$I$151,7,0)</f>
        <v>2408</v>
      </c>
      <c r="G166" s="155" t="n">
        <f aca="false">VLOOKUP(C166,$C$133:$J$151,8,0)</f>
        <v>1</v>
      </c>
      <c r="H166" s="160"/>
      <c r="I166" s="265"/>
      <c r="J166" s="265"/>
    </row>
    <row r="167" s="96" customFormat="true" ht="15" hidden="false" customHeight="true" outlineLevel="1" collapsed="false">
      <c r="A167" s="158" t="n">
        <f aca="false">IF(B167="","",+A166+1)</f>
        <v>15</v>
      </c>
      <c r="B167" s="153" t="str">
        <f aca="false">B147</f>
        <v>8-12mm คิ้วตบกระจกแนวนอน</v>
      </c>
      <c r="C167" s="153" t="str">
        <f aca="false">C147</f>
        <v>8-12mm GLAZING BEAD HORIZONTAL</v>
      </c>
      <c r="D167" s="159" t="str">
        <f aca="false">VLOOKUP(C167,$C$133:$H$151,2,0)</f>
        <v>B24016</v>
      </c>
      <c r="E167" s="155" t="n">
        <f aca="false">VLOOKUP(C167,$C$133:$H$151,3,0)</f>
        <v>0.215</v>
      </c>
      <c r="F167" s="267" t="n">
        <f aca="false">VLOOKUP(C167,$C$133:$I$151,7,0)</f>
        <v>434.333333333333</v>
      </c>
      <c r="G167" s="155" t="n">
        <f aca="false">VLOOKUP(C167,$C$133:$J$151,8,0)</f>
        <v>18</v>
      </c>
      <c r="H167" s="160" t="n">
        <f aca="false">ROUNDUP(((F167*G167)+(F168*G168))/6400,0)</f>
        <v>8</v>
      </c>
      <c r="I167" s="196"/>
      <c r="J167" s="196"/>
    </row>
    <row r="168" s="96" customFormat="true" ht="15" hidden="false" customHeight="true" outlineLevel="1" collapsed="false">
      <c r="A168" s="158" t="n">
        <f aca="false">IF(B168="","",+A167+1)</f>
        <v>16</v>
      </c>
      <c r="B168" s="153" t="str">
        <f aca="false">B148</f>
        <v>8-12mm คิ้วตบกระจกแนวตั้ง</v>
      </c>
      <c r="C168" s="153" t="str">
        <f aca="false">C148</f>
        <v>8-12mm GLAZING BEAD VERTICAL</v>
      </c>
      <c r="D168" s="159"/>
      <c r="E168" s="155" t="n">
        <f aca="false">VLOOKUP(C168,$C$133:$H$151,3,0)</f>
        <v>0.215</v>
      </c>
      <c r="F168" s="263" t="n">
        <f aca="false">VLOOKUP(C168,$C$133:$I$151,7,0)</f>
        <v>2258</v>
      </c>
      <c r="G168" s="155" t="n">
        <f aca="false">VLOOKUP(C168,$C$133:$J$151,8,0)</f>
        <v>18</v>
      </c>
      <c r="H168" s="160"/>
      <c r="I168" s="196"/>
      <c r="J168" s="196"/>
    </row>
    <row r="169" s="96" customFormat="true" ht="13.5" hidden="false" customHeight="true" outlineLevel="1" collapsed="false">
      <c r="A169" s="158" t="n">
        <f aca="false">IF(B169="","",+A168+1)</f>
        <v>17</v>
      </c>
      <c r="B169" s="153" t="str">
        <f aca="false">B149</f>
        <v>บังใบ</v>
      </c>
      <c r="C169" s="153" t="str">
        <f aca="false">C149</f>
        <v>SASH STOP</v>
      </c>
      <c r="D169" s="163" t="str">
        <f aca="false">VLOOKUP(C169,$C$133:$H$151,2,0)</f>
        <v>B24009</v>
      </c>
      <c r="E169" s="155" t="n">
        <f aca="false">VLOOKUP(C169,$C$133:$H$151,3,0)</f>
        <v>0</v>
      </c>
      <c r="F169" s="263" t="n">
        <f aca="false">VLOOKUP(C169,$C$133:$I$151,7,0)</f>
        <v>2408</v>
      </c>
      <c r="G169" s="155" t="n">
        <f aca="false">VLOOKUP(C169,$C$133:$J$151,8,0)</f>
        <v>1</v>
      </c>
      <c r="H169" s="160" t="n">
        <f aca="false">ROUNDUP(((F169*G169)+(F170*G170))/6400,0)</f>
        <v>1</v>
      </c>
      <c r="I169" s="196"/>
      <c r="J169" s="196"/>
    </row>
    <row r="170" s="96" customFormat="true" ht="14.25" hidden="false" customHeight="false" outlineLevel="1" collapsed="false">
      <c r="A170" s="158" t="n">
        <f aca="false">IF(B170="","",+A169+1)</f>
        <v>18</v>
      </c>
      <c r="B170" s="153" t="str">
        <f aca="false">B150</f>
        <v>บังใบ</v>
      </c>
      <c r="C170" s="153" t="str">
        <f aca="false">C150</f>
        <v>SASH STOP</v>
      </c>
      <c r="D170" s="163"/>
      <c r="E170" s="155" t="n">
        <f aca="false">VLOOKUP(C170,$C$133:$H$151,3,0)</f>
        <v>0</v>
      </c>
      <c r="F170" s="263" t="n">
        <f aca="false">VLOOKUP(C170,$C$133:$I$151,7,0)</f>
        <v>2408</v>
      </c>
      <c r="G170" s="155" t="n">
        <f aca="false">VLOOKUP(C170,$C$133:$J$151,8,0)</f>
        <v>1</v>
      </c>
      <c r="H170" s="160"/>
      <c r="I170" s="196"/>
      <c r="J170" s="196"/>
    </row>
    <row r="171" s="96" customFormat="true" ht="24.75" hidden="false" customHeight="true" outlineLevel="0" collapsed="false">
      <c r="A171" s="113" t="s">
        <v>396</v>
      </c>
      <c r="B171" s="113"/>
      <c r="C171" s="113"/>
      <c r="D171" s="113"/>
      <c r="E171" s="113"/>
      <c r="F171" s="113"/>
      <c r="G171" s="113"/>
      <c r="H171" s="113"/>
      <c r="I171" s="113"/>
      <c r="J171" s="113"/>
    </row>
    <row r="172" s="96" customFormat="true" ht="34.5" hidden="false" customHeight="true" outlineLevel="0" collapsed="false">
      <c r="A172" s="114" t="s">
        <v>319</v>
      </c>
      <c r="B172" s="115" t="s">
        <v>320</v>
      </c>
      <c r="C172" s="115" t="s">
        <v>168</v>
      </c>
      <c r="D172" s="115" t="s">
        <v>397</v>
      </c>
      <c r="E172" s="115" t="s">
        <v>321</v>
      </c>
      <c r="F172" s="116" t="s">
        <v>398</v>
      </c>
      <c r="G172" s="115" t="s">
        <v>399</v>
      </c>
      <c r="H172" s="116" t="s">
        <v>400</v>
      </c>
      <c r="I172" s="116" t="s">
        <v>401</v>
      </c>
      <c r="J172" s="117" t="s">
        <v>402</v>
      </c>
      <c r="N172" s="107" t="s">
        <v>288</v>
      </c>
      <c r="O172" s="165" t="s">
        <v>320</v>
      </c>
      <c r="P172" s="165" t="s">
        <v>168</v>
      </c>
      <c r="Q172" s="165" t="s">
        <v>397</v>
      </c>
      <c r="R172" s="165" t="s">
        <v>321</v>
      </c>
      <c r="S172" s="165" t="s">
        <v>398</v>
      </c>
      <c r="T172" s="165" t="s">
        <v>399</v>
      </c>
      <c r="U172" s="165" t="s">
        <v>400</v>
      </c>
      <c r="V172" s="165" t="s">
        <v>401</v>
      </c>
      <c r="W172" s="165" t="s">
        <v>402</v>
      </c>
    </row>
    <row r="173" s="96" customFormat="true" ht="18" hidden="false" customHeight="true" outlineLevel="0" collapsed="false">
      <c r="A173" s="166" t="n">
        <f aca="false">IF(B173="","",1)</f>
        <v>1</v>
      </c>
      <c r="B173" s="131" t="s">
        <v>410</v>
      </c>
      <c r="C173" s="131" t="s">
        <v>411</v>
      </c>
      <c r="D173" s="132" t="s">
        <v>267</v>
      </c>
      <c r="E173" s="130"/>
      <c r="F173" s="130" t="s">
        <v>267</v>
      </c>
      <c r="G173" s="130" t="s">
        <v>405</v>
      </c>
      <c r="H173" s="130" t="n">
        <v>18</v>
      </c>
      <c r="I173" s="133"/>
      <c r="J173" s="134" t="n">
        <f aca="false">$J$120*H173</f>
        <v>18</v>
      </c>
      <c r="N173" s="107" t="s">
        <v>406</v>
      </c>
      <c r="O173" s="55" t="s">
        <v>407</v>
      </c>
      <c r="P173" s="62" t="s">
        <v>408</v>
      </c>
      <c r="Q173" s="55" t="s">
        <v>227</v>
      </c>
      <c r="R173" s="158"/>
      <c r="S173" s="158" t="s">
        <v>227</v>
      </c>
      <c r="T173" s="158" t="s">
        <v>409</v>
      </c>
      <c r="U173" s="168" t="n">
        <f aca="false">((($I$141*$G$141)+($I$142*$G$142)+($I$143*$G$143)+($I$144*$G$144)+($I$145*$G$145)+($I$146*$G$146))/1000)*$J$120</f>
        <v>53.144</v>
      </c>
      <c r="V173" s="168" t="n">
        <v>100</v>
      </c>
      <c r="W173" s="169" t="n">
        <f aca="false">ROUNDUP((U173)/100,0)</f>
        <v>1</v>
      </c>
    </row>
    <row r="174" s="96" customFormat="true" ht="18" hidden="false" customHeight="true" outlineLevel="0" collapsed="false">
      <c r="A174" s="170" t="n">
        <f aca="false">IF(B174="","",+A173+1)</f>
        <v>2</v>
      </c>
      <c r="B174" s="131" t="s">
        <v>415</v>
      </c>
      <c r="C174" s="131" t="s">
        <v>416</v>
      </c>
      <c r="D174" s="132" t="s">
        <v>222</v>
      </c>
      <c r="E174" s="130"/>
      <c r="F174" s="130" t="s">
        <v>222</v>
      </c>
      <c r="G174" s="130" t="s">
        <v>405</v>
      </c>
      <c r="H174" s="130" t="n">
        <v>2</v>
      </c>
      <c r="I174" s="133"/>
      <c r="J174" s="134" t="n">
        <f aca="false">$J$120*H174</f>
        <v>2</v>
      </c>
      <c r="N174" s="107" t="s">
        <v>412</v>
      </c>
      <c r="O174" s="55" t="s">
        <v>413</v>
      </c>
      <c r="P174" s="62" t="s">
        <v>414</v>
      </c>
      <c r="Q174" s="55" t="s">
        <v>234</v>
      </c>
      <c r="R174" s="158"/>
      <c r="S174" s="158" t="s">
        <v>234</v>
      </c>
      <c r="T174" s="158" t="s">
        <v>409</v>
      </c>
      <c r="U174" s="168" t="n">
        <f aca="false">((($I$141*$G$141)+($I$142*$G$142)+($I$143*$G$143)+($I$144*$G$144)+($I$145*$G$145)+($I$146*$G$146))/1000)*$J$120</f>
        <v>53.144</v>
      </c>
      <c r="V174" s="168" t="n">
        <v>100</v>
      </c>
      <c r="W174" s="169" t="n">
        <f aca="false">ROUNDUP((U174)/100,0)</f>
        <v>1</v>
      </c>
    </row>
    <row r="175" s="96" customFormat="true" ht="18" hidden="false" customHeight="true" outlineLevel="0" collapsed="false">
      <c r="A175" s="170" t="n">
        <f aca="false">IF(B175="","",+A174+1)</f>
        <v>3</v>
      </c>
      <c r="B175" s="131" t="s">
        <v>420</v>
      </c>
      <c r="C175" s="131" t="s">
        <v>421</v>
      </c>
      <c r="D175" s="132" t="s">
        <v>225</v>
      </c>
      <c r="E175" s="130"/>
      <c r="F175" s="130" t="s">
        <v>225</v>
      </c>
      <c r="G175" s="130" t="s">
        <v>405</v>
      </c>
      <c r="H175" s="130" t="n">
        <v>2</v>
      </c>
      <c r="I175" s="133"/>
      <c r="J175" s="134" t="n">
        <f aca="false">$J$120*H175</f>
        <v>2</v>
      </c>
      <c r="N175" s="107" t="s">
        <v>417</v>
      </c>
      <c r="O175" s="62" t="s">
        <v>418</v>
      </c>
      <c r="P175" s="62" t="s">
        <v>419</v>
      </c>
      <c r="Q175" s="55" t="s">
        <v>236</v>
      </c>
      <c r="R175" s="158"/>
      <c r="S175" s="158" t="s">
        <v>236</v>
      </c>
      <c r="T175" s="158" t="s">
        <v>409</v>
      </c>
      <c r="U175" s="168" t="n">
        <f aca="false">((($I$141*$G$141)+($I$142*$G$142)+($I$143*$G$143)+($I$144*$G$144)+($I$145*$G$145)+($I$146*$G$146))/1000)*$J$120</f>
        <v>53.144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4</v>
      </c>
      <c r="B176" s="131" t="s">
        <v>425</v>
      </c>
      <c r="C176" s="131" t="s">
        <v>426</v>
      </c>
      <c r="D176" s="132" t="n">
        <v>9</v>
      </c>
      <c r="E176" s="130"/>
      <c r="F176" s="130" t="n">
        <v>9</v>
      </c>
      <c r="G176" s="130" t="s">
        <v>405</v>
      </c>
      <c r="H176" s="130" t="n">
        <v>8</v>
      </c>
      <c r="I176" s="133"/>
      <c r="J176" s="134" t="n">
        <f aca="false">$J$120*H176</f>
        <v>8</v>
      </c>
      <c r="N176" s="107" t="s">
        <v>422</v>
      </c>
      <c r="O176" s="62" t="s">
        <v>423</v>
      </c>
      <c r="P176" s="62" t="s">
        <v>424</v>
      </c>
      <c r="Q176" s="55" t="s">
        <v>238</v>
      </c>
      <c r="R176" s="158"/>
      <c r="S176" s="158" t="s">
        <v>238</v>
      </c>
      <c r="T176" s="158" t="s">
        <v>409</v>
      </c>
      <c r="U176" s="168" t="n">
        <f aca="false">((($I$141*$G$141)+($I$142*$G$142)+($I$143*$G$143)+($I$144*$G$144)+($I$145*$G$145)+($I$146*$G$146))/1000)*$J$120</f>
        <v>53.144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5</v>
      </c>
      <c r="B177" s="131" t="s">
        <v>430</v>
      </c>
      <c r="C177" s="131" t="s">
        <v>431</v>
      </c>
      <c r="D177" s="132" t="n">
        <v>9</v>
      </c>
      <c r="E177" s="130"/>
      <c r="F177" s="130" t="n">
        <v>9</v>
      </c>
      <c r="G177" s="130" t="s">
        <v>405</v>
      </c>
      <c r="H177" s="130" t="n">
        <v>110</v>
      </c>
      <c r="I177" s="133"/>
      <c r="J177" s="134" t="n">
        <f aca="false">$J$120*H177</f>
        <v>110</v>
      </c>
      <c r="N177" s="107" t="s">
        <v>427</v>
      </c>
      <c r="O177" s="62" t="s">
        <v>428</v>
      </c>
      <c r="P177" s="62" t="s">
        <v>429</v>
      </c>
      <c r="Q177" s="55" t="s">
        <v>240</v>
      </c>
      <c r="R177" s="158"/>
      <c r="S177" s="158" t="s">
        <v>240</v>
      </c>
      <c r="T177" s="158" t="s">
        <v>409</v>
      </c>
      <c r="U177" s="168" t="n">
        <f aca="false">((($I$141*$G$141)+($I$142*$G$142)+($I$143*$G$143)+($I$144*$G$144)+($I$145*$G$145)+($I$146*$G$146))/1000)*$J$120</f>
        <v>53.144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6</v>
      </c>
      <c r="B178" s="131" t="s">
        <v>603</v>
      </c>
      <c r="C178" s="131" t="s">
        <v>438</v>
      </c>
      <c r="D178" s="132" t="s">
        <v>4</v>
      </c>
      <c r="E178" s="130"/>
      <c r="F178" s="130" t="s">
        <v>4</v>
      </c>
      <c r="G178" s="130" t="s">
        <v>434</v>
      </c>
      <c r="H178" s="130" t="n">
        <v>1</v>
      </c>
      <c r="I178" s="133"/>
      <c r="J178" s="134" t="n">
        <f aca="false">$J$120*H178</f>
        <v>1</v>
      </c>
    </row>
    <row r="179" s="96" customFormat="true" ht="18" hidden="false" customHeight="true" outlineLevel="0" collapsed="false">
      <c r="A179" s="170" t="n">
        <f aca="false">IF(B179="","",+A178+1)</f>
        <v>7</v>
      </c>
      <c r="B179" s="131" t="s">
        <v>556</v>
      </c>
      <c r="C179" s="131" t="s">
        <v>557</v>
      </c>
      <c r="D179" s="132" t="s">
        <v>5</v>
      </c>
      <c r="E179" s="130"/>
      <c r="F179" s="130" t="s">
        <v>5</v>
      </c>
      <c r="G179" s="130" t="s">
        <v>434</v>
      </c>
      <c r="H179" s="130" t="n">
        <v>3</v>
      </c>
      <c r="I179" s="133"/>
      <c r="J179" s="134" t="n">
        <f aca="false">$J$120*H179</f>
        <v>3</v>
      </c>
    </row>
    <row r="180" s="96" customFormat="true" ht="18" hidden="false" customHeight="true" outlineLevel="0" collapsed="false">
      <c r="A180" s="170" t="n">
        <f aca="false">IF(B180="","",+A179+1)</f>
        <v>8</v>
      </c>
      <c r="B180" s="131" t="s">
        <v>432</v>
      </c>
      <c r="C180" s="131" t="s">
        <v>433</v>
      </c>
      <c r="D180" s="132" t="s">
        <v>6</v>
      </c>
      <c r="E180" s="130"/>
      <c r="F180" s="130" t="s">
        <v>6</v>
      </c>
      <c r="G180" s="130" t="s">
        <v>434</v>
      </c>
      <c r="H180" s="130" t="n">
        <v>1</v>
      </c>
      <c r="I180" s="133"/>
      <c r="J180" s="134" t="n">
        <f aca="false">$J$120*H180</f>
        <v>1</v>
      </c>
    </row>
    <row r="181" s="96" customFormat="true" ht="18" hidden="false" customHeight="true" outlineLevel="0" collapsed="false">
      <c r="A181" s="170" t="n">
        <f aca="false">IF(B181="","",+A180+1)</f>
        <v>9</v>
      </c>
      <c r="B181" s="131" t="s">
        <v>512</v>
      </c>
      <c r="C181" s="131" t="s">
        <v>513</v>
      </c>
      <c r="D181" s="132" t="s">
        <v>7</v>
      </c>
      <c r="E181" s="130"/>
      <c r="F181" s="130" t="s">
        <v>7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10</v>
      </c>
      <c r="B182" s="131" t="s">
        <v>435</v>
      </c>
      <c r="C182" s="131" t="s">
        <v>762</v>
      </c>
      <c r="D182" s="132" t="s">
        <v>8</v>
      </c>
      <c r="E182" s="130"/>
      <c r="F182" s="130" t="s">
        <v>8</v>
      </c>
      <c r="G182" s="130" t="s">
        <v>434</v>
      </c>
      <c r="H182" s="130" t="n">
        <v>1</v>
      </c>
      <c r="I182" s="133"/>
      <c r="J182" s="134" t="n">
        <f aca="false">$J$120*H182</f>
        <v>1</v>
      </c>
      <c r="Q182" s="172"/>
      <c r="R182" s="172"/>
      <c r="S182" s="172"/>
      <c r="T182" s="97"/>
      <c r="U182" s="97"/>
      <c r="V182" s="97"/>
    </row>
    <row r="183" s="96" customFormat="true" ht="18" hidden="false" customHeight="true" outlineLevel="0" collapsed="false">
      <c r="A183" s="170" t="n">
        <f aca="false">IF(B183="","",+A182+1)</f>
        <v>11</v>
      </c>
      <c r="B183" s="131" t="s">
        <v>554</v>
      </c>
      <c r="C183" s="131" t="s">
        <v>555</v>
      </c>
      <c r="D183" s="132" t="s">
        <v>11</v>
      </c>
      <c r="E183" s="130"/>
      <c r="F183" s="130" t="s">
        <v>11</v>
      </c>
      <c r="G183" s="130" t="s">
        <v>434</v>
      </c>
      <c r="H183" s="130" t="n">
        <v>3</v>
      </c>
      <c r="I183" s="142"/>
      <c r="J183" s="134" t="n">
        <f aca="false">$J$120*H183</f>
        <v>3</v>
      </c>
      <c r="N183" s="107" t="s">
        <v>289</v>
      </c>
      <c r="O183" s="165" t="s">
        <v>320</v>
      </c>
      <c r="P183" s="165" t="s">
        <v>168</v>
      </c>
      <c r="Q183" s="165" t="s">
        <v>397</v>
      </c>
      <c r="R183" s="165" t="s">
        <v>321</v>
      </c>
      <c r="S183" s="165" t="s">
        <v>398</v>
      </c>
      <c r="T183" s="165" t="s">
        <v>399</v>
      </c>
      <c r="U183" s="165" t="s">
        <v>400</v>
      </c>
      <c r="V183" s="165" t="s">
        <v>401</v>
      </c>
      <c r="W183" s="165" t="s">
        <v>402</v>
      </c>
    </row>
    <row r="184" s="96" customFormat="true" ht="18" hidden="false" customHeight="true" outlineLevel="0" collapsed="false">
      <c r="A184" s="170" t="n">
        <f aca="false">IF(B184="","",+A183+1)</f>
        <v>12</v>
      </c>
      <c r="B184" s="131" t="s">
        <v>439</v>
      </c>
      <c r="C184" s="131" t="s">
        <v>440</v>
      </c>
      <c r="D184" s="132" t="s">
        <v>12</v>
      </c>
      <c r="E184" s="130"/>
      <c r="F184" s="130" t="s">
        <v>12</v>
      </c>
      <c r="G184" s="130" t="s">
        <v>434</v>
      </c>
      <c r="H184" s="130" t="n">
        <v>4</v>
      </c>
      <c r="I184" s="142"/>
      <c r="J184" s="134" t="n">
        <f aca="false">$J$120*H184</f>
        <v>4</v>
      </c>
      <c r="N184" s="107" t="s">
        <v>445</v>
      </c>
      <c r="O184" s="62" t="s">
        <v>446</v>
      </c>
      <c r="P184" s="62" t="s">
        <v>447</v>
      </c>
      <c r="Q184" s="55" t="s">
        <v>230</v>
      </c>
      <c r="R184" s="158"/>
      <c r="S184" s="158" t="s">
        <v>230</v>
      </c>
      <c r="T184" s="158" t="s">
        <v>409</v>
      </c>
      <c r="U184" s="168" t="n">
        <f aca="false">((($I$134*$G$134)+($I$136*$G$136)+($I$139*$G$139))/1000)*$J$120</f>
        <v>12.258</v>
      </c>
      <c r="V184" s="168" t="n">
        <v>300</v>
      </c>
      <c r="W184" s="169" t="n">
        <f aca="false">ROUNDUP((U184)/V184,0)</f>
        <v>1</v>
      </c>
    </row>
    <row r="185" s="96" customFormat="true" ht="18" hidden="false" customHeight="true" outlineLevel="0" collapsed="false">
      <c r="A185" s="170" t="n">
        <f aca="false">IF(B185="","",+A184+1)</f>
        <v>13</v>
      </c>
      <c r="B185" s="131" t="s">
        <v>540</v>
      </c>
      <c r="C185" s="131" t="s">
        <v>541</v>
      </c>
      <c r="D185" s="132" t="s">
        <v>542</v>
      </c>
      <c r="E185" s="130"/>
      <c r="F185" s="130" t="s">
        <v>542</v>
      </c>
      <c r="G185" s="130" t="s">
        <v>434</v>
      </c>
      <c r="H185" s="130" t="n">
        <v>1</v>
      </c>
      <c r="I185" s="133"/>
      <c r="J185" s="134" t="n">
        <f aca="false">$J$120*H185</f>
        <v>1</v>
      </c>
      <c r="N185" s="107" t="s">
        <v>448</v>
      </c>
      <c r="O185" s="62" t="s">
        <v>449</v>
      </c>
      <c r="P185" s="62" t="s">
        <v>450</v>
      </c>
      <c r="Q185" s="55" t="s">
        <v>451</v>
      </c>
      <c r="R185" s="158"/>
      <c r="S185" s="158" t="s">
        <v>451</v>
      </c>
      <c r="T185" s="158" t="s">
        <v>409</v>
      </c>
      <c r="U185" s="168" t="n">
        <f aca="false">((($I$134*$G$134)+($I$136*$G$136)+($I$139*$G$139))/1000)*$J$120</f>
        <v>12.258</v>
      </c>
      <c r="V185" s="168" t="n">
        <v>100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14</v>
      </c>
      <c r="B186" s="131" t="s">
        <v>441</v>
      </c>
      <c r="C186" s="131" t="s">
        <v>442</v>
      </c>
      <c r="D186" s="132" t="s">
        <v>274</v>
      </c>
      <c r="E186" s="130"/>
      <c r="F186" s="130" t="s">
        <v>274</v>
      </c>
      <c r="G186" s="130" t="s">
        <v>405</v>
      </c>
      <c r="H186" s="130" t="n">
        <v>8</v>
      </c>
      <c r="I186" s="133"/>
      <c r="J186" s="134" t="n">
        <f aca="false">$J$120*H186</f>
        <v>8</v>
      </c>
      <c r="N186" s="107" t="s">
        <v>445</v>
      </c>
      <c r="O186" s="62" t="s">
        <v>452</v>
      </c>
      <c r="P186" s="62" t="s">
        <v>453</v>
      </c>
      <c r="Q186" s="55" t="s">
        <v>232</v>
      </c>
      <c r="R186" s="158"/>
      <c r="S186" s="158" t="s">
        <v>232</v>
      </c>
      <c r="T186" s="158" t="s">
        <v>409</v>
      </c>
      <c r="U186" s="168" t="n">
        <f aca="false">((($I$141*$G$141*2)+($I$143*$G$143*2)+($I$144*$G$144*2)+($I$145*$G$145))/1000)*$J$120</f>
        <v>86.856</v>
      </c>
      <c r="V186" s="168" t="n">
        <v>350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15</v>
      </c>
      <c r="B187" s="131" t="s">
        <v>443</v>
      </c>
      <c r="C187" s="131" t="s">
        <v>444</v>
      </c>
      <c r="D187" s="132" t="s">
        <v>272</v>
      </c>
      <c r="E187" s="130"/>
      <c r="F187" s="130" t="s">
        <v>272</v>
      </c>
      <c r="G187" s="130" t="s">
        <v>405</v>
      </c>
      <c r="H187" s="130" t="n">
        <v>1</v>
      </c>
      <c r="I187" s="133"/>
      <c r="J187" s="134" t="n">
        <f aca="false">$J$120*H187</f>
        <v>1</v>
      </c>
      <c r="N187" s="107" t="s">
        <v>448</v>
      </c>
      <c r="O187" s="62" t="s">
        <v>454</v>
      </c>
      <c r="P187" s="62" t="s">
        <v>455</v>
      </c>
      <c r="Q187" s="55" t="s">
        <v>456</v>
      </c>
      <c r="R187" s="158"/>
      <c r="S187" s="158" t="s">
        <v>456</v>
      </c>
      <c r="T187" s="158" t="s">
        <v>409</v>
      </c>
      <c r="U187" s="168" t="n">
        <f aca="false">((($I$141*$G$141*2)+($I$143*$G$143*2)+($I$144*$G$144*2)+($I$145*$G$145))/1000)*$J$120</f>
        <v>86.856</v>
      </c>
      <c r="V187" s="168" t="n">
        <v>100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16</v>
      </c>
      <c r="B188" s="131" t="s">
        <v>403</v>
      </c>
      <c r="C188" s="131" t="s">
        <v>404</v>
      </c>
      <c r="D188" s="132" t="s">
        <v>276</v>
      </c>
      <c r="E188" s="130"/>
      <c r="F188" s="130" t="s">
        <v>276</v>
      </c>
      <c r="G188" s="130" t="s">
        <v>405</v>
      </c>
      <c r="H188" s="130" t="n">
        <v>4</v>
      </c>
      <c r="I188" s="133"/>
      <c r="J188" s="134" t="n">
        <f aca="false">$J$120*H188</f>
        <v>4</v>
      </c>
    </row>
    <row r="189" s="96" customFormat="true" ht="18" hidden="false" customHeight="true" outlineLevel="0" collapsed="false">
      <c r="A189" s="170" t="n">
        <f aca="false">IF(B189="","",+A195+1)</f>
        <v>1</v>
      </c>
      <c r="B189" s="131" t="s">
        <v>580</v>
      </c>
      <c r="C189" s="131" t="s">
        <v>581</v>
      </c>
      <c r="D189" s="132" t="s">
        <v>582</v>
      </c>
      <c r="E189" s="130"/>
      <c r="F189" s="130" t="s">
        <v>582</v>
      </c>
      <c r="G189" s="130" t="s">
        <v>409</v>
      </c>
      <c r="H189" s="173" t="n">
        <f aca="false">((($I$149*$G$149)+($I$150*$G$150))/1000)*$J$120</f>
        <v>4.816</v>
      </c>
      <c r="I189" s="174" t="n">
        <v>100</v>
      </c>
      <c r="J189" s="177" t="n">
        <f aca="false">ROUNDUP((H189)/100,0)</f>
        <v>1</v>
      </c>
    </row>
    <row r="190" s="96" customFormat="true" ht="18" hidden="false" customHeight="true" outlineLevel="0" collapsed="false">
      <c r="A190" s="170" t="n">
        <f aca="false">IF(B190="","",+A189+1)</f>
        <v>2</v>
      </c>
      <c r="B190" s="131" t="s">
        <v>583</v>
      </c>
      <c r="C190" s="131" t="s">
        <v>584</v>
      </c>
      <c r="D190" s="132" t="s">
        <v>585</v>
      </c>
      <c r="E190" s="130"/>
      <c r="F190" s="130" t="s">
        <v>585</v>
      </c>
      <c r="G190" s="130" t="s">
        <v>409</v>
      </c>
      <c r="H190" s="173" t="n">
        <f aca="false">((+($I$146*$G$146*2))/1000)*$J$120</f>
        <v>4.816</v>
      </c>
      <c r="I190" s="174" t="n">
        <v>100</v>
      </c>
      <c r="J190" s="177" t="n">
        <f aca="false">ROUNDUP((H190)/100,0)</f>
        <v>1</v>
      </c>
    </row>
    <row r="191" s="96" customFormat="true" ht="18" hidden="false" customHeight="true" outlineLevel="0" collapsed="false">
      <c r="A191" s="170" t="n">
        <f aca="false">IF(B191="","",+A190+1)</f>
        <v>3</v>
      </c>
      <c r="B191" s="132" t="str">
        <f aca="false">IF($D$129="Standard",$O$184,IF($D$129="Soumdproof",$O$185,))</f>
        <v>ยางเฟรมกันน้ำ (ธรรมดา)</v>
      </c>
      <c r="C191" s="132" t="str">
        <f aca="false">IF($D$129="Standard",$P$184,IF($D$129="Soumdproof",$P$185,))</f>
        <v>FRAME SEAL (Standard)</v>
      </c>
      <c r="D191" s="132" t="str">
        <f aca="false">IF($D$129="Standard",$Q$184,IF($D$129="Soumdproof",$Q$185,))</f>
        <v>02-026</v>
      </c>
      <c r="E191" s="130" t="n">
        <f aca="false">IF($D$129="Standard",R189,IF($D$129="Soumdproof",R190,))</f>
        <v>0</v>
      </c>
      <c r="F191" s="130" t="str">
        <f aca="false">IF($D$129="Standard",$S$184,IF($D$129="Soumdproof",$S$185,))</f>
        <v>02-026</v>
      </c>
      <c r="G191" s="130" t="str">
        <f aca="false">IF($D$129="Standard",$T$184,IF($D$129="Soumdproof",$T$185,))</f>
        <v>M</v>
      </c>
      <c r="H191" s="173" t="n">
        <f aca="false">IF($D$129="Standard",$U$184,IF($D$129="Soumdproof",$U$185,))</f>
        <v>12.258</v>
      </c>
      <c r="I191" s="174" t="n">
        <f aca="false">IF($D$129="Standard",$V$184,IF($D$129="Soumdproof",$V$185,))</f>
        <v>300</v>
      </c>
      <c r="J191" s="177" t="n">
        <f aca="false">ROUNDUP((H191)/100,0)</f>
        <v>1</v>
      </c>
    </row>
    <row r="192" s="96" customFormat="true" ht="18" hidden="false" customHeight="true" outlineLevel="0" collapsed="false">
      <c r="A192" s="170" t="n">
        <f aca="false">IF(B192="","",+A191+1)</f>
        <v>4</v>
      </c>
      <c r="B192" s="132" t="str">
        <f aca="false">IF($D$129="Standard",$O$186,IF($D$129="Soumdproof",$O$187,))</f>
        <v>ยางแซชกันน้ำ (ธรรมดา)</v>
      </c>
      <c r="C192" s="132" t="str">
        <f aca="false">IF($D$129="Standard",$P$186,IF($D$129="Soumdproof",$P$187,))</f>
        <v>SASH SEAL FOAM (Standard)</v>
      </c>
      <c r="D192" s="132" t="str">
        <f aca="false">IF($D$129="Standard",$Q$186,IF($D$129="Soumdproof",$Q$187,))</f>
        <v>02-031</v>
      </c>
      <c r="E192" s="130" t="n">
        <f aca="false">IF($D$129="Standard",R191,IF($D$129="Soumdproof",R192,))</f>
        <v>0</v>
      </c>
      <c r="F192" s="130" t="str">
        <f aca="false">IF($D$129="Standard",$S$186,IF($D$129="Soumdproof",$S$187,))</f>
        <v>02-031</v>
      </c>
      <c r="G192" s="130" t="str">
        <f aca="false">IF($D$129="Standard",$T$186,IF($D$129="Soumdproof",$T$187,))</f>
        <v>M</v>
      </c>
      <c r="H192" s="173" t="n">
        <f aca="false">IF($D$129="Standard",$U$186,IF($D$129="Soumdproof",$U$187,))</f>
        <v>86.856</v>
      </c>
      <c r="I192" s="174" t="n">
        <f aca="false">IF($D$129="Standard",$V$186,IF($D$129="Soumdproof",$V$187,))</f>
        <v>350</v>
      </c>
      <c r="J192" s="177" t="n">
        <f aca="false">ROUNDUP((H192)/100,0)</f>
        <v>1</v>
      </c>
    </row>
    <row r="193" customFormat="false" ht="18" hidden="false" customHeight="true" outlineLevel="0" collapsed="false">
      <c r="A193" s="170" t="n">
        <f aca="false">IF(B193="","",+A192+1)</f>
        <v>5</v>
      </c>
      <c r="B193" s="176" t="str">
        <f aca="false">IF($D$127=5,$O$175,IF($D$127=6,$O$176,IF($D$127=8,$O$177,IF($D$127=10,$O$175,IF($D$127=12,$O$175,IF($D$127=14,$O$177,IF($D$127=18,$O$175,IF($D$127=20,$O$176,IF($D$127=22,"")))))))))</f>
        <v>8,14 mm ยางอัดกระจก</v>
      </c>
      <c r="C193" s="176" t="str">
        <f aca="false">IF($D$127=5,$P$175,IF($D$127=6,$P$176,IF($D$127=8,$P$177,IF($D$127=10,$P$175,IF($D$127=12,$P$175,IF($D$127=14,$P$177,IF($D$127=18,$P$175,IF($D$127=20,$P$176,IF($D$127=22,"")))))))))</f>
        <v>8,14 mm ROLL IN WEDGE</v>
      </c>
      <c r="D193" s="176" t="str">
        <f aca="false">IF($D$127=5,$Q$175,IF($D$127=6,$Q$176,IF($D$127=8,$Q$177,IF($D$127=10,$Q$175,IF($D$127=12,$Q$175,IF($D$127=14,$Q$177,IF($D$127=18,$Q$175,IF($D$127=20,$Q$176,IF($D$127=22,"")))))))))</f>
        <v>02-045</v>
      </c>
      <c r="E193" s="176" t="n">
        <f aca="false">IF($D$127=5,R180,IF($D$127=6,R181,IF($D$127=8,R182,IF($D$127=10,R180,IF($D$127=12,R180,IF($D$127=14,R182,IF($D$127=18,R180,IF($D$127=20,R181,IF($D$127=22,"",)))))))))</f>
        <v>0</v>
      </c>
      <c r="F193" s="167" t="str">
        <f aca="false">IF($D$127=5,$S$175,IF($D$127=6,$S$176,IF($D$127=8,$S$177,IF($D$127=10,$S$175,IF($D$127=12,$S$175,IF($D$127=14,$S$177,IF($D$127=18,$S$175,IF($D$127=20,$S$176,IF($D$127=22,"")))))))))</f>
        <v>02-045</v>
      </c>
      <c r="G193" s="167" t="str">
        <f aca="false">IF($D$127=5,$T$175,IF($D$127=6,$T$176,IF($D$127=8,$T$177,IF($D$127=10,$T$175,IF($D$127=12,$T$175,IF($D$127=14,$T$177,IF($D$127=18,$T$175,IF($D$127=20,$T$176,IF($D$127=22,"")))))))))</f>
        <v>M</v>
      </c>
      <c r="H193" s="173" t="n">
        <f aca="false">IF($D$127=5,$U$175,IF($D$127=6,$U$176,IF($D$127=8,$U$177,IF($D$127=10,$U$175*2,IF($D$127=12,$U$175,IF($D$127=14,$U$177*2,IF($D$127=18,$U$175,IF($D$127=20,$U$176,IF($D$127=22,"")))))))))</f>
        <v>53.144</v>
      </c>
      <c r="I193" s="174" t="n">
        <f aca="false">IF($D$127=5,$V$175,IF($D$127=6,$V$176,IF($D$127=8,$V$177,IF($D$127=10,$V$175,IF($D$127=12,$V$175,IF($D$127=14,$V$177,IF($D$127=18,$V$175,IF($D$127=20,$V$176,IF($D$127=22,"")))))))))</f>
        <v>100</v>
      </c>
      <c r="J193" s="177" t="n">
        <f aca="false">ROUNDUP((H193)/100,0)</f>
        <v>1</v>
      </c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</row>
    <row r="194" s="96" customFormat="true" ht="18" hidden="false" customHeight="true" outlineLevel="0" collapsed="false">
      <c r="A194" s="170" t="n">
        <f aca="false">IF(B194="","",+A193+1)</f>
        <v>6</v>
      </c>
      <c r="B194" s="176" t="str">
        <f aca="false">IF($D$127=5,$O$173,IF($D$127=6,$O$173,IF($D$127=8,$O$175,IF($D$127=10,"",IF($D$127=12,$O$174,IF($D$127=14,"",IF($D$127=18,$O$173,IF($D$127=20,$O$174,IF($D$127=22,"",)))))))))</f>
        <v>5,8,10,12,18 mmยางอัดกระจก</v>
      </c>
      <c r="C194" s="176" t="str">
        <f aca="false">IF($D$127=5,$P$173,IF($D$127=6,$P$173,IF($D$127=8,$P$175,IF($D$127=10,"",IF($D$127=12,$P$174,IF($D$127=14,"",IF($D$127=18,$P$173,IF($D$127=20,$P$174,IF($D$127=22,"",)))))))))</f>
        <v>5,8,10,12,18 mm ROLL IN WEDGE</v>
      </c>
      <c r="D194" s="176" t="str">
        <f aca="false">IF($D$127=5,$Q$173,IF($D$127=6,$Q$173,IF($D$127=8,$Q$175,IF($D$127=10,"",IF($D$127=12,$Q$174,IF($D$127=14,"",IF($D$127=18,$Q$173,IF($D$127=20,$Q$174,IF($D$127=22,"",)))))))))</f>
        <v>02-033</v>
      </c>
      <c r="E194" s="176" t="n">
        <f aca="false">IF($D$127=5,R178,IF($D$127=6,R178,IF($D$127=8,R180,IF($D$127=10,"",IF($D$127=12,R179,IF($D$127=14,"",IF($D$127=18,R178,IF($D$127=20,R179,IF($D$127=22,"",)))))))))</f>
        <v>0</v>
      </c>
      <c r="F194" s="167" t="str">
        <f aca="false">IF($D$127=5,$S$173,IF($D$127=6,$S$173,IF($D$127=8,$S$175,IF($D$127=10,"",IF($D$127=12,$S$174,IF($D$127=14,"",IF($D$127=18,$S$173,IF($D$127=20,$S$174,IF($D$127=22,"",)))))))))</f>
        <v>02-033</v>
      </c>
      <c r="G194" s="167" t="str">
        <f aca="false">IF($D$127=5,$T$173,IF($D$127=6,$T$173,IF($D$127=8,$T$175,IF($D$127=10,"",IF($D$127=12,$T$174,IF($D$127=14,"",IF($D$127=18,$T$173,IF($D$127=20,$T$174,IF($D$127=22,"",)))))))))</f>
        <v>M</v>
      </c>
      <c r="H194" s="173" t="n">
        <f aca="false">IF($D$127=5,$U$173,IF($D$127=6,$U$173,IF($D$127=8,$U$175,IF($D$127=10,"",IF($D$127=12,$U$174,IF($D$127=14,"",IF($D$127=18,$U$173,IF($D$127=20,$U$174,IF($D$127=22,"")))))))))</f>
        <v>53.144</v>
      </c>
      <c r="I194" s="174" t="n">
        <f aca="false">IF($D$127=5,$V$173,IF($D$127=6,$V$173,IF($D$127=8,$V$175,IF($D$127=10,"",IF($D$127=12,$V$174,IF($D$127=14,"",IF($D$127=18,$V$173,IF($D$127=20,$V$174,IF($D$127=22,"",)))))))))</f>
        <v>100</v>
      </c>
      <c r="J194" s="177" t="n">
        <f aca="false">ROUNDUP((H194)/100,0)</f>
        <v>1</v>
      </c>
    </row>
    <row r="195" s="96" customFormat="true" ht="18" hidden="false" customHeight="true" outlineLevel="0" collapsed="false">
      <c r="A195" s="170"/>
      <c r="B195" s="131"/>
      <c r="C195" s="131"/>
      <c r="D195" s="132"/>
      <c r="E195" s="130"/>
      <c r="F195" s="130"/>
      <c r="G195" s="130"/>
      <c r="H195" s="130"/>
      <c r="I195" s="133"/>
      <c r="J195" s="134"/>
    </row>
    <row r="196" s="96" customFormat="true" ht="18" hidden="false" customHeight="true" outlineLevel="0" collapsed="false">
      <c r="A196" s="170" t="str">
        <f aca="false">IF(B196="","",+A194+1)</f>
        <v/>
      </c>
      <c r="B196" s="131"/>
      <c r="C196" s="131"/>
      <c r="D196" s="132"/>
      <c r="E196" s="130"/>
      <c r="F196" s="130"/>
      <c r="G196" s="130"/>
      <c r="H196" s="130"/>
      <c r="I196" s="133"/>
      <c r="J196" s="134" t="n">
        <f aca="false">$J$120*H196</f>
        <v>0</v>
      </c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$J$120*H197</f>
        <v>0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$J$120*H198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IF(B200="","",+""+1)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/>
    </row>
    <row r="202" s="96" customFormat="true" ht="18" hidden="false" customHeight="true" outlineLevel="0" collapsed="false">
      <c r="A202" s="170" t="str">
        <f aca="false">IF(B202="","",+""+1)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9" t="str">
        <f aca="false">IF(B204="","",+A203+1)</f>
        <v/>
      </c>
      <c r="B204" s="135"/>
      <c r="C204" s="135"/>
      <c r="D204" s="139"/>
      <c r="E204" s="136"/>
      <c r="F204" s="136"/>
      <c r="G204" s="136"/>
      <c r="H204" s="136"/>
      <c r="I204" s="140"/>
      <c r="J204" s="137" t="n">
        <f aca="false">$J$120*H204</f>
        <v>0</v>
      </c>
    </row>
    <row r="205" s="96" customFormat="true" ht="18" hidden="false" customHeight="true" outlineLevel="0" collapsed="false">
      <c r="A205" s="200"/>
      <c r="B205" s="98"/>
      <c r="D205" s="98"/>
      <c r="E205" s="97"/>
      <c r="F205" s="98"/>
      <c r="G205" s="98"/>
      <c r="H205" s="98"/>
      <c r="I205" s="196"/>
      <c r="J205" s="196"/>
    </row>
    <row r="206" customFormat="false" ht="18" hidden="false" customHeight="true" outlineLevel="0" collapsed="false">
      <c r="A206" s="97"/>
      <c r="J206" s="92" t="str">
        <f aca="false">LEFT($J$111,13)&amp;"-02"</f>
        <v>FG-240-9P5L4R-02</v>
      </c>
    </row>
    <row r="207" customFormat="false" ht="12.75" hidden="false" customHeight="true" outlineLevel="0" collapsed="false">
      <c r="B207" s="96"/>
      <c r="C207" s="96"/>
      <c r="D207" s="98"/>
      <c r="E207" s="97"/>
      <c r="F207" s="97"/>
      <c r="G207" s="97"/>
      <c r="H207" s="97"/>
      <c r="K207" s="78"/>
      <c r="L207" s="78"/>
      <c r="M207" s="79"/>
      <c r="N207" s="79"/>
    </row>
    <row r="208" customFormat="false" ht="30" hidden="false" customHeight="true" outlineLevel="0" collapsed="false">
      <c r="I208" s="76"/>
      <c r="J208" s="77" t="str">
        <f aca="false">$J$2</f>
        <v>HOMELIFE</v>
      </c>
      <c r="K208" s="83"/>
      <c r="L208" s="83"/>
      <c r="M208" s="79"/>
      <c r="N208" s="79"/>
    </row>
    <row r="209" customFormat="false" ht="24.75" hidden="false" customHeight="true" outlineLevel="0" collapsed="false">
      <c r="C209" s="75"/>
      <c r="D209" s="76"/>
      <c r="E209" s="76"/>
      <c r="F209" s="76"/>
      <c r="G209" s="76"/>
      <c r="H209" s="76"/>
      <c r="I209" s="82"/>
      <c r="J209" s="80" t="str">
        <f aca="false">$J$3</f>
        <v>Fabricators Guide</v>
      </c>
      <c r="K209" s="83"/>
      <c r="L209" s="83"/>
      <c r="M209" s="79"/>
      <c r="N209" s="79"/>
    </row>
    <row r="210" customFormat="false" ht="24.75" hidden="false" customHeight="true" outlineLevel="0" collapsed="false">
      <c r="C210" s="82"/>
      <c r="D210" s="82"/>
      <c r="E210" s="82"/>
      <c r="F210" s="82"/>
      <c r="G210" s="82"/>
      <c r="H210" s="82"/>
      <c r="I210" s="82"/>
      <c r="J210" s="80" t="str">
        <f aca="false">$J$4</f>
        <v>240 Series Bi Fold Door </v>
      </c>
      <c r="M210" s="87"/>
      <c r="N210" s="87"/>
    </row>
    <row r="211" s="96" customFormat="true" ht="15" hidden="false" customHeight="true" outlineLevel="0" collapsed="false">
      <c r="A211" s="84"/>
      <c r="B211" s="81"/>
      <c r="C211" s="82"/>
      <c r="D211" s="82"/>
      <c r="E211" s="82"/>
      <c r="F211" s="82"/>
      <c r="G211" s="82"/>
      <c r="H211" s="82"/>
      <c r="I211" s="84"/>
      <c r="J211" s="94"/>
      <c r="K211" s="87"/>
      <c r="L211" s="87"/>
      <c r="M211" s="87"/>
      <c r="N211" s="87"/>
    </row>
    <row r="212" s="96" customFormat="true" ht="24.75" hidden="false" customHeight="true" outlineLevel="0" collapsed="false">
      <c r="A212" s="88" t="s">
        <v>457</v>
      </c>
      <c r="B212" s="88"/>
      <c r="C212" s="88"/>
      <c r="D212" s="88"/>
      <c r="E212" s="88"/>
      <c r="F212" s="88"/>
      <c r="G212" s="88"/>
      <c r="H212" s="88"/>
      <c r="I212" s="88"/>
      <c r="J212" s="88"/>
    </row>
    <row r="214" s="96" customFormat="true" ht="15" hidden="false" customHeight="true" outlineLevel="0" collapsed="false">
      <c r="A214" s="182"/>
      <c r="D214" s="73"/>
      <c r="I214" s="183"/>
      <c r="J214" s="99"/>
    </row>
    <row r="215" s="96" customFormat="true" ht="15" hidden="false" customHeight="true" outlineLevel="0" collapsed="false">
      <c r="A215" s="97"/>
      <c r="B215" s="182"/>
      <c r="D215" s="98"/>
      <c r="E215" s="83"/>
      <c r="F215" s="183"/>
      <c r="G215" s="183"/>
      <c r="H215" s="183"/>
      <c r="J215" s="97"/>
    </row>
    <row r="216" s="96" customFormat="true" ht="15" hidden="false" customHeight="true" outlineLevel="0" collapsed="false">
      <c r="A216" s="97"/>
      <c r="C216" s="181"/>
      <c r="D216" s="98"/>
      <c r="E216" s="83"/>
      <c r="F216" s="98"/>
      <c r="J216" s="97"/>
    </row>
    <row r="217" s="96" customFormat="true" ht="15" hidden="false" customHeight="true" outlineLevel="0" collapsed="false">
      <c r="A217" s="97"/>
      <c r="C217" s="181"/>
      <c r="D217" s="98"/>
      <c r="E217" s="97"/>
      <c r="F217" s="98"/>
      <c r="H217" s="181"/>
      <c r="J217" s="97"/>
    </row>
    <row r="218" s="96" customFormat="true" ht="15" hidden="false" customHeight="true" outlineLevel="0" collapsed="false">
      <c r="A218" s="182"/>
      <c r="B218" s="182"/>
      <c r="D218" s="98"/>
      <c r="E218" s="83"/>
      <c r="F218" s="183"/>
      <c r="H218" s="181"/>
      <c r="I218" s="97"/>
      <c r="J218" s="97"/>
    </row>
    <row r="219" s="96" customFormat="true" ht="15" hidden="false" customHeight="true" outlineLevel="0" collapsed="false">
      <c r="A219" s="97"/>
      <c r="C219" s="184" t="s">
        <v>458</v>
      </c>
      <c r="D219" s="98"/>
      <c r="E219" s="83"/>
      <c r="F219" s="98"/>
      <c r="I219" s="97"/>
      <c r="J219" s="97"/>
    </row>
    <row r="220" s="96" customFormat="true" ht="15" hidden="false" customHeight="true" outlineLevel="0" collapsed="false">
      <c r="A220" s="97"/>
      <c r="C220" s="181" t="s">
        <v>459</v>
      </c>
      <c r="D220" s="98"/>
      <c r="E220" s="83"/>
      <c r="F220" s="98"/>
      <c r="H220" s="184"/>
      <c r="J220" s="97"/>
    </row>
    <row r="221" s="96" customFormat="true" ht="15" hidden="false" customHeight="true" outlineLevel="0" collapsed="false">
      <c r="A221" s="97"/>
      <c r="C221" s="181" t="s">
        <v>460</v>
      </c>
      <c r="D221" s="98"/>
      <c r="E221" s="97"/>
      <c r="F221" s="98"/>
      <c r="J221" s="97"/>
    </row>
    <row r="222" s="96" customFormat="true" ht="15" hidden="false" customHeight="true" outlineLevel="0" collapsed="false">
      <c r="A222" s="97"/>
      <c r="C222" s="185" t="n">
        <f aca="false">$I$133</f>
        <v>4940</v>
      </c>
      <c r="D222" s="98"/>
      <c r="E222" s="83"/>
      <c r="F222" s="98"/>
      <c r="G222" s="186"/>
      <c r="J222" s="97"/>
    </row>
    <row r="223" s="96" customFormat="true" ht="15" hidden="false" customHeight="true" outlineLevel="0" collapsed="false">
      <c r="A223" s="97"/>
      <c r="C223" s="187" t="n">
        <f aca="false">$J$133</f>
        <v>1</v>
      </c>
      <c r="D223" s="98"/>
      <c r="E223" s="83"/>
      <c r="F223" s="98"/>
      <c r="G223" s="110"/>
      <c r="I223" s="97"/>
      <c r="J223" s="97"/>
    </row>
    <row r="224" s="96" customFormat="true" ht="15" hidden="false" customHeight="true" outlineLevel="0" collapsed="false">
      <c r="A224" s="97"/>
      <c r="D224" s="98"/>
      <c r="E224" s="97"/>
      <c r="F224" s="98"/>
      <c r="G224" s="110"/>
      <c r="I224" s="97"/>
      <c r="J224" s="97"/>
    </row>
    <row r="225" s="96" customFormat="true" ht="15.75" hidden="false" customHeight="true" outlineLevel="0" collapsed="false">
      <c r="A225" s="99"/>
      <c r="B225" s="99"/>
      <c r="C225" s="83"/>
      <c r="D225" s="98"/>
      <c r="E225" s="97"/>
      <c r="F225" s="98"/>
      <c r="G225" s="186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H226" s="97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189"/>
      <c r="J227" s="190"/>
    </row>
    <row r="228" s="96" customFormat="true" ht="15.75" hidden="false" customHeight="true" outlineLevel="0" collapsed="false">
      <c r="A228" s="99"/>
      <c r="B228" s="99"/>
      <c r="C228" s="181"/>
      <c r="D228" s="98"/>
      <c r="E228" s="97"/>
      <c r="F228" s="98"/>
      <c r="H228" s="97"/>
      <c r="I228" s="181"/>
      <c r="J228" s="193"/>
    </row>
    <row r="229" s="96" customFormat="true" ht="15.75" hidden="false" customHeight="true" outlineLevel="0" collapsed="false">
      <c r="A229" s="188"/>
      <c r="B229" s="188"/>
      <c r="D229" s="98"/>
      <c r="E229" s="97"/>
      <c r="F229" s="98"/>
      <c r="I229" s="181"/>
      <c r="J229" s="193"/>
    </row>
    <row r="230" s="96" customFormat="true" ht="15.75" hidden="false" customHeight="true" outlineLevel="0" collapsed="false">
      <c r="A230" s="97"/>
      <c r="B230" s="97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81"/>
      <c r="D231" s="98"/>
      <c r="E231" s="97"/>
      <c r="F231" s="97"/>
      <c r="I231" s="181"/>
      <c r="J231" s="193"/>
    </row>
    <row r="232" s="96" customFormat="true" ht="15.75" hidden="false" customHeight="true" outlineLevel="0" collapsed="false">
      <c r="A232" s="191"/>
      <c r="B232" s="191"/>
      <c r="C232" s="184" t="s">
        <v>461</v>
      </c>
      <c r="D232" s="192"/>
      <c r="E232" s="191"/>
      <c r="F232" s="191"/>
      <c r="G232" s="97"/>
      <c r="H232" s="97"/>
      <c r="I232" s="181"/>
      <c r="J232" s="193"/>
    </row>
    <row r="233" s="96" customFormat="true" ht="15.75" hidden="false" customHeight="true" outlineLevel="0" collapsed="false">
      <c r="A233" s="190"/>
      <c r="B233" s="190"/>
      <c r="C233" s="181" t="s">
        <v>462</v>
      </c>
      <c r="D233" s="194"/>
      <c r="E233" s="190"/>
      <c r="F233" s="189"/>
      <c r="G233" s="97"/>
      <c r="H233" s="97"/>
      <c r="J233" s="97"/>
    </row>
    <row r="234" s="96" customFormat="true" ht="15.75" hidden="false" customHeight="true" outlineLevel="0" collapsed="false">
      <c r="A234" s="97"/>
      <c r="C234" s="181" t="s">
        <v>518</v>
      </c>
      <c r="D234" s="98"/>
      <c r="E234" s="97"/>
      <c r="F234" s="98"/>
      <c r="G234" s="97"/>
      <c r="H234" s="97"/>
      <c r="I234" s="97"/>
      <c r="J234" s="196"/>
    </row>
    <row r="235" s="96" customFormat="true" ht="15.75" hidden="false" customHeight="true" outlineLevel="0" collapsed="false">
      <c r="A235" s="97"/>
      <c r="C235" s="185" t="n">
        <f aca="false">$I$134</f>
        <v>4914</v>
      </c>
      <c r="D235" s="98"/>
      <c r="E235" s="97"/>
      <c r="F235" s="98"/>
      <c r="G235" s="97"/>
      <c r="H235" s="97"/>
      <c r="I235" s="196"/>
      <c r="J235" s="196"/>
    </row>
    <row r="236" s="96" customFormat="true" ht="15.75" hidden="false" customHeight="true" outlineLevel="0" collapsed="false">
      <c r="A236" s="97"/>
      <c r="C236" s="187" t="n">
        <f aca="false">$J$134</f>
        <v>1</v>
      </c>
      <c r="D236" s="98"/>
      <c r="E236" s="97"/>
      <c r="F236" s="98"/>
      <c r="G236" s="97"/>
      <c r="H236" s="195"/>
      <c r="I236" s="184"/>
      <c r="J236" s="198"/>
    </row>
    <row r="237" s="96" customFormat="true" ht="15.75" hidden="false" customHeight="true" outlineLevel="0" collapsed="false">
      <c r="A237" s="97"/>
      <c r="C237" s="191"/>
      <c r="D237" s="98"/>
      <c r="E237" s="97"/>
      <c r="F237" s="98"/>
      <c r="G237" s="97"/>
      <c r="H237" s="195"/>
      <c r="I237" s="181"/>
      <c r="J237" s="193"/>
    </row>
    <row r="238" s="96" customFormat="true" ht="15.75" hidden="false" customHeight="true" outlineLevel="0" collapsed="false">
      <c r="A238" s="97"/>
      <c r="D238" s="98"/>
      <c r="E238" s="97"/>
      <c r="F238" s="98"/>
      <c r="G238" s="97"/>
      <c r="H238" s="97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96"/>
      <c r="J239" s="196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1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97"/>
      <c r="I241" s="97"/>
      <c r="J241" s="196"/>
    </row>
    <row r="242" s="96" customFormat="true" ht="15.75" hidden="false" customHeight="true" outlineLevel="0" collapsed="false">
      <c r="A242" s="97"/>
      <c r="C242" s="184" t="s">
        <v>464</v>
      </c>
      <c r="D242" s="98"/>
      <c r="E242" s="97"/>
      <c r="F242" s="98"/>
      <c r="G242" s="97"/>
      <c r="H242" s="97"/>
      <c r="I242" s="196"/>
      <c r="J242" s="196"/>
    </row>
    <row r="243" s="96" customFormat="true" ht="15.75" hidden="false" customHeight="true" outlineLevel="0" collapsed="false">
      <c r="A243" s="97"/>
      <c r="C243" s="181" t="s">
        <v>459</v>
      </c>
      <c r="D243" s="98"/>
      <c r="E243" s="97"/>
      <c r="F243" s="98"/>
      <c r="G243" s="97"/>
      <c r="H243" s="97"/>
      <c r="I243" s="196"/>
      <c r="J243" s="196"/>
    </row>
    <row r="244" s="96" customFormat="true" ht="15" hidden="false" customHeight="true" outlineLevel="0" collapsed="false">
      <c r="A244" s="97"/>
      <c r="C244" s="181" t="s">
        <v>460</v>
      </c>
      <c r="D244" s="98"/>
      <c r="E244" s="97"/>
      <c r="F244" s="98"/>
      <c r="G244" s="97"/>
      <c r="H244" s="97"/>
      <c r="I244" s="196"/>
      <c r="J244" s="196"/>
    </row>
    <row r="245" s="96" customFormat="true" ht="15.75" hidden="false" customHeight="true" outlineLevel="0" collapsed="false">
      <c r="A245" s="97"/>
      <c r="C245" s="185" t="n">
        <f aca="false">$I$135</f>
        <v>4940</v>
      </c>
      <c r="D245" s="98"/>
      <c r="E245" s="97"/>
      <c r="F245" s="98"/>
      <c r="G245" s="97"/>
      <c r="H245" s="97"/>
      <c r="I245" s="191"/>
      <c r="J245" s="199"/>
    </row>
    <row r="246" s="96" customFormat="true" ht="15.75" hidden="false" customHeight="true" outlineLevel="0" collapsed="false">
      <c r="A246" s="97"/>
      <c r="C246" s="187" t="n">
        <f aca="false">$J$135</f>
        <v>1</v>
      </c>
      <c r="D246" s="98"/>
      <c r="E246" s="97"/>
      <c r="F246" s="98"/>
      <c r="G246" s="97"/>
      <c r="H246" s="97"/>
      <c r="I246" s="189"/>
      <c r="J246" s="190"/>
    </row>
    <row r="247" s="96" customFormat="true" ht="15.75" hidden="false" customHeight="true" outlineLevel="0" collapsed="false">
      <c r="A247" s="97"/>
      <c r="C247" s="98"/>
      <c r="D247" s="98"/>
      <c r="E247" s="97"/>
      <c r="F247" s="98"/>
      <c r="G247" s="97"/>
      <c r="H247" s="97"/>
      <c r="J247" s="97"/>
    </row>
    <row r="248" s="96" customFormat="true" ht="15.75" hidden="false" customHeight="true" outlineLevel="0" collapsed="false">
      <c r="A248" s="97"/>
      <c r="D248" s="98"/>
      <c r="E248" s="97"/>
      <c r="F248" s="97"/>
      <c r="G248" s="191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0"/>
      <c r="H250" s="97"/>
      <c r="I250" s="196"/>
      <c r="J250" s="196"/>
    </row>
    <row r="251" s="96" customFormat="true" ht="15.75" hidden="false" customHeight="true" outlineLevel="0" collapsed="false">
      <c r="A251" s="97"/>
      <c r="D251" s="98"/>
      <c r="E251" s="97"/>
      <c r="F251" s="97"/>
      <c r="G251" s="97"/>
      <c r="H251" s="97"/>
      <c r="I251" s="196"/>
      <c r="J251" s="196"/>
    </row>
    <row r="252" s="96" customFormat="true" ht="15.75" hidden="false" customHeight="true" outlineLevel="0" collapsed="false">
      <c r="A252" s="191"/>
      <c r="B252" s="191"/>
      <c r="D252" s="192"/>
      <c r="E252" s="191"/>
      <c r="F252" s="191"/>
      <c r="G252" s="97"/>
      <c r="H252" s="97"/>
      <c r="I252" s="196"/>
      <c r="J252" s="196"/>
    </row>
    <row r="253" s="96" customFormat="true" ht="15.75" hidden="false" customHeight="true" outlineLevel="0" collapsed="false">
      <c r="A253" s="190"/>
      <c r="B253" s="190"/>
      <c r="C253" s="184" t="s">
        <v>465</v>
      </c>
      <c r="D253" s="194"/>
      <c r="E253" s="190"/>
      <c r="F253" s="189"/>
      <c r="G253" s="97"/>
      <c r="I253" s="196"/>
      <c r="J253" s="196"/>
    </row>
    <row r="254" s="96" customFormat="true" ht="15.75" hidden="false" customHeight="true" outlineLevel="0" collapsed="false">
      <c r="A254" s="200"/>
      <c r="C254" s="181" t="s">
        <v>459</v>
      </c>
      <c r="D254" s="98"/>
      <c r="E254" s="97"/>
      <c r="F254" s="97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460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5" t="n">
        <f aca="false">$I$136</f>
        <v>4940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7" t="n">
        <f aca="false">$J$136</f>
        <v>1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C261" s="98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C263" s="184" t="s">
        <v>466</v>
      </c>
      <c r="D263" s="98"/>
      <c r="E263" s="97"/>
      <c r="F263" s="97"/>
      <c r="G263" s="97"/>
      <c r="H263" s="97"/>
      <c r="I263" s="196"/>
      <c r="J263" s="196"/>
    </row>
    <row r="264" s="96" customFormat="true" ht="15.75" hidden="false" customHeight="true" outlineLevel="0" collapsed="false">
      <c r="A264" s="200"/>
      <c r="C264" s="181" t="s">
        <v>467</v>
      </c>
      <c r="D264" s="181"/>
      <c r="E264" s="181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468</v>
      </c>
      <c r="D265" s="181"/>
      <c r="E265" s="181"/>
      <c r="F265" s="97"/>
      <c r="G265" s="97"/>
      <c r="H265" s="97"/>
      <c r="J265" s="97"/>
    </row>
    <row r="266" s="96" customFormat="true" ht="15.75" hidden="false" customHeight="true" outlineLevel="0" collapsed="false">
      <c r="A266" s="200"/>
      <c r="C266" s="185" t="n">
        <f aca="false">$I$137</f>
        <v>2500</v>
      </c>
      <c r="D266" s="98"/>
      <c r="E266" s="97"/>
      <c r="F266" s="97"/>
      <c r="J266" s="97"/>
    </row>
    <row r="267" s="96" customFormat="true" ht="15.75" hidden="false" customHeight="true" outlineLevel="0" collapsed="false">
      <c r="A267" s="200"/>
      <c r="C267" s="187" t="n">
        <f aca="false">$J$137+$J$138</f>
        <v>2</v>
      </c>
      <c r="D267" s="98"/>
      <c r="E267" s="97"/>
      <c r="F267" s="97"/>
      <c r="G267" s="97"/>
      <c r="H267" s="97"/>
      <c r="J267" s="97"/>
    </row>
    <row r="268" s="96" customFormat="true" ht="15.75" hidden="false" customHeight="true" outlineLevel="0" collapsed="false">
      <c r="A268" s="200"/>
      <c r="D268" s="184"/>
      <c r="E268" s="184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1"/>
      <c r="E270" s="181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I271" s="196"/>
      <c r="J271" s="196"/>
    </row>
    <row r="272" s="96" customFormat="true" ht="15.75" hidden="false" customHeight="true" outlineLevel="0" collapsed="false">
      <c r="A272" s="200"/>
      <c r="D272" s="98"/>
      <c r="E272" s="97"/>
      <c r="F272" s="97"/>
      <c r="G272" s="97"/>
      <c r="I272" s="196"/>
      <c r="J272" s="196"/>
    </row>
    <row r="273" s="96" customFormat="true" ht="15.75" hidden="false" customHeight="true" outlineLevel="0" collapsed="false">
      <c r="A273" s="200"/>
      <c r="C273" s="184" t="s">
        <v>469</v>
      </c>
      <c r="D273" s="201"/>
      <c r="E273" s="196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C274" s="181" t="s">
        <v>470</v>
      </c>
      <c r="D274" s="181"/>
      <c r="E274" s="181"/>
      <c r="F274" s="97"/>
      <c r="G274" s="97"/>
      <c r="I274" s="97"/>
      <c r="J274" s="196"/>
    </row>
    <row r="275" s="96" customFormat="true" ht="15.75" hidden="false" customHeight="true" outlineLevel="0" collapsed="false">
      <c r="A275" s="200"/>
      <c r="C275" s="181" t="s">
        <v>471</v>
      </c>
      <c r="D275" s="181"/>
      <c r="E275" s="181"/>
      <c r="F275" s="97"/>
      <c r="G275" s="97"/>
      <c r="I275" s="97"/>
      <c r="J275" s="196"/>
    </row>
    <row r="276" s="96" customFormat="true" ht="15.75" hidden="false" customHeight="true" outlineLevel="0" collapsed="false">
      <c r="A276" s="200"/>
      <c r="C276" s="185" t="n">
        <f aca="false">$I$139</f>
        <v>2404</v>
      </c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7" t="n">
        <f aca="false">$J$139+$J$140</f>
        <v>2</v>
      </c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F278" s="97"/>
      <c r="G278" s="97"/>
      <c r="H278" s="97"/>
      <c r="J278" s="97"/>
    </row>
    <row r="279" s="96" customFormat="true" ht="15.75" hidden="false" customHeight="true" outlineLevel="0" collapsed="false">
      <c r="A279" s="200"/>
      <c r="D279" s="98"/>
      <c r="E279" s="97"/>
      <c r="F279" s="97"/>
      <c r="G279" s="97"/>
      <c r="H279" s="97"/>
      <c r="J279" s="97"/>
    </row>
    <row r="280" s="96" customFormat="true" ht="15.75" hidden="false" customHeight="true" outlineLevel="0" collapsed="false">
      <c r="A280" s="200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F281" s="97"/>
      <c r="G281" s="97"/>
      <c r="H281" s="97"/>
      <c r="I281" s="201"/>
      <c r="J281" s="196"/>
    </row>
    <row r="282" s="96" customFormat="true" ht="15.75" hidden="false" customHeight="true" outlineLevel="0" collapsed="false">
      <c r="A282" s="200"/>
      <c r="C282" s="184" t="s">
        <v>472</v>
      </c>
      <c r="F282" s="97"/>
      <c r="G282" s="97"/>
      <c r="H282" s="97"/>
      <c r="I282" s="97"/>
      <c r="J282" s="196"/>
    </row>
    <row r="283" s="96" customFormat="true" ht="15.75" hidden="false" customHeight="true" outlineLevel="0" collapsed="false">
      <c r="A283" s="200"/>
      <c r="C283" s="83" t="s">
        <v>763</v>
      </c>
      <c r="D283" s="98"/>
      <c r="E283" s="97"/>
      <c r="F283" s="97"/>
      <c r="G283" s="97"/>
      <c r="H283" s="97"/>
      <c r="I283" s="196"/>
      <c r="J283" s="196"/>
    </row>
    <row r="284" s="96" customFormat="true" ht="15.75" hidden="false" customHeight="true" outlineLevel="0" collapsed="false">
      <c r="A284" s="200"/>
      <c r="C284" s="181" t="s">
        <v>764</v>
      </c>
      <c r="D284" s="98"/>
      <c r="E284" s="97"/>
      <c r="F284" s="97"/>
      <c r="G284" s="97"/>
      <c r="H284" s="97"/>
      <c r="I284" s="196"/>
      <c r="J284" s="196"/>
    </row>
    <row r="285" s="96" customFormat="true" ht="15.75" hidden="false" customHeight="true" outlineLevel="0" collapsed="false">
      <c r="A285" s="200"/>
      <c r="C285" s="181" t="s">
        <v>475</v>
      </c>
      <c r="D285" s="181"/>
      <c r="E285" s="181"/>
      <c r="F285" s="97"/>
      <c r="G285" s="97"/>
      <c r="I285" s="196"/>
      <c r="J285" s="196"/>
    </row>
    <row r="286" s="202" customFormat="true" ht="15.75" hidden="false" customHeight="true" outlineLevel="0" collapsed="false">
      <c r="A286" s="200"/>
      <c r="B286" s="96"/>
      <c r="C286" s="181" t="s">
        <v>476</v>
      </c>
      <c r="D286" s="181"/>
      <c r="E286" s="181"/>
      <c r="F286" s="97"/>
      <c r="G286" s="97"/>
      <c r="H286" s="96"/>
      <c r="I286" s="97"/>
      <c r="J286" s="97"/>
    </row>
    <row r="287" s="96" customFormat="true" ht="15.75" hidden="false" customHeight="true" outlineLevel="0" collapsed="false">
      <c r="A287" s="200"/>
      <c r="C287" s="185" t="n">
        <f aca="false">$I$141</f>
        <v>544.444444444445</v>
      </c>
      <c r="F287" s="97"/>
      <c r="G287" s="97"/>
      <c r="I287" s="191"/>
      <c r="J287" s="199"/>
    </row>
    <row r="288" s="96" customFormat="true" ht="15.75" hidden="false" customHeight="true" outlineLevel="0" collapsed="false">
      <c r="A288" s="200"/>
      <c r="C288" s="187" t="n">
        <f aca="false">$J$141+$J$142</f>
        <v>18</v>
      </c>
      <c r="D288" s="98"/>
      <c r="E288" s="97"/>
      <c r="F288" s="97"/>
      <c r="G288" s="97"/>
      <c r="H288" s="98"/>
      <c r="I288" s="189"/>
      <c r="J288" s="190"/>
    </row>
    <row r="289" s="96" customFormat="true" ht="15.75" hidden="false" customHeight="true" outlineLevel="0" collapsed="false">
      <c r="A289" s="200"/>
      <c r="C289" s="185" t="n">
        <f aca="false">$I$143</f>
        <v>2408</v>
      </c>
      <c r="D289" s="98"/>
      <c r="E289" s="97"/>
      <c r="F289" s="97"/>
      <c r="G289" s="97"/>
      <c r="H289" s="97"/>
      <c r="I289" s="196"/>
      <c r="J289" s="196"/>
    </row>
    <row r="290" s="96" customFormat="true" ht="15.75" hidden="false" customHeight="true" outlineLevel="0" collapsed="false">
      <c r="A290" s="200"/>
      <c r="C290" s="187" t="n">
        <f aca="false">$J$143+$J$144+$J$145+$J$146</f>
        <v>18</v>
      </c>
      <c r="D290" s="98"/>
      <c r="E290" s="97"/>
      <c r="F290" s="97"/>
      <c r="G290" s="97"/>
      <c r="H290" s="97"/>
      <c r="I290" s="196"/>
      <c r="J290" s="196"/>
    </row>
    <row r="291" s="96" customFormat="true" ht="15.75" hidden="false" customHeight="true" outlineLevel="0" collapsed="false">
      <c r="A291" s="200"/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D292" s="98"/>
      <c r="E292" s="97"/>
      <c r="F292" s="97"/>
      <c r="G292" s="97"/>
      <c r="H292" s="97"/>
      <c r="I292" s="97"/>
      <c r="J292" s="196"/>
    </row>
    <row r="293" s="96" customFormat="true" ht="15.75" hidden="false" customHeight="true" outlineLevel="0" collapsed="false">
      <c r="A293" s="200"/>
      <c r="C293" s="202"/>
      <c r="D293" s="98"/>
      <c r="E293" s="97"/>
      <c r="F293" s="97"/>
      <c r="G293" s="97"/>
      <c r="H293" s="97"/>
      <c r="I293" s="97"/>
      <c r="J293" s="196"/>
    </row>
    <row r="294" s="96" customFormat="true" ht="15.75" hidden="false" customHeight="true" outlineLevel="0" collapsed="false">
      <c r="A294" s="200"/>
      <c r="C294" s="184" t="s">
        <v>477</v>
      </c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83" t="s">
        <v>763</v>
      </c>
      <c r="D295" s="98"/>
      <c r="E295" s="97"/>
      <c r="F295" s="97"/>
      <c r="G295" s="191"/>
      <c r="H295" s="191"/>
      <c r="I295" s="97"/>
      <c r="J295" s="196"/>
    </row>
    <row r="296" s="96" customFormat="true" ht="15.75" hidden="false" customHeight="true" outlineLevel="0" collapsed="false">
      <c r="A296" s="200"/>
      <c r="C296" s="181" t="s">
        <v>764</v>
      </c>
      <c r="D296" s="181"/>
      <c r="E296" s="181"/>
      <c r="F296" s="97"/>
      <c r="G296" s="190"/>
      <c r="H296" s="189"/>
      <c r="I296" s="97"/>
      <c r="J296" s="196"/>
    </row>
    <row r="297" s="96" customFormat="true" ht="15.75" hidden="false" customHeight="true" outlineLevel="0" collapsed="false">
      <c r="A297" s="107"/>
      <c r="C297" s="181" t="s">
        <v>478</v>
      </c>
      <c r="D297" s="181"/>
      <c r="E297" s="181"/>
      <c r="F297" s="97"/>
      <c r="G297" s="97"/>
      <c r="H297" s="97"/>
      <c r="I297" s="97"/>
      <c r="J297" s="196"/>
    </row>
    <row r="298" s="96" customFormat="true" ht="15.75" hidden="false" customHeight="true" outlineLevel="0" collapsed="false">
      <c r="A298" s="191"/>
      <c r="B298" s="191"/>
      <c r="C298" s="181" t="s">
        <v>479</v>
      </c>
      <c r="D298" s="203"/>
      <c r="E298" s="204"/>
      <c r="F298" s="191"/>
      <c r="G298" s="97"/>
      <c r="H298" s="97"/>
      <c r="I298" s="97"/>
      <c r="J298" s="196"/>
    </row>
    <row r="299" s="96" customFormat="true" ht="15.75" hidden="false" customHeight="true" outlineLevel="0" collapsed="false">
      <c r="A299" s="190"/>
      <c r="B299" s="190"/>
      <c r="C299" s="185" t="n">
        <f aca="false">$I$147</f>
        <v>434.333333333333</v>
      </c>
      <c r="D299" s="205"/>
      <c r="E299" s="206"/>
      <c r="F299" s="189"/>
      <c r="G299" s="97"/>
      <c r="H299" s="97"/>
      <c r="I299" s="97"/>
      <c r="J299" s="196"/>
    </row>
    <row r="300" s="96" customFormat="true" ht="15.75" hidden="false" customHeight="true" outlineLevel="0" collapsed="false">
      <c r="A300" s="97"/>
      <c r="C300" s="187" t="n">
        <f aca="false">$J$147</f>
        <v>18</v>
      </c>
      <c r="D300" s="98"/>
      <c r="F300" s="97"/>
      <c r="G300" s="97"/>
      <c r="H300" s="97"/>
      <c r="I300" s="97"/>
      <c r="J300" s="196"/>
    </row>
    <row r="301" s="96" customFormat="true" ht="15.75" hidden="false" customHeight="true" outlineLevel="0" collapsed="false">
      <c r="A301" s="97"/>
      <c r="C301" s="185" t="n">
        <f aca="false">$I$148</f>
        <v>2258</v>
      </c>
      <c r="D301" s="98"/>
      <c r="F301" s="97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7" t="n">
        <f aca="false">$J$148</f>
        <v>18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C306" s="184" t="s">
        <v>744</v>
      </c>
      <c r="D306" s="98"/>
      <c r="E306" s="97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1" t="s">
        <v>475</v>
      </c>
      <c r="D307" s="181"/>
      <c r="E307" s="181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249" t="s">
        <v>476</v>
      </c>
      <c r="D308" s="249"/>
      <c r="E308" s="249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5" t="n">
        <f aca="false">$I$149</f>
        <v>2408</v>
      </c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7" t="n">
        <f aca="false">$J$149+$J$150</f>
        <v>2</v>
      </c>
      <c r="D310" s="181"/>
      <c r="E310" s="181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200"/>
      <c r="D313" s="201"/>
      <c r="E313" s="196"/>
      <c r="F313" s="97"/>
      <c r="G313" s="97"/>
      <c r="H313" s="97"/>
      <c r="I313" s="200"/>
      <c r="J313" s="92" t="str">
        <f aca="false">LEFT($J$111,13)&amp;"-03"</f>
        <v>FG-240-9P5L4R-03</v>
      </c>
    </row>
    <row r="314" customFormat="false" ht="12.75" hidden="false" customHeight="true" outlineLevel="0" collapsed="false">
      <c r="A314" s="97"/>
      <c r="B314" s="49"/>
      <c r="C314" s="49"/>
      <c r="D314" s="207"/>
      <c r="E314" s="200"/>
      <c r="F314" s="200"/>
      <c r="G314" s="200"/>
      <c r="H314" s="200"/>
      <c r="I314" s="208"/>
      <c r="J314" s="208"/>
    </row>
    <row r="315" customFormat="false" ht="30" hidden="false" customHeight="true" outlineLevel="0" collapsed="false">
      <c r="I315" s="76"/>
      <c r="J315" s="77" t="str">
        <f aca="false">$J$2</f>
        <v>HOMELIFE</v>
      </c>
      <c r="K315" s="83"/>
      <c r="L315" s="83"/>
      <c r="M315" s="79"/>
      <c r="N315" s="79"/>
    </row>
    <row r="316" customFormat="false" ht="24.75" hidden="false" customHeight="true" outlineLevel="0" collapsed="false">
      <c r="C316" s="75"/>
      <c r="D316" s="76"/>
      <c r="E316" s="76"/>
      <c r="F316" s="76"/>
      <c r="G316" s="76"/>
      <c r="H316" s="76"/>
      <c r="I316" s="82"/>
      <c r="J316" s="80" t="str">
        <f aca="false">$J$3</f>
        <v>Fabricators Guide</v>
      </c>
      <c r="K316" s="83"/>
      <c r="L316" s="83"/>
      <c r="M316" s="79"/>
      <c r="N316" s="79"/>
    </row>
    <row r="317" customFormat="false" ht="24.75" hidden="false" customHeight="true" outlineLevel="0" collapsed="false">
      <c r="C317" s="82"/>
      <c r="D317" s="82"/>
      <c r="E317" s="82"/>
      <c r="F317" s="82"/>
      <c r="G317" s="82"/>
      <c r="H317" s="82"/>
      <c r="I317" s="82"/>
      <c r="J317" s="80" t="str">
        <f aca="false">$J$4</f>
        <v>240 Series Bi Fold Door </v>
      </c>
      <c r="M317" s="87"/>
      <c r="N317" s="87"/>
    </row>
    <row r="318" s="96" customFormat="true" ht="15" hidden="false" customHeight="true" outlineLevel="0" collapsed="false">
      <c r="A318" s="84"/>
      <c r="B318" s="81"/>
      <c r="C318" s="82"/>
      <c r="D318" s="82"/>
      <c r="E318" s="82"/>
      <c r="F318" s="82"/>
      <c r="G318" s="82"/>
      <c r="H318" s="82"/>
      <c r="I318" s="84"/>
      <c r="J318" s="94"/>
      <c r="K318" s="87"/>
      <c r="L318" s="87"/>
      <c r="M318" s="87"/>
      <c r="N318" s="87"/>
    </row>
    <row r="319" customFormat="false" ht="24.75" hidden="false" customHeight="true" outlineLevel="0" collapsed="false">
      <c r="A319" s="88" t="s">
        <v>480</v>
      </c>
      <c r="B319" s="88"/>
      <c r="C319" s="88"/>
      <c r="D319" s="88"/>
      <c r="E319" s="88"/>
      <c r="F319" s="88"/>
      <c r="G319" s="88"/>
      <c r="H319" s="88"/>
      <c r="I319" s="88"/>
      <c r="J319" s="88"/>
      <c r="K319" s="87"/>
      <c r="L319" s="87"/>
      <c r="M319" s="87"/>
      <c r="N319" s="87"/>
    </row>
    <row r="321" s="96" customFormat="true" ht="15" hidden="false" customHeight="true" outlineLevel="0" collapsed="false">
      <c r="A321" s="188"/>
      <c r="D321" s="73"/>
      <c r="I321" s="183"/>
      <c r="J321" s="99"/>
    </row>
    <row r="322" s="96" customFormat="true" ht="15" hidden="false" customHeight="true" outlineLevel="0" collapsed="false">
      <c r="A322" s="97"/>
      <c r="B322" s="81"/>
      <c r="D322" s="98"/>
      <c r="E322" s="83"/>
      <c r="F322" s="183"/>
      <c r="G322" s="183"/>
      <c r="H322" s="183"/>
      <c r="I322" s="83"/>
      <c r="J322" s="97"/>
    </row>
    <row r="323" s="96" customFormat="true" ht="15" hidden="false" customHeight="true" outlineLevel="0" collapsed="false">
      <c r="A323" s="97"/>
      <c r="D323" s="98"/>
      <c r="E323" s="83"/>
      <c r="F323" s="98"/>
      <c r="G323" s="83"/>
      <c r="H323" s="83"/>
      <c r="I323" s="97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C325" s="98"/>
      <c r="D325" s="98"/>
      <c r="E325" s="83"/>
      <c r="F325" s="98"/>
      <c r="G325" s="97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97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83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182"/>
      <c r="J328" s="97"/>
    </row>
    <row r="329" s="96" customFormat="true" ht="15" hidden="false" customHeight="true" outlineLevel="0" collapsed="false">
      <c r="A329" s="81"/>
      <c r="C329" s="182"/>
      <c r="D329" s="98"/>
      <c r="E329" s="97"/>
      <c r="F329" s="209"/>
      <c r="G329" s="209"/>
      <c r="H329" s="110"/>
      <c r="I329" s="98"/>
      <c r="J329" s="97"/>
    </row>
    <row r="330" s="96" customFormat="true" ht="15" hidden="false" customHeight="true" outlineLevel="0" collapsed="false">
      <c r="A330" s="99"/>
      <c r="B330" s="81"/>
      <c r="C330" s="98"/>
      <c r="D330" s="98"/>
      <c r="E330" s="97"/>
      <c r="F330" s="210"/>
      <c r="G330" s="210"/>
      <c r="H330" s="110"/>
      <c r="I330" s="98"/>
      <c r="J330" s="97"/>
    </row>
    <row r="331" s="96" customFormat="true" ht="15" hidden="false" customHeight="true" outlineLevel="0" collapsed="false">
      <c r="A331" s="211" t="str">
        <f aca="false">A18</f>
        <v>240-9 Panel (5L4R)</v>
      </c>
      <c r="B331" s="99"/>
      <c r="C331" s="98"/>
      <c r="D331" s="98"/>
      <c r="E331" s="97"/>
      <c r="F331" s="110"/>
      <c r="G331" s="110"/>
      <c r="H331" s="110"/>
      <c r="I331" s="97"/>
      <c r="J331" s="97"/>
    </row>
    <row r="332" s="96" customFormat="true" ht="15" hidden="false" customHeight="true" outlineLevel="0" collapsed="false">
      <c r="A332" s="90" t="str">
        <f aca="false">A19</f>
        <v>Outside Bi Fold Door 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.75" hidden="false" customHeight="true" outlineLevel="0" collapsed="false">
      <c r="A333" s="97"/>
      <c r="B333" s="188"/>
      <c r="C333" s="182"/>
      <c r="D333" s="98"/>
      <c r="E333" s="97"/>
      <c r="F333" s="210"/>
      <c r="G333" s="210"/>
      <c r="H333" s="110"/>
      <c r="I333" s="97"/>
      <c r="J333" s="97"/>
    </row>
    <row r="334" s="96" customFormat="true" ht="15.75" hidden="false" customHeight="true" outlineLevel="0" collapsed="false">
      <c r="A334" s="81"/>
      <c r="B334" s="97"/>
      <c r="C334" s="98"/>
      <c r="D334" s="98"/>
      <c r="E334" s="97"/>
      <c r="F334" s="78"/>
      <c r="H334" s="97"/>
      <c r="I334" s="97"/>
      <c r="J334" s="97"/>
    </row>
    <row r="335" s="96" customFormat="true" ht="15.75" hidden="false" customHeight="true" outlineLevel="0" collapsed="false">
      <c r="A335" s="191"/>
      <c r="C335" s="212"/>
      <c r="D335" s="98"/>
      <c r="E335" s="97"/>
      <c r="F335" s="97"/>
      <c r="G335" s="97"/>
      <c r="H335" s="97"/>
      <c r="I335" s="191"/>
      <c r="J335" s="199"/>
    </row>
    <row r="336" s="96" customFormat="true" ht="15.75" hidden="false" customHeight="true" outlineLevel="0" collapsed="false">
      <c r="A336" s="190"/>
      <c r="C336" s="191"/>
      <c r="D336" s="192"/>
      <c r="E336" s="191"/>
      <c r="F336" s="191"/>
      <c r="G336" s="191"/>
      <c r="H336" s="191"/>
      <c r="I336" s="189"/>
      <c r="J336" s="190"/>
    </row>
    <row r="337" s="96" customFormat="true" ht="15.75" hidden="false" customHeight="true" outlineLevel="0" collapsed="false">
      <c r="A337" s="97"/>
      <c r="C337" s="98"/>
      <c r="D337" s="194"/>
      <c r="E337" s="190"/>
      <c r="F337" s="189"/>
      <c r="G337" s="190"/>
      <c r="H337" s="189"/>
      <c r="I337" s="196"/>
      <c r="J337" s="196"/>
    </row>
    <row r="338" s="96" customFormat="true" ht="15.75" hidden="false" customHeight="true" outlineLevel="0" collapsed="false">
      <c r="A338" s="97"/>
      <c r="C338" s="98"/>
      <c r="D338" s="98"/>
      <c r="E338" s="97"/>
      <c r="F338" s="98"/>
      <c r="G338" s="97"/>
      <c r="H338" s="97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201"/>
      <c r="J339" s="201"/>
    </row>
    <row r="340" s="96" customFormat="true" ht="15.75" hidden="false" customHeight="true" outlineLevel="0" collapsed="false">
      <c r="A340" s="97"/>
      <c r="C340" s="191"/>
      <c r="D340" s="98"/>
      <c r="E340" s="97"/>
      <c r="F340" s="98"/>
      <c r="G340" s="97"/>
      <c r="H340" s="201"/>
      <c r="I340" s="98"/>
      <c r="J340" s="98"/>
    </row>
    <row r="341" s="96" customFormat="true" ht="15.75" hidden="false" customHeight="true" outlineLevel="0" collapsed="false">
      <c r="A341" s="97"/>
      <c r="C341" s="182"/>
      <c r="D341" s="98"/>
      <c r="E341" s="97"/>
      <c r="F341" s="98"/>
      <c r="G341" s="97"/>
      <c r="H341" s="98"/>
      <c r="I341" s="98"/>
      <c r="J341" s="98"/>
    </row>
    <row r="342" s="96" customFormat="true" ht="15.75" hidden="false" customHeight="true" outlineLevel="0" collapsed="false">
      <c r="A342" s="97"/>
      <c r="C342" s="98"/>
      <c r="D342" s="98"/>
      <c r="E342" s="97"/>
      <c r="F342" s="98"/>
      <c r="G342" s="97"/>
      <c r="H342" s="98"/>
      <c r="I342" s="97"/>
      <c r="J342" s="196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7"/>
      <c r="I343" s="196"/>
      <c r="J343" s="196"/>
    </row>
    <row r="344" s="96" customFormat="true" ht="15.75" hidden="false" customHeight="true" outlineLevel="0" collapsed="false">
      <c r="A344" s="97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C347" s="191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98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97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196"/>
      <c r="J350" s="196"/>
    </row>
    <row r="351" s="96" customFormat="true" ht="15.75" hidden="false" customHeight="true" outlineLevel="0" collapsed="false">
      <c r="A351" s="97"/>
      <c r="D351" s="98"/>
      <c r="E351" s="97"/>
      <c r="F351" s="97"/>
      <c r="G351" s="97"/>
      <c r="H351" s="97"/>
      <c r="I351" s="196"/>
      <c r="J351" s="196"/>
    </row>
    <row r="352" s="96" customFormat="true" ht="15" hidden="false" customHeight="true" outlineLevel="0" collapsed="false">
      <c r="A352" s="97"/>
      <c r="D352" s="98"/>
      <c r="E352" s="97"/>
      <c r="F352" s="97"/>
      <c r="G352" s="97"/>
      <c r="H352" s="195"/>
      <c r="I352" s="196"/>
      <c r="J352" s="196"/>
    </row>
    <row r="353" s="202" customFormat="true" ht="15.75" hidden="false" customHeight="true" outlineLevel="0" collapsed="false">
      <c r="A353" s="97"/>
      <c r="B353" s="96"/>
      <c r="C353" s="96"/>
      <c r="D353" s="98"/>
      <c r="E353" s="97"/>
      <c r="F353" s="97"/>
      <c r="G353" s="97"/>
      <c r="H353" s="97"/>
      <c r="I353" s="97"/>
      <c r="J353" s="97"/>
    </row>
    <row r="354" s="96" customFormat="true" ht="15.75" hidden="false" customHeight="true" outlineLevel="0" collapsed="false">
      <c r="A354" s="191"/>
      <c r="D354" s="98"/>
      <c r="E354" s="97"/>
      <c r="F354" s="97"/>
      <c r="G354" s="97"/>
      <c r="H354" s="97"/>
      <c r="I354" s="191"/>
      <c r="J354" s="199"/>
    </row>
    <row r="355" s="96" customFormat="true" ht="15.75" hidden="false" customHeight="true" outlineLevel="0" collapsed="false">
      <c r="A355" s="190"/>
      <c r="B355" s="191"/>
      <c r="C355" s="191"/>
      <c r="D355" s="192"/>
      <c r="E355" s="191"/>
      <c r="F355" s="191"/>
      <c r="G355" s="191"/>
      <c r="H355" s="191"/>
      <c r="I355" s="189"/>
      <c r="J355" s="190"/>
    </row>
    <row r="356" s="96" customFormat="true" ht="15.75" hidden="false" customHeight="true" outlineLevel="0" collapsed="false">
      <c r="A356" s="200"/>
      <c r="B356" s="190"/>
      <c r="C356" s="191"/>
      <c r="D356" s="194"/>
      <c r="E356" s="190"/>
      <c r="F356" s="189"/>
      <c r="G356" s="190"/>
      <c r="H356" s="189"/>
      <c r="I356" s="196"/>
      <c r="J356" s="196"/>
    </row>
    <row r="357" s="96" customFormat="true" ht="15.75" hidden="false" customHeight="true" outlineLevel="0" collapsed="false">
      <c r="A357" s="200"/>
      <c r="C357" s="182"/>
      <c r="D357" s="98"/>
      <c r="E357" s="97"/>
      <c r="F357" s="97"/>
      <c r="G357" s="97"/>
      <c r="H357" s="182"/>
      <c r="I357" s="98"/>
      <c r="J357" s="98"/>
    </row>
    <row r="358" s="96" customFormat="true" ht="15.75" hidden="false" customHeight="true" outlineLevel="0" collapsed="false">
      <c r="A358" s="200"/>
      <c r="C358" s="98"/>
      <c r="D358" s="98"/>
      <c r="E358" s="97"/>
      <c r="F358" s="97"/>
      <c r="G358" s="97"/>
      <c r="H358" s="98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196"/>
      <c r="J359" s="196"/>
    </row>
    <row r="360" s="96" customFormat="true" ht="15.75" hidden="false" customHeight="true" outlineLevel="0" collapsed="false">
      <c r="A360" s="200"/>
      <c r="D360" s="98"/>
      <c r="E360" s="97"/>
      <c r="F360" s="97"/>
      <c r="G360" s="97"/>
      <c r="H360" s="97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C363" s="98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G372" s="97"/>
      <c r="H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182"/>
      <c r="I375" s="98"/>
      <c r="J375" s="98"/>
    </row>
    <row r="376" s="96" customFormat="true" ht="15.75" hidden="false" customHeight="true" outlineLevel="0" collapsed="false">
      <c r="A376" s="200"/>
      <c r="C376" s="188"/>
      <c r="D376" s="98"/>
      <c r="E376" s="97"/>
      <c r="F376" s="97"/>
      <c r="G376" s="97"/>
      <c r="H376" s="98"/>
      <c r="I376" s="98"/>
      <c r="J376" s="98"/>
    </row>
    <row r="377" s="96" customFormat="true" ht="15.75" hidden="false" customHeight="true" outlineLevel="0" collapsed="false">
      <c r="A377" s="200"/>
      <c r="D377" s="98"/>
      <c r="E377" s="97"/>
      <c r="F377" s="97"/>
      <c r="G377" s="97"/>
      <c r="H377" s="98"/>
      <c r="I377" s="196"/>
      <c r="J377" s="196"/>
    </row>
    <row r="378" s="96" customFormat="true" ht="15.75" hidden="false" customHeight="true" outlineLevel="0" collapsed="false">
      <c r="A378" s="200"/>
      <c r="C378" s="98"/>
      <c r="D378" s="98"/>
      <c r="E378" s="97"/>
      <c r="F378" s="97"/>
      <c r="G378" s="97"/>
      <c r="H378" s="182"/>
      <c r="I378" s="98"/>
      <c r="J378" s="98"/>
    </row>
    <row r="379" s="96" customFormat="true" ht="15.75" hidden="false" customHeight="true" outlineLevel="0" collapsed="false">
      <c r="A379" s="200"/>
      <c r="D379" s="98"/>
      <c r="E379" s="97"/>
      <c r="F379" s="97"/>
      <c r="G379" s="97"/>
      <c r="H379" s="98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196"/>
      <c r="J380" s="196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7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97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213"/>
      <c r="J387" s="213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213"/>
      <c r="I388" s="97"/>
      <c r="J388" s="97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97"/>
      <c r="I389" s="98"/>
      <c r="J389" s="98"/>
    </row>
    <row r="390" s="96" customFormat="true" ht="15.75" hidden="false" customHeight="true" outlineLevel="0" collapsed="false">
      <c r="A390" s="200"/>
      <c r="C390" s="188"/>
      <c r="D390" s="98"/>
      <c r="E390" s="97"/>
      <c r="F390" s="97"/>
      <c r="G390" s="97"/>
      <c r="H390" s="98"/>
      <c r="I390" s="196"/>
      <c r="J390" s="196"/>
    </row>
    <row r="391" s="96" customFormat="true" ht="15.75" hidden="false" customHeight="true" outlineLevel="0" collapsed="false">
      <c r="A391" s="200"/>
      <c r="D391" s="98"/>
      <c r="E391" s="97"/>
      <c r="F391" s="97"/>
      <c r="G391" s="97"/>
      <c r="H391" s="97"/>
      <c r="I391" s="97"/>
      <c r="J391" s="196"/>
    </row>
    <row r="392" s="96" customFormat="true" ht="15.75" hidden="false" customHeight="true" outlineLevel="0" collapsed="false">
      <c r="A392" s="200"/>
      <c r="C392" s="98"/>
      <c r="D392" s="98"/>
      <c r="E392" s="97"/>
      <c r="F392" s="97"/>
      <c r="G392" s="97"/>
      <c r="H392" s="97"/>
      <c r="I392" s="196"/>
      <c r="J392" s="196"/>
    </row>
    <row r="393" s="96" customFormat="true" ht="15.75" hidden="false" customHeight="true" outlineLevel="0" collapsed="false">
      <c r="A393" s="200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107"/>
      <c r="D395" s="98"/>
      <c r="E395" s="97"/>
      <c r="F395" s="97"/>
      <c r="G395" s="97"/>
      <c r="H395" s="97"/>
      <c r="I395" s="97"/>
      <c r="J395" s="97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202" customFormat="true" ht="15.75" hidden="false" customHeight="true" outlineLevel="0" collapsed="false">
      <c r="A403" s="107"/>
      <c r="B403" s="96"/>
      <c r="C403" s="96"/>
      <c r="D403" s="98"/>
      <c r="E403" s="97"/>
      <c r="F403" s="97"/>
      <c r="G403" s="97"/>
      <c r="H403" s="97"/>
      <c r="I403" s="97"/>
      <c r="J403" s="97"/>
    </row>
    <row r="404" s="96" customFormat="true" ht="15.75" hidden="false" customHeight="true" outlineLevel="0" collapsed="false">
      <c r="A404" s="191"/>
      <c r="D404" s="98"/>
      <c r="E404" s="97"/>
      <c r="F404" s="97"/>
      <c r="G404" s="97"/>
      <c r="H404" s="97"/>
      <c r="I404" s="191"/>
      <c r="J404" s="199"/>
    </row>
    <row r="405" s="96" customFormat="true" ht="15.75" hidden="false" customHeight="true" outlineLevel="0" collapsed="false">
      <c r="A405" s="191"/>
      <c r="B405" s="191"/>
      <c r="C405" s="191"/>
      <c r="D405" s="192"/>
      <c r="E405" s="191"/>
      <c r="F405" s="191"/>
      <c r="G405" s="191"/>
      <c r="H405" s="191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97"/>
      <c r="B418" s="191"/>
      <c r="C418" s="191"/>
      <c r="D418" s="192"/>
      <c r="E418" s="191"/>
      <c r="F418" s="191"/>
      <c r="G418" s="191"/>
      <c r="H418" s="191"/>
      <c r="I418" s="196"/>
      <c r="J418" s="196"/>
      <c r="K418" s="214"/>
    </row>
    <row r="419" s="96" customFormat="true" ht="15.75" hidden="false" customHeight="true" outlineLevel="0" collapsed="false">
      <c r="A419" s="97"/>
      <c r="D419" s="98"/>
      <c r="E419" s="97"/>
      <c r="F419" s="97"/>
      <c r="G419" s="97"/>
      <c r="H419" s="97"/>
      <c r="I419" s="196"/>
    </row>
    <row r="420" customFormat="false" ht="18" hidden="false" customHeight="true" outlineLevel="0" collapsed="false">
      <c r="A420" s="97"/>
      <c r="B420" s="96"/>
      <c r="C420" s="96"/>
      <c r="D420" s="98"/>
      <c r="E420" s="97"/>
      <c r="F420" s="97"/>
      <c r="G420" s="97"/>
      <c r="H420" s="97"/>
      <c r="I420" s="97"/>
      <c r="J420" s="92" t="str">
        <f aca="false">LEFT($J$111,13)&amp;"-04"</f>
        <v>FG-240-9P5L4R-04</v>
      </c>
      <c r="K420" s="78"/>
      <c r="L420" s="78"/>
      <c r="M420" s="79"/>
      <c r="N420" s="79"/>
    </row>
    <row r="421" customFormat="false" ht="12.75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215"/>
      <c r="K421" s="78"/>
      <c r="L421" s="78"/>
      <c r="M421" s="79"/>
      <c r="N421" s="79"/>
    </row>
    <row r="422" customFormat="false" ht="30" hidden="false" customHeight="true" outlineLevel="0" collapsed="false">
      <c r="B422" s="96"/>
      <c r="C422" s="96"/>
      <c r="D422" s="98"/>
      <c r="E422" s="97"/>
      <c r="F422" s="97"/>
      <c r="G422" s="97"/>
      <c r="H422" s="97"/>
      <c r="I422" s="76"/>
      <c r="J422" s="77" t="str">
        <f aca="false">J2</f>
        <v>HOMELIFE</v>
      </c>
      <c r="K422" s="83"/>
      <c r="L422" s="83"/>
      <c r="M422" s="79"/>
      <c r="N422" s="79"/>
    </row>
    <row r="423" customFormat="false" ht="24.75" hidden="false" customHeight="true" outlineLevel="0" collapsed="false">
      <c r="C423" s="75"/>
      <c r="D423" s="76"/>
      <c r="E423" s="76"/>
      <c r="F423" s="76"/>
      <c r="G423" s="76"/>
      <c r="H423" s="76"/>
      <c r="I423" s="82"/>
      <c r="J423" s="80" t="str">
        <f aca="false">J3</f>
        <v>Fabricators Guide</v>
      </c>
      <c r="K423" s="83"/>
      <c r="L423" s="83"/>
      <c r="M423" s="79"/>
      <c r="N423" s="79"/>
    </row>
    <row r="424" customFormat="false" ht="24.75" hidden="false" customHeight="true" outlineLevel="0" collapsed="false">
      <c r="C424" s="82"/>
      <c r="D424" s="82"/>
      <c r="E424" s="82"/>
      <c r="F424" s="82"/>
      <c r="G424" s="82"/>
      <c r="H424" s="82"/>
      <c r="I424" s="82"/>
      <c r="J424" s="80" t="str">
        <f aca="false">J4</f>
        <v>240 Series Bi Fold Door </v>
      </c>
      <c r="M424" s="87"/>
      <c r="N424" s="87"/>
    </row>
    <row r="425" s="96" customFormat="true" ht="15" hidden="false" customHeight="true" outlineLevel="0" collapsed="false">
      <c r="A425" s="84"/>
      <c r="B425" s="81"/>
      <c r="C425" s="82"/>
      <c r="D425" s="82"/>
      <c r="E425" s="82"/>
      <c r="F425" s="82"/>
      <c r="G425" s="82"/>
      <c r="H425" s="82"/>
      <c r="I425" s="84"/>
      <c r="J425" s="86"/>
      <c r="K425" s="87"/>
      <c r="L425" s="87"/>
      <c r="M425" s="87"/>
      <c r="N425" s="87"/>
    </row>
    <row r="426" s="96" customFormat="true" ht="24.75" hidden="false" customHeight="true" outlineLevel="0" collapsed="false">
      <c r="A426" s="88" t="s">
        <v>481</v>
      </c>
      <c r="B426" s="88"/>
      <c r="C426" s="88"/>
      <c r="D426" s="88"/>
      <c r="E426" s="88"/>
      <c r="F426" s="88"/>
      <c r="G426" s="88"/>
      <c r="H426" s="88"/>
      <c r="I426" s="88"/>
      <c r="J426" s="88"/>
      <c r="K426" s="87"/>
      <c r="L426" s="87"/>
      <c r="M426" s="87"/>
      <c r="N426" s="87"/>
    </row>
    <row r="427" s="96" customFormat="true" ht="15" hidden="false" customHeight="true" outlineLevel="0" collapsed="false">
      <c r="B427" s="268"/>
      <c r="C427" s="268"/>
      <c r="D427" s="268"/>
      <c r="E427" s="268"/>
      <c r="F427" s="268"/>
      <c r="G427" s="268"/>
      <c r="H427" s="268"/>
    </row>
    <row r="428" s="96" customFormat="true" ht="15" hidden="false" customHeight="true" outlineLevel="0" collapsed="false">
      <c r="A428" s="188"/>
      <c r="I428" s="191"/>
      <c r="J428" s="199"/>
    </row>
    <row r="429" s="96" customFormat="true" ht="15" hidden="false" customHeight="true" outlineLevel="0" collapsed="false">
      <c r="A429" s="97"/>
      <c r="B429" s="81"/>
      <c r="D429" s="98"/>
      <c r="E429" s="83"/>
      <c r="F429" s="81"/>
      <c r="H429" s="191"/>
      <c r="I429" s="191"/>
      <c r="J429" s="199"/>
    </row>
    <row r="430" s="96" customFormat="true" ht="15" hidden="false" customHeight="true" outlineLevel="0" collapsed="false">
      <c r="A430" s="97"/>
      <c r="D430" s="98"/>
      <c r="E430" s="83"/>
      <c r="F430" s="98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C432" s="98"/>
      <c r="D432" s="98"/>
      <c r="E432" s="97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83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81"/>
      <c r="C435" s="182"/>
      <c r="D435" s="98"/>
      <c r="E435" s="97"/>
      <c r="F435" s="216"/>
      <c r="H435" s="191"/>
      <c r="I435" s="191"/>
      <c r="J435" s="199"/>
    </row>
    <row r="436" s="96" customFormat="true" ht="15" hidden="false" customHeight="true" outlineLevel="0" collapsed="false">
      <c r="A436" s="99"/>
      <c r="B436" s="81"/>
      <c r="C436" s="98"/>
      <c r="D436" s="98"/>
      <c r="E436" s="97"/>
      <c r="F436" s="186"/>
      <c r="H436" s="191"/>
      <c r="I436" s="191"/>
      <c r="J436" s="199"/>
    </row>
    <row r="437" s="96" customFormat="true" ht="15" hidden="false" customHeight="true" outlineLevel="0" collapsed="false">
      <c r="B437" s="99"/>
      <c r="C437" s="98"/>
      <c r="D437" s="98"/>
      <c r="E437" s="97"/>
      <c r="F437" s="110"/>
      <c r="H437" s="191"/>
      <c r="I437" s="191"/>
      <c r="J437" s="199"/>
    </row>
    <row r="438" s="96" customFormat="true" ht="15" hidden="false" customHeight="true" outlineLevel="0" collapsed="false">
      <c r="A438" s="211" t="str">
        <f aca="false">A18</f>
        <v>240-9 Panel (5L4R)</v>
      </c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.75" hidden="false" customHeight="true" outlineLevel="0" collapsed="false">
      <c r="A439" s="90" t="str">
        <f aca="false">A19</f>
        <v>Outside Bi Fold Door </v>
      </c>
      <c r="C439" s="182"/>
      <c r="D439" s="98"/>
      <c r="E439" s="97"/>
      <c r="F439" s="186"/>
      <c r="H439" s="191"/>
      <c r="I439" s="191"/>
      <c r="J439" s="199"/>
    </row>
    <row r="440" s="96" customFormat="true" ht="15.75" hidden="false" customHeight="true" outlineLevel="0" collapsed="false">
      <c r="A440" s="81"/>
      <c r="C440" s="98"/>
      <c r="D440" s="98"/>
      <c r="E440" s="97"/>
      <c r="F440" s="78"/>
      <c r="H440" s="191"/>
      <c r="I440" s="191"/>
      <c r="J440" s="199"/>
    </row>
    <row r="441" s="96" customFormat="true" ht="15.75" hidden="false" customHeight="true" outlineLevel="0" collapsed="false">
      <c r="A441" s="191"/>
      <c r="C441" s="212"/>
      <c r="D441" s="98"/>
      <c r="E441" s="97"/>
      <c r="F441" s="97"/>
      <c r="H441" s="191"/>
      <c r="I441" s="191"/>
      <c r="J441" s="199"/>
    </row>
    <row r="442" s="96" customFormat="true" ht="15.75" hidden="false" customHeight="true" outlineLevel="0" collapsed="false">
      <c r="A442" s="190"/>
      <c r="C442" s="191"/>
      <c r="D442" s="192"/>
      <c r="E442" s="191"/>
      <c r="F442" s="191"/>
      <c r="H442" s="191"/>
      <c r="I442" s="191"/>
      <c r="J442" s="199"/>
    </row>
    <row r="443" s="96" customFormat="true" ht="34.5" hidden="false" customHeight="true" outlineLevel="0" collapsed="false">
      <c r="A443" s="97"/>
      <c r="C443" s="98"/>
      <c r="D443" s="194"/>
      <c r="E443" s="190"/>
      <c r="F443" s="189"/>
      <c r="H443" s="191"/>
      <c r="I443" s="196"/>
      <c r="J443" s="196"/>
    </row>
    <row r="444" customFormat="false" ht="15" hidden="false" customHeight="true" outlineLevel="0" collapsed="false">
      <c r="B444" s="211"/>
      <c r="C444" s="98"/>
      <c r="D444" s="98"/>
      <c r="E444" s="97"/>
      <c r="F444" s="98"/>
      <c r="G444" s="97"/>
      <c r="H444" s="97"/>
    </row>
    <row r="449" s="96" customFormat="true" ht="15.75" hidden="false" customHeight="true" outlineLevel="0" collapsed="false">
      <c r="A449" s="97"/>
      <c r="D449" s="73"/>
      <c r="I449" s="196"/>
      <c r="J449" s="196"/>
    </row>
    <row r="450" s="96" customFormat="true" ht="15.75" hidden="false" customHeight="true" outlineLevel="0" collapsed="false">
      <c r="A450" s="97"/>
      <c r="D450" s="98"/>
      <c r="E450" s="97"/>
      <c r="F450" s="98"/>
      <c r="G450" s="97"/>
      <c r="H450" s="97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C453" s="191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98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97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196"/>
      <c r="J456" s="196"/>
    </row>
    <row r="457" s="96" customFormat="true" ht="15.75" hidden="false" customHeight="true" outlineLevel="0" collapsed="false">
      <c r="A457" s="97"/>
      <c r="D457" s="98"/>
      <c r="E457" s="97"/>
      <c r="F457" s="97"/>
      <c r="G457" s="97"/>
      <c r="H457" s="97"/>
      <c r="I457" s="196"/>
      <c r="J457" s="196"/>
    </row>
    <row r="458" s="96" customFormat="true" ht="15" hidden="false" customHeight="true" outlineLevel="0" collapsed="false">
      <c r="A458" s="97"/>
      <c r="D458" s="98"/>
      <c r="E458" s="97"/>
      <c r="F458" s="97"/>
      <c r="G458" s="97"/>
      <c r="H458" s="195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97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202" customFormat="true" ht="15.75" hidden="false" customHeight="true" outlineLevel="0" collapsed="false">
      <c r="A476" s="97"/>
      <c r="B476" s="96"/>
      <c r="C476" s="96"/>
      <c r="D476" s="98"/>
      <c r="E476" s="97"/>
      <c r="F476" s="97"/>
      <c r="G476" s="97"/>
      <c r="H476" s="97"/>
      <c r="I476" s="97"/>
      <c r="J476" s="97"/>
    </row>
    <row r="477" s="96" customFormat="true" ht="15.75" hidden="false" customHeight="true" outlineLevel="0" collapsed="false">
      <c r="A477" s="191"/>
      <c r="D477" s="98"/>
      <c r="E477" s="97"/>
      <c r="F477" s="97"/>
      <c r="G477" s="97"/>
      <c r="H477" s="97"/>
      <c r="I477" s="191"/>
      <c r="J477" s="199"/>
    </row>
    <row r="478" s="96" customFormat="true" ht="15.75" hidden="false" customHeight="true" outlineLevel="0" collapsed="false">
      <c r="A478" s="190"/>
      <c r="B478" s="191"/>
      <c r="C478" s="191"/>
      <c r="D478" s="192"/>
      <c r="E478" s="191"/>
      <c r="F478" s="191"/>
      <c r="G478" s="191"/>
      <c r="H478" s="191"/>
      <c r="I478" s="189"/>
      <c r="J478" s="190"/>
    </row>
    <row r="479" s="96" customFormat="true" ht="15.75" hidden="false" customHeight="true" outlineLevel="0" collapsed="false">
      <c r="A479" s="200"/>
      <c r="B479" s="190"/>
      <c r="C479" s="191"/>
      <c r="D479" s="194"/>
      <c r="E479" s="190"/>
      <c r="F479" s="189"/>
      <c r="G479" s="190"/>
      <c r="H479" s="189"/>
      <c r="I479" s="196"/>
      <c r="J479" s="196"/>
    </row>
    <row r="480" s="96" customFormat="true" ht="15.75" hidden="false" customHeight="true" outlineLevel="0" collapsed="false">
      <c r="A480" s="200"/>
      <c r="C480" s="182"/>
      <c r="D480" s="98"/>
      <c r="E480" s="97"/>
      <c r="F480" s="97"/>
      <c r="G480" s="97"/>
      <c r="H480" s="182"/>
      <c r="J480" s="97"/>
    </row>
    <row r="481" s="96" customFormat="true" ht="15.75" hidden="false" customHeight="true" outlineLevel="0" collapsed="false">
      <c r="A481" s="200"/>
      <c r="C481" s="98"/>
      <c r="D481" s="98"/>
      <c r="E481" s="97"/>
      <c r="F481" s="97"/>
      <c r="G481" s="97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I482" s="196"/>
      <c r="J482" s="196"/>
    </row>
    <row r="483" s="96" customFormat="true" ht="15.75" hidden="false" customHeight="true" outlineLevel="0" collapsed="false">
      <c r="A483" s="200"/>
      <c r="D483" s="98"/>
      <c r="E483" s="97"/>
      <c r="F483" s="97"/>
      <c r="G483" s="97"/>
      <c r="H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C486" s="98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G495" s="97"/>
      <c r="H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182"/>
      <c r="J498" s="97"/>
    </row>
    <row r="499" s="96" customFormat="true" ht="15.75" hidden="false" customHeight="true" outlineLevel="0" collapsed="false">
      <c r="A499" s="200"/>
      <c r="C499" s="188"/>
      <c r="D499" s="98"/>
      <c r="E499" s="97"/>
      <c r="F499" s="97"/>
      <c r="G499" s="97"/>
      <c r="J499" s="97"/>
    </row>
    <row r="500" s="96" customFormat="true" ht="15.75" hidden="false" customHeight="true" outlineLevel="0" collapsed="false">
      <c r="A500" s="200"/>
      <c r="D500" s="98"/>
      <c r="E500" s="97"/>
      <c r="F500" s="97"/>
      <c r="G500" s="97"/>
      <c r="I500" s="196"/>
      <c r="J500" s="196"/>
    </row>
    <row r="501" s="96" customFormat="true" ht="15.75" hidden="false" customHeight="true" outlineLevel="0" collapsed="false">
      <c r="A501" s="200"/>
      <c r="C501" s="98"/>
      <c r="D501" s="98"/>
      <c r="E501" s="97"/>
      <c r="F501" s="97"/>
      <c r="G501" s="97"/>
      <c r="H501" s="182"/>
      <c r="J501" s="97"/>
    </row>
    <row r="502" s="96" customFormat="true" ht="15.75" hidden="false" customHeight="true" outlineLevel="0" collapsed="false">
      <c r="A502" s="200"/>
      <c r="D502" s="98"/>
      <c r="E502" s="97"/>
      <c r="F502" s="97"/>
      <c r="G502" s="97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I503" s="196"/>
      <c r="J503" s="196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H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97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238"/>
      <c r="J512" s="97"/>
    </row>
    <row r="513" s="96" customFormat="true" ht="15.75" hidden="false" customHeight="true" outlineLevel="0" collapsed="false">
      <c r="A513" s="191"/>
      <c r="B513" s="191"/>
      <c r="C513" s="191"/>
      <c r="D513" s="192"/>
      <c r="E513" s="191"/>
      <c r="F513" s="191"/>
      <c r="G513" s="191"/>
      <c r="H513" s="191"/>
      <c r="I513" s="191"/>
      <c r="J513" s="199"/>
    </row>
    <row r="514" s="96" customFormat="true" ht="15.75" hidden="false" customHeight="true" outlineLevel="0" collapsed="false">
      <c r="A514" s="191"/>
      <c r="B514" s="191"/>
      <c r="C514" s="191"/>
      <c r="D514" s="192"/>
      <c r="E514" s="191"/>
      <c r="F514" s="191"/>
      <c r="G514" s="191"/>
      <c r="H514" s="191"/>
      <c r="I514" s="191"/>
      <c r="J514" s="199"/>
    </row>
    <row r="515" s="96" customFormat="true" ht="15.75" hidden="false" customHeight="true" outlineLevel="0" collapsed="false">
      <c r="B515" s="191"/>
      <c r="C515" s="191"/>
      <c r="D515" s="192"/>
      <c r="E515" s="191"/>
      <c r="F515" s="191"/>
      <c r="G515" s="191"/>
      <c r="H515" s="191"/>
    </row>
    <row r="516" s="96" customFormat="true" ht="15.75" hidden="false" customHeight="true" outlineLevel="0" collapsed="false"/>
    <row r="517" s="96" customFormat="true" ht="24.75" hidden="false" customHeight="true" outlineLevel="0" collapsed="false">
      <c r="A517" s="88" t="s">
        <v>482</v>
      </c>
      <c r="B517" s="88"/>
      <c r="C517" s="88"/>
      <c r="D517" s="88"/>
      <c r="E517" s="88"/>
      <c r="F517" s="88"/>
      <c r="G517" s="88"/>
      <c r="H517" s="88"/>
      <c r="I517" s="88"/>
      <c r="J517" s="88"/>
    </row>
    <row r="518" s="96" customFormat="true" ht="34.5" hidden="false" customHeight="true" outlineLevel="0" collapsed="false">
      <c r="A518" s="322" t="s">
        <v>319</v>
      </c>
      <c r="B518" s="323" t="s">
        <v>168</v>
      </c>
      <c r="C518" s="115" t="s">
        <v>168</v>
      </c>
      <c r="D518" s="116" t="s">
        <v>483</v>
      </c>
      <c r="E518" s="115" t="s">
        <v>321</v>
      </c>
      <c r="F518" s="239" t="s">
        <v>484</v>
      </c>
      <c r="G518" s="240"/>
      <c r="H518" s="116" t="s">
        <v>484</v>
      </c>
      <c r="I518" s="116" t="s">
        <v>485</v>
      </c>
      <c r="J518" s="117" t="s">
        <v>323</v>
      </c>
      <c r="N518" s="118" t="s">
        <v>168</v>
      </c>
      <c r="O518" s="118" t="s">
        <v>168</v>
      </c>
    </row>
    <row r="519" s="96" customFormat="true" ht="15.75" hidden="false" customHeight="true" outlineLevel="0" collapsed="false">
      <c r="A519" s="324" t="n">
        <f aca="false">IF(C519="","",1)</f>
        <v>1</v>
      </c>
      <c r="B519" s="121" t="str">
        <f aca="false">IF($D$127=5,N519,IF($D$127=6,N520,IF($D$127=8,N521,IF($D$127=10,N522,IF($D$127=12,N523,IF($D$127=14,N524,IF($D$127=18,N525,IF($D$127=20,N526,IF($D$127=22,N527,)))))))))</f>
        <v>กระจก 8 mm (สูง) (กว้าง)</v>
      </c>
      <c r="C519" s="121" t="str">
        <f aca="false">IF($D$127=5,O519,IF($D$127=6,O520,IF($D$127=8,O521,IF($D$127=10,O522,IF($D$127=12,O523,IF($D$127=14,O524,IF($D$127=18,O525,IF($D$127=20,O526,IF($D$127=22,O527,)))))))))</f>
        <v>GLASS thk.8 mm (H) (W)</v>
      </c>
      <c r="D519" s="123" t="n">
        <f aca="false">$J$123-215</f>
        <v>2285</v>
      </c>
      <c r="E519" s="120" t="s">
        <v>486</v>
      </c>
      <c r="F519" s="224" t="s">
        <v>487</v>
      </c>
      <c r="G519" s="224"/>
      <c r="H519" s="120" t="s">
        <v>765</v>
      </c>
      <c r="I519" s="225" t="n">
        <f aca="false">(($J$126-185-(113.25*8))/9)-13</f>
        <v>421.333333333333</v>
      </c>
      <c r="J519" s="232" t="n">
        <f aca="false">$J$120*9</f>
        <v>9</v>
      </c>
      <c r="N519" s="62" t="s">
        <v>489</v>
      </c>
      <c r="O519" s="62" t="s">
        <v>490</v>
      </c>
    </row>
    <row r="520" s="96" customFormat="true" ht="15.75" hidden="false" customHeight="true" outlineLevel="0" collapsed="false">
      <c r="A520" s="227"/>
      <c r="B520" s="131"/>
      <c r="C520" s="131"/>
      <c r="D520" s="132" t="s">
        <v>208</v>
      </c>
      <c r="E520" s="130"/>
      <c r="F520" s="233"/>
      <c r="G520" s="234"/>
      <c r="H520" s="131"/>
      <c r="I520" s="133"/>
      <c r="J520" s="235"/>
      <c r="N520" s="62" t="s">
        <v>491</v>
      </c>
      <c r="O520" s="62" t="s">
        <v>492</v>
      </c>
    </row>
    <row r="521" s="96" customFormat="true" ht="15.75" hidden="false" customHeight="true" outlineLevel="0" collapsed="false">
      <c r="A521" s="227"/>
      <c r="B521" s="131"/>
      <c r="C521" s="131"/>
      <c r="D521" s="132"/>
      <c r="E521" s="130"/>
      <c r="F521" s="233"/>
      <c r="G521" s="234"/>
      <c r="H521" s="130"/>
      <c r="I521" s="133"/>
      <c r="J521" s="235"/>
      <c r="N521" s="62" t="s">
        <v>493</v>
      </c>
      <c r="O521" s="62" t="s">
        <v>494</v>
      </c>
    </row>
    <row r="522" s="96" customFormat="true" ht="15.75" hidden="false" customHeight="true" outlineLevel="0" collapsed="false">
      <c r="A522" s="130" t="str">
        <f aca="false">IF(B522="","",+A520+1)</f>
        <v/>
      </c>
      <c r="B522" s="131"/>
      <c r="C522" s="131"/>
      <c r="D522" s="132"/>
      <c r="E522" s="130"/>
      <c r="F522" s="233"/>
      <c r="G522" s="270"/>
      <c r="H522" s="130"/>
      <c r="I522" s="142"/>
      <c r="J522" s="133"/>
      <c r="N522" s="62" t="s">
        <v>495</v>
      </c>
      <c r="O522" s="62" t="s">
        <v>496</v>
      </c>
    </row>
    <row r="523" s="96" customFormat="true" ht="15.75" hidden="false" customHeight="true" outlineLevel="0" collapsed="false">
      <c r="A523" s="136" t="str">
        <f aca="false">IF(B523="","",+A522+1)</f>
        <v/>
      </c>
      <c r="B523" s="135"/>
      <c r="C523" s="135"/>
      <c r="D523" s="139"/>
      <c r="E523" s="136"/>
      <c r="F523" s="236"/>
      <c r="G523" s="237"/>
      <c r="H523" s="136"/>
      <c r="I523" s="180"/>
      <c r="J523" s="140"/>
      <c r="N523" s="62" t="s">
        <v>497</v>
      </c>
      <c r="O523" s="62" t="s">
        <v>498</v>
      </c>
    </row>
    <row r="524" s="96" customFormat="true" ht="15.75" hidden="false" customHeight="true" outlineLevel="0" collapsed="false">
      <c r="A524" s="97"/>
      <c r="D524" s="98"/>
      <c r="E524" s="97"/>
      <c r="F524" s="97"/>
      <c r="G524" s="97"/>
      <c r="H524" s="97"/>
      <c r="I524" s="97"/>
      <c r="J524" s="196"/>
      <c r="N524" s="62" t="s">
        <v>499</v>
      </c>
      <c r="O524" s="62" t="s">
        <v>500</v>
      </c>
    </row>
    <row r="525" customFormat="false" ht="14.25" hidden="false" customHeight="false" outlineLevel="0" collapsed="false">
      <c r="J525" s="92" t="str">
        <f aca="false">LEFT($J$111,13)&amp;"-05"</f>
        <v>FG-240-9P5L4R-05</v>
      </c>
      <c r="N525" s="62" t="s">
        <v>501</v>
      </c>
      <c r="O525" s="62" t="s">
        <v>502</v>
      </c>
    </row>
    <row r="526" customFormat="false" ht="14.25" hidden="false" customHeight="false" outlineLevel="0" collapsed="false">
      <c r="N526" s="62" t="s">
        <v>503</v>
      </c>
      <c r="O526" s="62" t="s">
        <v>504</v>
      </c>
    </row>
    <row r="527" customFormat="false" ht="14.25" hidden="false" customHeight="false" outlineLevel="0" collapsed="false">
      <c r="N527" s="62" t="s">
        <v>505</v>
      </c>
      <c r="O527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2:J152"/>
    <mergeCell ref="I153:J153"/>
    <mergeCell ref="I154:J154"/>
    <mergeCell ref="I155:J155"/>
    <mergeCell ref="I156:J156"/>
    <mergeCell ref="D157:D158"/>
    <mergeCell ref="H157:H158"/>
    <mergeCell ref="I157:J158"/>
    <mergeCell ref="D159:D160"/>
    <mergeCell ref="H159:H160"/>
    <mergeCell ref="I159:J159"/>
    <mergeCell ref="I160:J163"/>
    <mergeCell ref="D161:D166"/>
    <mergeCell ref="H161:H166"/>
    <mergeCell ref="I164:J165"/>
    <mergeCell ref="I166:J166"/>
    <mergeCell ref="D167:D168"/>
    <mergeCell ref="H167:H168"/>
    <mergeCell ref="D169:D170"/>
    <mergeCell ref="H169:H170"/>
    <mergeCell ref="A171:J171"/>
    <mergeCell ref="A212:J212"/>
    <mergeCell ref="C308:E308"/>
    <mergeCell ref="A319:J319"/>
    <mergeCell ref="F329:G329"/>
    <mergeCell ref="F330:G330"/>
    <mergeCell ref="F333:G333"/>
    <mergeCell ref="A426:J426"/>
    <mergeCell ref="A517:J517"/>
    <mergeCell ref="F519:G519"/>
  </mergeCells>
  <dataValidations count="4">
    <dataValidation allowBlank="true" errorStyle="stop" operator="between" showDropDown="false" showErrorMessage="true" showInputMessage="true" sqref="C205" type="list">
      <formula1>$O$173:$O$191</formula1>
      <formula2>0</formula2>
    </dataValidation>
    <dataValidation allowBlank="true" errorStyle="stop" operator="between" showDropDown="false" showErrorMessage="true" showInputMessage="true" sqref="D123:G123" type="list">
      <formula1>$P$118:$P$127</formula1>
      <formula2>0</formula2>
    </dataValidation>
    <dataValidation allowBlank="true" errorStyle="stop" operator="between" showDropDown="false" showErrorMessage="true" showInputMessage="true" sqref="D127:G127" type="list">
      <formula1>$N$119:$N$127</formula1>
      <formula2>0</formula2>
    </dataValidation>
    <dataValidation allowBlank="true" errorStyle="stop" operator="between" showDropDown="false" showErrorMessage="true" showInputMessage="true" sqref="D129:G129" type="list">
      <formula1>$O$119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6" man="true" max="16383" min="0"/>
    <brk id="313" man="true" max="16383" min="0"/>
    <brk id="420" man="true" max="16383" min="0"/>
  </rowBreaks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Y528"/>
  <sheetViews>
    <sheetView showFormulas="false" showGridLines="false" showRowColHeaders="true" showZeros="true" rightToLeft="false" tabSelected="false" showOutlineSymbols="true" defaultGridColor="true" view="pageBreakPreview" topLeftCell="A118" colorId="64" zoomScale="75" zoomScaleNormal="75" zoomScalePageLayoutView="75" workbookViewId="0">
      <selection pane="topLeft" activeCell="I135" activeCellId="0" sqref="I135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61.11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3.33"/>
    <col collapsed="false" customWidth="true" hidden="false" outlineLevel="0" max="9" min="9" style="0" width="15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19.88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775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>
      <c r="G55" s="91"/>
    </row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776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8" hidden="false" customHeight="true" outlineLevel="0" collapsed="false">
      <c r="A118" s="97"/>
      <c r="C118" s="81"/>
      <c r="D118" s="98"/>
      <c r="E118" s="83"/>
      <c r="J118" s="99"/>
      <c r="K118" s="83"/>
      <c r="N118" s="258" t="s">
        <v>288</v>
      </c>
      <c r="O118" s="97" t="s">
        <v>289</v>
      </c>
      <c r="P118" s="102" t="s">
        <v>290</v>
      </c>
    </row>
    <row r="119" s="96" customFormat="true" ht="15" hidden="false" customHeight="true" outlineLevel="0" collapsed="false">
      <c r="A119" s="97"/>
      <c r="C119" s="100" t="s">
        <v>286</v>
      </c>
      <c r="D119" s="101"/>
      <c r="E119" s="101"/>
      <c r="F119" s="101"/>
      <c r="G119" s="101"/>
      <c r="I119" s="83"/>
      <c r="J119" s="97"/>
      <c r="N119" s="259" t="n">
        <v>5</v>
      </c>
      <c r="O119" s="97" t="s">
        <v>509</v>
      </c>
      <c r="P119" s="106" t="s">
        <v>294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6</v>
      </c>
      <c r="O120" s="97" t="s">
        <v>296</v>
      </c>
      <c r="P120" s="106" t="s">
        <v>297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8</v>
      </c>
      <c r="P121" s="106" t="s">
        <v>299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10</v>
      </c>
      <c r="P122" s="106" t="s">
        <v>303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2500</v>
      </c>
      <c r="N123" s="259" t="n">
        <v>12</v>
      </c>
      <c r="P123" s="106" t="s">
        <v>305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14</v>
      </c>
      <c r="P124" s="106" t="s">
        <v>308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18</v>
      </c>
      <c r="P125" s="106" t="s">
        <v>311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2000</v>
      </c>
      <c r="K126" s="110"/>
      <c r="L126" s="110"/>
      <c r="N126" s="259" t="n">
        <v>20</v>
      </c>
      <c r="P126" s="106" t="s">
        <v>313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8</v>
      </c>
      <c r="E127" s="111"/>
      <c r="F127" s="111"/>
      <c r="G127" s="111"/>
      <c r="H127" s="104"/>
      <c r="I127" s="104"/>
      <c r="J127" s="105"/>
      <c r="N127" s="259" t="n">
        <v>22</v>
      </c>
      <c r="P127" s="106" t="s">
        <v>315</v>
      </c>
    </row>
    <row r="128" s="96" customFormat="true" ht="18.75" hidden="false" customHeight="true" outlineLevel="0" collapsed="false">
      <c r="C128" s="108" t="s">
        <v>314</v>
      </c>
      <c r="I128" s="97"/>
      <c r="J128" s="97"/>
    </row>
    <row r="129" s="96" customFormat="true" ht="15" hidden="false" customHeight="true" outlineLevel="0" collapsed="false">
      <c r="A129" s="89" t="str">
        <f aca="false">A18</f>
        <v>240-9 Panel (6L3R)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1940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18</v>
      </c>
      <c r="U133" s="127" t="s">
        <v>760</v>
      </c>
      <c r="V133" s="128" t="n">
        <f aca="false">($J$126-185-(113.25*8))/9</f>
        <v>101</v>
      </c>
      <c r="W133" s="129" t="n">
        <f aca="false">$J$120*T133</f>
        <v>18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1914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18</v>
      </c>
      <c r="U134" s="130" t="s">
        <v>760</v>
      </c>
      <c r="V134" s="142" t="n">
        <f aca="false">($J$126-185-(113.25*8))/9</f>
        <v>101</v>
      </c>
      <c r="W134" s="134" t="n">
        <f aca="false">$J$120*T134</f>
        <v>18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1940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18</v>
      </c>
      <c r="U135" s="136" t="s">
        <v>760</v>
      </c>
      <c r="V135" s="180" t="n">
        <f aca="false">($J$126-185-(113.25*8))/9</f>
        <v>101</v>
      </c>
      <c r="W135" s="137" t="n">
        <f aca="false">$J$120*T135</f>
        <v>18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1940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18</v>
      </c>
      <c r="U136" s="127" t="s">
        <v>360</v>
      </c>
      <c r="V136" s="138" t="n">
        <f aca="false">$J$123-242</f>
        <v>2258</v>
      </c>
      <c r="W136" s="129" t="n">
        <f aca="false">$J$120*T136</f>
        <v>18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2500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18</v>
      </c>
      <c r="U137" s="130" t="s">
        <v>360</v>
      </c>
      <c r="V137" s="133" t="n">
        <f aca="false">$J$123-242</f>
        <v>2258</v>
      </c>
      <c r="W137" s="134" t="n">
        <f aca="false">$J$120*T137</f>
        <v>18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2500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18</v>
      </c>
      <c r="U138" s="136" t="s">
        <v>360</v>
      </c>
      <c r="V138" s="140" t="n">
        <f aca="false">$J$123-242</f>
        <v>2258</v>
      </c>
      <c r="W138" s="137" t="n">
        <f aca="false">$J$120*T138</f>
        <v>18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2404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2404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9</v>
      </c>
      <c r="H141" s="321" t="s">
        <v>761</v>
      </c>
      <c r="I141" s="141" t="n">
        <f aca="false">($J$126-60-(9+1)*4)/9</f>
        <v>211.111111111111</v>
      </c>
      <c r="J141" s="134" t="n">
        <f aca="false">$J$120*G141</f>
        <v>9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9</v>
      </c>
      <c r="H142" s="130" t="s">
        <v>761</v>
      </c>
      <c r="I142" s="141" t="n">
        <f aca="false">($J$126-60-(9+1)*4)/9</f>
        <v>211.111111111111</v>
      </c>
      <c r="J142" s="134" t="n">
        <f aca="false">$J$120*G142</f>
        <v>9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13</v>
      </c>
      <c r="H143" s="130" t="s">
        <v>389</v>
      </c>
      <c r="I143" s="133" t="n">
        <f aca="false">$J$123-92</f>
        <v>2408</v>
      </c>
      <c r="J143" s="134" t="n">
        <f aca="false">$J$120*G143</f>
        <v>13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1</v>
      </c>
      <c r="H144" s="130" t="s">
        <v>389</v>
      </c>
      <c r="I144" s="133" t="n">
        <f aca="false">$J$123-92</f>
        <v>2408</v>
      </c>
      <c r="J144" s="134" t="n">
        <f aca="false">$J$120*G144</f>
        <v>1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390</v>
      </c>
      <c r="C145" s="131" t="s">
        <v>656</v>
      </c>
      <c r="D145" s="132" t="s">
        <v>74</v>
      </c>
      <c r="E145" s="130" t="n">
        <v>1.106</v>
      </c>
      <c r="F145" s="132" t="s">
        <v>563</v>
      </c>
      <c r="G145" s="130" t="n">
        <v>3</v>
      </c>
      <c r="H145" s="130" t="s">
        <v>389</v>
      </c>
      <c r="I145" s="133" t="n">
        <f aca="false">$J$123-92</f>
        <v>2408</v>
      </c>
      <c r="J145" s="134" t="n">
        <f aca="false">$J$120*G145</f>
        <v>3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">
        <v>531</v>
      </c>
      <c r="C146" s="131" t="s">
        <v>532</v>
      </c>
      <c r="D146" s="132" t="s">
        <v>74</v>
      </c>
      <c r="E146" s="130" t="n">
        <v>1.106</v>
      </c>
      <c r="F146" s="132" t="s">
        <v>564</v>
      </c>
      <c r="G146" s="130" t="n">
        <v>1</v>
      </c>
      <c r="H146" s="130" t="s">
        <v>389</v>
      </c>
      <c r="I146" s="133" t="n">
        <f aca="false">$J$123-92</f>
        <v>2408</v>
      </c>
      <c r="J146" s="134" t="n">
        <f aca="false">$J$120*G146</f>
        <v>1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IF($D$127=5,O133,IF($D$127=6,O133,IF($D$127=8,O134,IF($D$127=10,O134,IF($D$127=12,O134,IF($D$127=14,O135,IF($D$127=18,O135,IF($D$127=20,O135,IF($D$127=22,O135,)))))))))</f>
        <v>8-12mm คิ้วตบกระจกแนวนอน</v>
      </c>
      <c r="C147" s="131" t="str">
        <f aca="false">IF($D$127=5,P133,IF($D$127=6,P133,IF($D$127=8,P134,IF($D$127=10,P134,IF($D$127=12,P134,IF($D$127=14,P135,IF($D$127=18,P135,IF($D$127=20,P135,IF($D$127=22,P135,)))))))))</f>
        <v>8-12mm GLAZING BEAD HORIZONTAL</v>
      </c>
      <c r="D147" s="131" t="str">
        <f aca="false">IF($D$127=5,Q133,IF($D$127=6,Q133,IF($D$127=8,Q134,IF($D$127=10,Q134,IF($D$127=12,Q134,IF($D$127=14,Q135,IF($D$127=18,Q135,IF($D$127=20,Q135,IF($D$127=22,Q135,)))))))))</f>
        <v>B24016</v>
      </c>
      <c r="E147" s="131" t="n">
        <f aca="false">IF($D$127=5,R133,IF($D$127=6,R133,IF($D$127=8,R134,IF($D$127=10,R134,IF($D$127=12,R134,IF($D$127=14,R135,IF($D$127=18,R135,IF($D$127=20,R135,IF($D$127=22,R135,)))))))))</f>
        <v>0.215</v>
      </c>
      <c r="F147" s="131" t="str">
        <f aca="false">IF($D$127=5,S133,IF($D$127=6,S133,IF($D$127=8,S134,IF($D$127=10,S134,IF($D$127=12,S134,IF($D$127=14,S135,IF($D$127=18,S135,IF($D$127=20,S135,IF($D$127=22,S135,)))))))))</f>
        <v>B24016-001</v>
      </c>
      <c r="G147" s="130" t="n">
        <f aca="false">IF($D$127=5,T133,IF($D$127=6,T133,IF($D$127=8,T134,IF($D$127=10,T134,IF($D$127=12,T134,IF($D$127=14,T135,IF($D$127=18,T135,IF($D$127=20,T135,IF($D$127=22,T135,)))))))))</f>
        <v>18</v>
      </c>
      <c r="H147" s="130" t="str">
        <f aca="false">IF($D$127=5,U133,IF($D$127=6,U133,IF($D$127=8,U134,IF($D$127=10,U134,IF($D$127=12,U134,IF($D$127=14,U135,IF($D$127=18,U135,IF($D$127=20,U135,IF($D$127=22,U135,)))))))))</f>
        <v>(W-185-(113.25 × 8))/9</v>
      </c>
      <c r="I147" s="141" t="n">
        <f aca="false">IF($D$127=5,V133,IF($D$127=6,V133,IF($D$127=8,V134,IF($D$127=10,V134,IF($D$127=12,V134,IF($D$127=14,V135,IF($D$127=18,V135,IF($D$127=20,V135,IF($D$127=22,V135,)))))))))</f>
        <v>101</v>
      </c>
      <c r="J147" s="134" t="n">
        <f aca="false">$J$120*G147</f>
        <v>18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tr">
        <f aca="false">IF($D$127=5,O136,IF($D$127=6,O136,IF($D$127=8,O137,IF($D$127=10,O137,IF($D$127=12,O137,IF($D$127=14,O138,IF($D$127=18,O138,IF($D$127=20,O138,IF($D$127=22,O138,)))))))))</f>
        <v>8-12mm คิ้วตบกระจกแนวตั้ง</v>
      </c>
      <c r="C148" s="131" t="str">
        <f aca="false">IF($D$127=5,P136,IF($D$127=6,P136,IF($D$127=8,P137,IF($D$127=10,P137,IF($D$127=12,P137,IF($D$127=14,P138,IF($D$127=18,P138,IF($D$127=20,P138,IF($D$127=22,P138,)))))))))</f>
        <v>8-12mm GLAZING BEAD VERTICAL</v>
      </c>
      <c r="D148" s="131" t="str">
        <f aca="false">IF($D$127=5,Q136,IF($D$127=6,Q136,IF($D$127=8,Q137,IF($D$127=10,Q137,IF($D$127=12,Q137,IF($D$127=14,Q138,IF($D$127=18,Q138,IF($D$127=20,Q138,IF($D$127=22,Q138,)))))))))</f>
        <v>B24016</v>
      </c>
      <c r="E148" s="131" t="n">
        <f aca="false">IF($D$127=5,R136,IF($D$127=6,R136,IF($D$127=8,R137,IF($D$127=10,R137,IF($D$127=12,R137,IF($D$127=14,R138,IF($D$127=18,R138,IF($D$127=20,R138,IF($D$127=22,R138,)))))))))</f>
        <v>0.215</v>
      </c>
      <c r="F148" s="131" t="str">
        <f aca="false">IF($D$127=5,S136,IF($D$127=6,S136,IF($D$127=8,S137,IF($D$127=10,S137,IF($D$127=12,S137,IF($D$127=14,S138,IF($D$127=18,S138,IF($D$127=20,S138,IF($D$127=22,S138,)))))))))</f>
        <v>B24016-002</v>
      </c>
      <c r="G148" s="130" t="n">
        <f aca="false">IF($D$127=5,T136,IF($D$127=6,T136,IF($D$127=8,T137,IF($D$127=10,T137,IF($D$127=12,T137,IF($D$127=14,T138,IF($D$127=18,T138,IF($D$127=20,T138,IF($D$127=22,T138,)))))))))</f>
        <v>18</v>
      </c>
      <c r="H148" s="130" t="str">
        <f aca="false">IF($D$127=5,U136,IF($D$127=6,U136,IF($D$127=8,U137,IF($D$127=10,U137,IF($D$127=12,U137,IF($D$127=14,U138,IF($D$127=18,U138,IF($D$127=20,U138,IF($D$127=22,U138,)))))))))</f>
        <v>H-242</v>
      </c>
      <c r="I148" s="133" t="n">
        <f aca="false">IF($D$127=5,V136,IF($D$127=6,V136,IF($D$127=8,V137,IF($D$127=10,V137,IF($D$127=12,V137,IF($D$127=14,V138,IF($D$127=18,V138,IF($D$127=20,V138,IF($D$127=22,V138,)))))))))</f>
        <v>2258</v>
      </c>
      <c r="J148" s="134" t="n">
        <f aca="false">$J$120*G148</f>
        <v>18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535</v>
      </c>
      <c r="D149" s="132" t="s">
        <v>536</v>
      </c>
      <c r="E149" s="130"/>
      <c r="F149" s="132" t="s">
        <v>537</v>
      </c>
      <c r="G149" s="130" t="n">
        <v>1</v>
      </c>
      <c r="H149" s="130" t="s">
        <v>389</v>
      </c>
      <c r="I149" s="133" t="n">
        <f aca="false">$J$123-92</f>
        <v>2408</v>
      </c>
      <c r="J149" s="134" t="n">
        <f aca="false">$J$120*G149</f>
        <v>1</v>
      </c>
    </row>
    <row r="150" s="96" customFormat="true" ht="18" hidden="false" customHeight="true" outlineLevel="0" collapsed="false">
      <c r="A150" s="130" t="n">
        <f aca="false">IF(B150="","",+A149+1)</f>
        <v>18</v>
      </c>
      <c r="B150" s="131" t="s">
        <v>534</v>
      </c>
      <c r="C150" s="131" t="s">
        <v>535</v>
      </c>
      <c r="D150" s="132" t="s">
        <v>536</v>
      </c>
      <c r="E150" s="130"/>
      <c r="F150" s="132" t="s">
        <v>539</v>
      </c>
      <c r="G150" s="130" t="n">
        <v>1</v>
      </c>
      <c r="H150" s="130" t="s">
        <v>389</v>
      </c>
      <c r="I150" s="133" t="n">
        <f aca="false">$J$123-92</f>
        <v>2408</v>
      </c>
      <c r="J150" s="134" t="n">
        <f aca="false">$J$120*G150</f>
        <v>1</v>
      </c>
    </row>
    <row r="151" s="96" customFormat="true" ht="18" hidden="false" customHeight="true" outlineLevel="0" collapsed="false">
      <c r="A151" s="130" t="str">
        <f aca="false">IF(B151="","",+A140+1)</f>
        <v/>
      </c>
      <c r="B151" s="143"/>
      <c r="C151" s="143"/>
      <c r="D151" s="144"/>
      <c r="E151" s="145"/>
      <c r="F151" s="144"/>
      <c r="G151" s="145"/>
      <c r="H151" s="145"/>
      <c r="I151" s="146"/>
      <c r="J151" s="147" t="n">
        <f aca="false">$J$120*G151</f>
        <v>0</v>
      </c>
    </row>
    <row r="152" s="96" customFormat="true" ht="27" hidden="false" customHeight="true" outlineLevel="1" collapsed="false">
      <c r="A152" s="148" t="s">
        <v>319</v>
      </c>
      <c r="B152" s="148" t="s">
        <v>320</v>
      </c>
      <c r="C152" s="148" t="s">
        <v>168</v>
      </c>
      <c r="D152" s="148" t="s">
        <v>166</v>
      </c>
      <c r="E152" s="148" t="s">
        <v>321</v>
      </c>
      <c r="F152" s="149" t="s">
        <v>393</v>
      </c>
      <c r="G152" s="148" t="s">
        <v>394</v>
      </c>
      <c r="H152" s="150" t="s">
        <v>395</v>
      </c>
      <c r="I152" s="151"/>
      <c r="J152" s="151"/>
    </row>
    <row r="153" s="96" customFormat="true" ht="15" hidden="false" customHeight="true" outlineLevel="1" collapsed="false">
      <c r="A153" s="152" t="n">
        <f aca="false">IF(B153="","",1)</f>
        <v>1</v>
      </c>
      <c r="B153" s="153" t="str">
        <f aca="false">B133</f>
        <v>เฟรมบน</v>
      </c>
      <c r="C153" s="153" t="str">
        <f aca="false">C133</f>
        <v>HEAD</v>
      </c>
      <c r="D153" s="154" t="str">
        <f aca="false">VLOOKUP(C153,$C$133:$H$151,2,0)</f>
        <v>B24001</v>
      </c>
      <c r="E153" s="155" t="n">
        <f aca="false">VLOOKUP(C153,$C$133:$H$151,3,0)</f>
        <v>1.603</v>
      </c>
      <c r="F153" s="263" t="n">
        <f aca="false">VLOOKUP(C153,$C$133:$J$151,7,0)</f>
        <v>1940</v>
      </c>
      <c r="G153" s="155" t="n">
        <f aca="false">VLOOKUP(C153,$C$133:$J$151,8,0)</f>
        <v>1</v>
      </c>
      <c r="H153" s="264" t="n">
        <f aca="false">ROUNDUP((F153*G153)/6400,0)</f>
        <v>1</v>
      </c>
      <c r="I153" s="265"/>
      <c r="J153" s="265"/>
    </row>
    <row r="154" s="96" customFormat="true" ht="15" hidden="false" customHeight="true" outlineLevel="1" collapsed="false">
      <c r="A154" s="158" t="n">
        <f aca="false">IF(B154="","",+A153+1)</f>
        <v>2</v>
      </c>
      <c r="B154" s="153" t="str">
        <f aca="false">B134</f>
        <v>บังใบบน</v>
      </c>
      <c r="C154" s="153" t="str">
        <f aca="false">C134</f>
        <v>DOOR STOP HEAD</v>
      </c>
      <c r="D154" s="154" t="str">
        <f aca="false">VLOOKUP(C154,$C$133:$H$151,2,0)</f>
        <v>B24002</v>
      </c>
      <c r="E154" s="155" t="n">
        <f aca="false">VLOOKUP(C154,$C$133:$H$151,3,0)</f>
        <v>0.278</v>
      </c>
      <c r="F154" s="263" t="n">
        <f aca="false">VLOOKUP(C154,$C$133:$I$151,7,0)</f>
        <v>1914</v>
      </c>
      <c r="G154" s="155" t="n">
        <f aca="false">VLOOKUP(C154,$C$133:$J$151,8,0)</f>
        <v>1</v>
      </c>
      <c r="H154" s="266" t="n">
        <f aca="false">ROUNDUP((F154*G154)/6400,0)</f>
        <v>1</v>
      </c>
      <c r="I154" s="265"/>
      <c r="J154" s="265"/>
    </row>
    <row r="155" s="96" customFormat="true" ht="15" hidden="false" customHeight="true" outlineLevel="1" collapsed="false">
      <c r="A155" s="158" t="n">
        <f aca="false">IF(B155="","",+A154+1)</f>
        <v>3</v>
      </c>
      <c r="B155" s="153" t="str">
        <f aca="false">B135</f>
        <v>เฟรมล่าง </v>
      </c>
      <c r="C155" s="153" t="str">
        <f aca="false">C135</f>
        <v>SILL</v>
      </c>
      <c r="D155" s="154" t="str">
        <f aca="false">VLOOKUP(C155,$C$133:$H$151,2,0)</f>
        <v>B24003</v>
      </c>
      <c r="E155" s="155" t="n">
        <f aca="false">VLOOKUP(C155,$C$133:$H$151,3,0)</f>
        <v>1.603</v>
      </c>
      <c r="F155" s="263" t="n">
        <f aca="false">VLOOKUP(C155,$C$133:$I$151,7,0)</f>
        <v>1940</v>
      </c>
      <c r="G155" s="155" t="n">
        <f aca="false">VLOOKUP(C155,$C$133:$J$151,8,0)</f>
        <v>1</v>
      </c>
      <c r="H155" s="266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4</v>
      </c>
      <c r="B156" s="153" t="str">
        <f aca="false">B136</f>
        <v>ตัวตับธรณี</v>
      </c>
      <c r="C156" s="153" t="str">
        <f aca="false">C136</f>
        <v>DOOR STOP SILL</v>
      </c>
      <c r="D156" s="154" t="str">
        <f aca="false">VLOOKUP(C156,$C$133:$H$151,2,0)</f>
        <v>B24004</v>
      </c>
      <c r="E156" s="155" t="n">
        <f aca="false">VLOOKUP(C156,$C$133:$H$151,3,0)</f>
        <v>0.516</v>
      </c>
      <c r="F156" s="263" t="n">
        <f aca="false">VLOOKUP(C156,$C$133:$I$151,7,0)</f>
        <v>1940</v>
      </c>
      <c r="G156" s="155" t="n">
        <f aca="false">VLOOKUP(C156,$C$133:$J$151,8,0)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5</v>
      </c>
      <c r="B157" s="153" t="str">
        <f aca="false">B137</f>
        <v>เฟรมข้าง (ซ้าย)</v>
      </c>
      <c r="C157" s="153" t="str">
        <f aca="false">C137</f>
        <v>JAMB (L)</v>
      </c>
      <c r="D157" s="159" t="str">
        <f aca="false">VLOOKUP(C157,$C$133:$H$151,2,0)</f>
        <v>B24005</v>
      </c>
      <c r="E157" s="155" t="n">
        <f aca="false">VLOOKUP(C157,$C$133:$H$151,3,0)</f>
        <v>0.893</v>
      </c>
      <c r="F157" s="263" t="n">
        <f aca="false">VLOOKUP(C157,$C$133:$I$151,7,0)</f>
        <v>2500</v>
      </c>
      <c r="G157" s="155" t="n">
        <f aca="false">VLOOKUP(C157,$C$133:$J$151,8,0)</f>
        <v>1</v>
      </c>
      <c r="H157" s="160" t="n">
        <f aca="false">ROUNDUP(((F157*G157)+(F158*G158))/6400,0)</f>
        <v>1</v>
      </c>
      <c r="I157" s="161"/>
      <c r="J157" s="161"/>
    </row>
    <row r="158" s="96" customFormat="true" ht="15" hidden="false" customHeight="true" outlineLevel="1" collapsed="false">
      <c r="A158" s="158" t="n">
        <f aca="false">IF(B158="","",+A157+1)</f>
        <v>6</v>
      </c>
      <c r="B158" s="153" t="str">
        <f aca="false">B138</f>
        <v>เฟรมข้าง (ขวา)</v>
      </c>
      <c r="C158" s="153" t="str">
        <f aca="false">C138</f>
        <v>JAMB (R)</v>
      </c>
      <c r="D158" s="159"/>
      <c r="E158" s="155" t="n">
        <f aca="false">VLOOKUP(C158,$C$133:$H$151,3,0)</f>
        <v>0.893</v>
      </c>
      <c r="F158" s="263" t="n">
        <f aca="false">VLOOKUP(C158,$C$133:$I$151,7,0)</f>
        <v>2500</v>
      </c>
      <c r="G158" s="155" t="n">
        <f aca="false">VLOOKUP(C158,$C$133:$J$151,8,0)</f>
        <v>1</v>
      </c>
      <c r="H158" s="160"/>
      <c r="I158" s="161"/>
      <c r="J158" s="161"/>
    </row>
    <row r="159" s="96" customFormat="true" ht="15" hidden="false" customHeight="true" outlineLevel="1" collapsed="false">
      <c r="A159" s="158" t="n">
        <f aca="false">IF(B159="","",+A158+1)</f>
        <v>7</v>
      </c>
      <c r="B159" s="153" t="str">
        <f aca="false">B139</f>
        <v>บังใบข้าง (ซ้าย)</v>
      </c>
      <c r="C159" s="153" t="str">
        <f aca="false">C139</f>
        <v>DOOR STOP JAMB (L)</v>
      </c>
      <c r="D159" s="159" t="str">
        <f aca="false">VLOOKUP(C159,$C$133:$H$151,2,0)</f>
        <v>B24006</v>
      </c>
      <c r="E159" s="155" t="n">
        <f aca="false">VLOOKUP(C159,$C$133:$H$151,3,0)</f>
        <v>0.235</v>
      </c>
      <c r="F159" s="263" t="n">
        <f aca="false">VLOOKUP(C159,$C$133:$I$151,7,0)</f>
        <v>2404</v>
      </c>
      <c r="G159" s="155" t="n">
        <f aca="false">VLOOKUP(C159,$C$133:$J$151,8,0)</f>
        <v>1</v>
      </c>
      <c r="H159" s="160" t="n">
        <f aca="false">ROUNDUP(((F159*G159)+(F160*G160))/6400,0)</f>
        <v>1</v>
      </c>
      <c r="I159" s="265"/>
      <c r="J159" s="265"/>
    </row>
    <row r="160" s="96" customFormat="true" ht="15" hidden="false" customHeight="true" outlineLevel="1" collapsed="false">
      <c r="A160" s="158" t="n">
        <f aca="false">IF(B160="","",+A159+1)</f>
        <v>8</v>
      </c>
      <c r="B160" s="153" t="str">
        <f aca="false">B140</f>
        <v>บังใบข้าง (ขวา)</v>
      </c>
      <c r="C160" s="153" t="str">
        <f aca="false">C140</f>
        <v>DOOR STOP JAMB (R)</v>
      </c>
      <c r="D160" s="159"/>
      <c r="E160" s="155" t="n">
        <f aca="false">VLOOKUP(C160,$C$133:$H$151,3,0)</f>
        <v>0.235</v>
      </c>
      <c r="F160" s="263" t="n">
        <f aca="false">VLOOKUP(C160,$C$133:$I$151,7,0)</f>
        <v>2404</v>
      </c>
      <c r="G160" s="155" t="n">
        <f aca="false">VLOOKUP(C160,$C$133:$J$151,8,0)</f>
        <v>1</v>
      </c>
      <c r="H160" s="160"/>
      <c r="I160" s="161"/>
      <c r="J160" s="161"/>
    </row>
    <row r="161" s="96" customFormat="true" ht="13.5" hidden="false" customHeight="true" outlineLevel="1" collapsed="false">
      <c r="A161" s="158" t="n">
        <f aca="false">IF(B161="","",+A160+1)</f>
        <v>9</v>
      </c>
      <c r="B161" s="153" t="str">
        <f aca="false">B141</f>
        <v>ขวางบน</v>
      </c>
      <c r="C161" s="153" t="str">
        <f aca="false">C141</f>
        <v>SASH (Hor) (T)</v>
      </c>
      <c r="D161" s="159" t="str">
        <f aca="false">VLOOKUP(C161,$C$133:$H$151,2,0)</f>
        <v>B24007</v>
      </c>
      <c r="E161" s="155" t="n">
        <f aca="false">VLOOKUP(C161,$C$133:$H$151,3,0)</f>
        <v>1.106</v>
      </c>
      <c r="F161" s="267" t="n">
        <f aca="false">VLOOKUP(C161,$C$133:$I$151,7,0)</f>
        <v>211.111111111111</v>
      </c>
      <c r="G161" s="155" t="n">
        <f aca="false">VLOOKUP(C161,$C$133:$J$151,8,0)</f>
        <v>9</v>
      </c>
      <c r="H161" s="160" t="n">
        <f aca="false">ROUNDUP(((F161*G161)+(F162*G162)+(F163*G163)+(F164*G164)+(F165*G165)+(F166*G166))/6400,0)</f>
        <v>8</v>
      </c>
      <c r="I161" s="161"/>
      <c r="J161" s="161"/>
    </row>
    <row r="162" s="96" customFormat="true" ht="13.5" hidden="false" customHeight="true" outlineLevel="1" collapsed="false">
      <c r="A162" s="158" t="n">
        <f aca="false">IF(B162="","",+A161+1)</f>
        <v>10</v>
      </c>
      <c r="B162" s="153" t="str">
        <f aca="false">B142</f>
        <v>ขวางล่าง</v>
      </c>
      <c r="C162" s="153" t="str">
        <f aca="false">C142</f>
        <v>SASH (Hor) (B)</v>
      </c>
      <c r="D162" s="159"/>
      <c r="E162" s="155" t="n">
        <f aca="false">VLOOKUP(C162,$C$133:$H$151,3,0)</f>
        <v>1.106</v>
      </c>
      <c r="F162" s="267" t="n">
        <f aca="false">VLOOKUP(C162,$C$133:$I$151,7,0)</f>
        <v>211.111111111111</v>
      </c>
      <c r="G162" s="155" t="n">
        <f aca="false">VLOOKUP(C162,$C$133:$J$151,8,0)</f>
        <v>9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11</v>
      </c>
      <c r="B163" s="153" t="str">
        <f aca="false">B143</f>
        <v>เสา</v>
      </c>
      <c r="C163" s="153" t="str">
        <f aca="false">C143</f>
        <v>SASH (Ver) </v>
      </c>
      <c r="D163" s="159"/>
      <c r="E163" s="155" t="n">
        <f aca="false">VLOOKUP(C163,$C$133:$H$151,3,0)</f>
        <v>1.106</v>
      </c>
      <c r="F163" s="263" t="n">
        <f aca="false">VLOOKUP(C163,$C$133:$I$151,7,0)</f>
        <v>2408</v>
      </c>
      <c r="G163" s="155" t="n">
        <f aca="false">VLOOKUP(C163,$C$133:$J$151,8,0)</f>
        <v>13</v>
      </c>
      <c r="H163" s="160"/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12</v>
      </c>
      <c r="B164" s="153" t="str">
        <f aca="false">B144</f>
        <v>เสากุญแจ</v>
      </c>
      <c r="C164" s="153" t="str">
        <f aca="false">C144</f>
        <v>SASH (Ver) LOCK </v>
      </c>
      <c r="D164" s="159"/>
      <c r="E164" s="155" t="n">
        <f aca="false">VLOOKUP(C164,$C$133:$H$151,3,0)</f>
        <v>1.106</v>
      </c>
      <c r="F164" s="263" t="n">
        <f aca="false">VLOOKUP(C164,$C$133:$I$151,7,0)</f>
        <v>2408</v>
      </c>
      <c r="G164" s="155" t="n">
        <f aca="false">VLOOKUP(C164,$C$133:$J$151,8,0)</f>
        <v>1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13</v>
      </c>
      <c r="B165" s="153" t="str">
        <f aca="false">B145</f>
        <v>เสากุญแจ</v>
      </c>
      <c r="C165" s="153" t="str">
        <f aca="false">C145</f>
        <v>SASH (Ver) LOCK  </v>
      </c>
      <c r="D165" s="159"/>
      <c r="E165" s="155" t="n">
        <f aca="false">VLOOKUP(C165,$C$133:$H$151,3,0)</f>
        <v>1.106</v>
      </c>
      <c r="F165" s="263" t="n">
        <f aca="false">VLOOKUP(C165,$C$133:$I$151,7,0)</f>
        <v>2408</v>
      </c>
      <c r="G165" s="155" t="n">
        <f aca="false">VLOOKUP(C165,$C$133:$J$151,8,0)</f>
        <v>3</v>
      </c>
      <c r="H165" s="160"/>
      <c r="I165" s="161"/>
      <c r="J165" s="161"/>
    </row>
    <row r="166" s="96" customFormat="true" ht="15" hidden="false" customHeight="true" outlineLevel="1" collapsed="false">
      <c r="A166" s="158" t="n">
        <f aca="false">IF(B166="","",+A165+1)</f>
        <v>14</v>
      </c>
      <c r="B166" s="153" t="str">
        <f aca="false">B146</f>
        <v>เสากุญแจมือจับ</v>
      </c>
      <c r="C166" s="153" t="str">
        <f aca="false">C146</f>
        <v>SASH (Ver) LOCK HANDLE</v>
      </c>
      <c r="D166" s="159"/>
      <c r="E166" s="155" t="n">
        <f aca="false">VLOOKUP(C166,$C$133:$H$151,3,0)</f>
        <v>1.106</v>
      </c>
      <c r="F166" s="263" t="n">
        <f aca="false">VLOOKUP(C166,$C$133:$I$151,7,0)</f>
        <v>2408</v>
      </c>
      <c r="G166" s="155" t="n">
        <f aca="false">VLOOKUP(C166,$C$133:$J$151,8,0)</f>
        <v>1</v>
      </c>
      <c r="H166" s="160"/>
      <c r="I166" s="265"/>
      <c r="J166" s="265"/>
    </row>
    <row r="167" s="96" customFormat="true" ht="15" hidden="false" customHeight="true" outlineLevel="1" collapsed="false">
      <c r="A167" s="158" t="n">
        <f aca="false">IF(B167="","",+A166+1)</f>
        <v>15</v>
      </c>
      <c r="B167" s="153" t="str">
        <f aca="false">B147</f>
        <v>8-12mm คิ้วตบกระจกแนวนอน</v>
      </c>
      <c r="C167" s="153" t="str">
        <f aca="false">C147</f>
        <v>8-12mm GLAZING BEAD HORIZONTAL</v>
      </c>
      <c r="D167" s="159" t="str">
        <f aca="false">VLOOKUP(C167,$C$133:$H$151,2,0)</f>
        <v>B24016</v>
      </c>
      <c r="E167" s="155" t="n">
        <f aca="false">VLOOKUP(C167,$C$133:$H$151,3,0)</f>
        <v>0.215</v>
      </c>
      <c r="F167" s="263" t="n">
        <f aca="false">VLOOKUP(C167,$C$133:$I$151,7,0)</f>
        <v>101</v>
      </c>
      <c r="G167" s="155" t="n">
        <f aca="false">VLOOKUP(C167,$C$133:$J$151,8,0)</f>
        <v>18</v>
      </c>
      <c r="H167" s="160" t="n">
        <f aca="false">ROUNDUP(((F167*G167)+(F168*G168))/6400,0)</f>
        <v>7</v>
      </c>
      <c r="I167" s="196"/>
      <c r="J167" s="196"/>
    </row>
    <row r="168" s="96" customFormat="true" ht="15" hidden="false" customHeight="true" outlineLevel="1" collapsed="false">
      <c r="A168" s="158" t="n">
        <f aca="false">IF(B168="","",+A167+1)</f>
        <v>16</v>
      </c>
      <c r="B168" s="153" t="str">
        <f aca="false">B148</f>
        <v>8-12mm คิ้วตบกระจกแนวตั้ง</v>
      </c>
      <c r="C168" s="153" t="str">
        <f aca="false">C148</f>
        <v>8-12mm GLAZING BEAD VERTICAL</v>
      </c>
      <c r="D168" s="159"/>
      <c r="E168" s="155" t="n">
        <f aca="false">VLOOKUP(C168,$C$133:$H$151,3,0)</f>
        <v>0.215</v>
      </c>
      <c r="F168" s="263" t="n">
        <f aca="false">VLOOKUP(C168,$C$133:$I$151,7,0)</f>
        <v>2258</v>
      </c>
      <c r="G168" s="155" t="n">
        <f aca="false">VLOOKUP(C168,$C$133:$J$151,8,0)</f>
        <v>18</v>
      </c>
      <c r="H168" s="160"/>
      <c r="I168" s="196"/>
      <c r="J168" s="196"/>
    </row>
    <row r="169" s="96" customFormat="true" ht="13.5" hidden="false" customHeight="true" outlineLevel="1" collapsed="false">
      <c r="A169" s="158" t="n">
        <f aca="false">IF(B169="","",+A168+1)</f>
        <v>17</v>
      </c>
      <c r="B169" s="153" t="str">
        <f aca="false">B149</f>
        <v>บังใบ</v>
      </c>
      <c r="C169" s="153" t="str">
        <f aca="false">C149</f>
        <v>SASH STOP</v>
      </c>
      <c r="D169" s="163" t="str">
        <f aca="false">VLOOKUP(C169,$C$133:$H$151,2,0)</f>
        <v>B24009</v>
      </c>
      <c r="E169" s="155" t="n">
        <f aca="false">VLOOKUP(C169,$C$133:$H$151,3,0)</f>
        <v>0</v>
      </c>
      <c r="F169" s="263" t="n">
        <f aca="false">VLOOKUP(C169,$C$133:$I$151,7,0)</f>
        <v>2408</v>
      </c>
      <c r="G169" s="155" t="n">
        <f aca="false">VLOOKUP(C169,$C$133:$J$151,8,0)</f>
        <v>1</v>
      </c>
      <c r="H169" s="160" t="n">
        <f aca="false">ROUNDUP(((F169*G169)+(F170*G170))/6400,0)</f>
        <v>1</v>
      </c>
      <c r="I169" s="196"/>
      <c r="J169" s="196"/>
    </row>
    <row r="170" s="96" customFormat="true" ht="14.25" hidden="false" customHeight="false" outlineLevel="1" collapsed="false">
      <c r="A170" s="158" t="n">
        <f aca="false">IF(B170="","",+A169+1)</f>
        <v>18</v>
      </c>
      <c r="B170" s="153" t="str">
        <f aca="false">B150</f>
        <v>บังใบ</v>
      </c>
      <c r="C170" s="153" t="str">
        <f aca="false">C150</f>
        <v>SASH STOP</v>
      </c>
      <c r="D170" s="163"/>
      <c r="E170" s="155" t="n">
        <f aca="false">VLOOKUP(C170,$C$133:$H$151,3,0)</f>
        <v>0</v>
      </c>
      <c r="F170" s="263" t="n">
        <f aca="false">VLOOKUP(C170,$C$133:$I$151,7,0)</f>
        <v>2408</v>
      </c>
      <c r="G170" s="155" t="n">
        <f aca="false">VLOOKUP(C170,$C$133:$J$151,8,0)</f>
        <v>1</v>
      </c>
      <c r="H170" s="160"/>
      <c r="I170" s="196"/>
      <c r="J170" s="196"/>
    </row>
    <row r="171" s="96" customFormat="true" ht="24.75" hidden="false" customHeight="true" outlineLevel="0" collapsed="false">
      <c r="A171" s="113" t="s">
        <v>396</v>
      </c>
      <c r="B171" s="113"/>
      <c r="C171" s="113"/>
      <c r="D171" s="113"/>
      <c r="E171" s="113"/>
      <c r="F171" s="113"/>
      <c r="G171" s="113"/>
      <c r="H171" s="113"/>
      <c r="I171" s="113"/>
      <c r="J171" s="113"/>
    </row>
    <row r="172" s="96" customFormat="true" ht="34.5" hidden="false" customHeight="true" outlineLevel="0" collapsed="false">
      <c r="A172" s="114" t="s">
        <v>319</v>
      </c>
      <c r="B172" s="115" t="s">
        <v>320</v>
      </c>
      <c r="C172" s="115" t="s">
        <v>168</v>
      </c>
      <c r="D172" s="115" t="s">
        <v>397</v>
      </c>
      <c r="E172" s="115" t="s">
        <v>321</v>
      </c>
      <c r="F172" s="116" t="s">
        <v>398</v>
      </c>
      <c r="G172" s="115" t="s">
        <v>399</v>
      </c>
      <c r="H172" s="116" t="s">
        <v>400</v>
      </c>
      <c r="I172" s="116" t="s">
        <v>401</v>
      </c>
      <c r="J172" s="117" t="s">
        <v>402</v>
      </c>
      <c r="N172" s="107" t="s">
        <v>288</v>
      </c>
      <c r="O172" s="165" t="s">
        <v>320</v>
      </c>
      <c r="P172" s="165" t="s">
        <v>168</v>
      </c>
      <c r="Q172" s="165" t="s">
        <v>397</v>
      </c>
      <c r="R172" s="165" t="s">
        <v>321</v>
      </c>
      <c r="S172" s="165" t="s">
        <v>398</v>
      </c>
      <c r="T172" s="165" t="s">
        <v>399</v>
      </c>
      <c r="U172" s="165" t="s">
        <v>400</v>
      </c>
      <c r="V172" s="165" t="s">
        <v>401</v>
      </c>
      <c r="W172" s="165" t="s">
        <v>402</v>
      </c>
    </row>
    <row r="173" s="96" customFormat="true" ht="18" hidden="false" customHeight="true" outlineLevel="0" collapsed="false">
      <c r="A173" s="166" t="n">
        <f aca="false">IF(B173="","",1)</f>
        <v>1</v>
      </c>
      <c r="B173" s="131" t="s">
        <v>410</v>
      </c>
      <c r="C173" s="131" t="s">
        <v>411</v>
      </c>
      <c r="D173" s="132" t="s">
        <v>267</v>
      </c>
      <c r="E173" s="130"/>
      <c r="F173" s="130" t="s">
        <v>267</v>
      </c>
      <c r="G173" s="130" t="s">
        <v>405</v>
      </c>
      <c r="H173" s="130" t="n">
        <v>18</v>
      </c>
      <c r="I173" s="133"/>
      <c r="J173" s="134" t="n">
        <f aca="false">$J$120*H173</f>
        <v>18</v>
      </c>
      <c r="N173" s="107" t="s">
        <v>406</v>
      </c>
      <c r="O173" s="55" t="s">
        <v>407</v>
      </c>
      <c r="P173" s="62" t="s">
        <v>408</v>
      </c>
      <c r="Q173" s="55" t="s">
        <v>227</v>
      </c>
      <c r="R173" s="158"/>
      <c r="S173" s="158" t="s">
        <v>227</v>
      </c>
      <c r="T173" s="158" t="s">
        <v>409</v>
      </c>
      <c r="U173" s="168" t="n">
        <f aca="false">((($I$141*$G$141)+($I$142*$G$142)+($I$143*$G$143)+($I$144*$G$144)+($I$145*$G$145)+($I$146*$G$146))/1000)*$J$120</f>
        <v>47.144</v>
      </c>
      <c r="V173" s="168" t="n">
        <v>100</v>
      </c>
      <c r="W173" s="169" t="n">
        <f aca="false">ROUNDUP((U173)/100,0)</f>
        <v>1</v>
      </c>
    </row>
    <row r="174" s="96" customFormat="true" ht="18" hidden="false" customHeight="true" outlineLevel="0" collapsed="false">
      <c r="A174" s="170" t="n">
        <f aca="false">IF(B174="","",+A173+1)</f>
        <v>2</v>
      </c>
      <c r="B174" s="131" t="s">
        <v>415</v>
      </c>
      <c r="C174" s="131" t="s">
        <v>416</v>
      </c>
      <c r="D174" s="132" t="s">
        <v>222</v>
      </c>
      <c r="E174" s="130"/>
      <c r="F174" s="130" t="s">
        <v>222</v>
      </c>
      <c r="G174" s="130" t="s">
        <v>405</v>
      </c>
      <c r="H174" s="130" t="n">
        <v>2</v>
      </c>
      <c r="I174" s="133"/>
      <c r="J174" s="134" t="n">
        <f aca="false">$J$120*H174</f>
        <v>2</v>
      </c>
      <c r="N174" s="107" t="s">
        <v>412</v>
      </c>
      <c r="O174" s="55" t="s">
        <v>413</v>
      </c>
      <c r="P174" s="62" t="s">
        <v>414</v>
      </c>
      <c r="Q174" s="55" t="s">
        <v>234</v>
      </c>
      <c r="R174" s="158"/>
      <c r="S174" s="158" t="s">
        <v>234</v>
      </c>
      <c r="T174" s="158" t="s">
        <v>409</v>
      </c>
      <c r="U174" s="168" t="n">
        <f aca="false">((($I$141*$G$141)+($I$142*$G$142)+($I$143*$G$143)+($I$144*$G$144)+($I$145*$G$145)+($I$146*$G$146))/1000)*$J$120</f>
        <v>47.144</v>
      </c>
      <c r="V174" s="168" t="n">
        <v>100</v>
      </c>
      <c r="W174" s="169" t="n">
        <f aca="false">ROUNDUP((U174)/100,0)</f>
        <v>1</v>
      </c>
    </row>
    <row r="175" s="96" customFormat="true" ht="18" hidden="false" customHeight="true" outlineLevel="0" collapsed="false">
      <c r="A175" s="170" t="n">
        <f aca="false">IF(B175="","",+A174+1)</f>
        <v>3</v>
      </c>
      <c r="B175" s="131" t="s">
        <v>420</v>
      </c>
      <c r="C175" s="131" t="s">
        <v>421</v>
      </c>
      <c r="D175" s="132" t="s">
        <v>225</v>
      </c>
      <c r="E175" s="130"/>
      <c r="F175" s="130" t="s">
        <v>225</v>
      </c>
      <c r="G175" s="130" t="s">
        <v>405</v>
      </c>
      <c r="H175" s="130" t="n">
        <v>2</v>
      </c>
      <c r="I175" s="133"/>
      <c r="J175" s="134" t="n">
        <f aca="false">$J$120*H175</f>
        <v>2</v>
      </c>
      <c r="N175" s="107" t="s">
        <v>417</v>
      </c>
      <c r="O175" s="62" t="s">
        <v>418</v>
      </c>
      <c r="P175" s="62" t="s">
        <v>419</v>
      </c>
      <c r="Q175" s="55" t="s">
        <v>236</v>
      </c>
      <c r="R175" s="158"/>
      <c r="S175" s="158" t="s">
        <v>236</v>
      </c>
      <c r="T175" s="158" t="s">
        <v>409</v>
      </c>
      <c r="U175" s="168" t="n">
        <f aca="false">((($I$141*$G$141)+($I$142*$G$142)+($I$143*$G$143)+($I$144*$G$144)+($I$145*$G$145)+($I$146*$G$146))/1000)*$J$120</f>
        <v>47.144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4</v>
      </c>
      <c r="B176" s="131" t="s">
        <v>425</v>
      </c>
      <c r="C176" s="131" t="s">
        <v>426</v>
      </c>
      <c r="D176" s="132" t="n">
        <v>9</v>
      </c>
      <c r="E176" s="130"/>
      <c r="F176" s="130" t="n">
        <v>9</v>
      </c>
      <c r="G176" s="130" t="s">
        <v>405</v>
      </c>
      <c r="H176" s="130" t="n">
        <v>8</v>
      </c>
      <c r="I176" s="133"/>
      <c r="J176" s="134" t="n">
        <f aca="false">$J$120*H176</f>
        <v>8</v>
      </c>
      <c r="N176" s="107" t="s">
        <v>422</v>
      </c>
      <c r="O176" s="62" t="s">
        <v>423</v>
      </c>
      <c r="P176" s="62" t="s">
        <v>424</v>
      </c>
      <c r="Q176" s="55" t="s">
        <v>238</v>
      </c>
      <c r="R176" s="158"/>
      <c r="S176" s="158" t="s">
        <v>238</v>
      </c>
      <c r="T176" s="158" t="s">
        <v>409</v>
      </c>
      <c r="U176" s="168" t="n">
        <f aca="false">((($I$141*$G$141)+($I$142*$G$142)+($I$143*$G$143)+($I$144*$G$144)+($I$145*$G$145)+($I$146*$G$146))/1000)*$J$120</f>
        <v>47.144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5</v>
      </c>
      <c r="B177" s="131" t="s">
        <v>430</v>
      </c>
      <c r="C177" s="131" t="s">
        <v>431</v>
      </c>
      <c r="D177" s="132" t="n">
        <v>9</v>
      </c>
      <c r="E177" s="130"/>
      <c r="F177" s="130" t="n">
        <v>9</v>
      </c>
      <c r="G177" s="130" t="s">
        <v>405</v>
      </c>
      <c r="H177" s="130" t="n">
        <v>110</v>
      </c>
      <c r="I177" s="133"/>
      <c r="J177" s="134" t="n">
        <f aca="false">$J$120*H177</f>
        <v>110</v>
      </c>
      <c r="N177" s="107" t="s">
        <v>427</v>
      </c>
      <c r="O177" s="62" t="s">
        <v>428</v>
      </c>
      <c r="P177" s="62" t="s">
        <v>429</v>
      </c>
      <c r="Q177" s="55" t="s">
        <v>240</v>
      </c>
      <c r="R177" s="158"/>
      <c r="S177" s="158" t="s">
        <v>240</v>
      </c>
      <c r="T177" s="158" t="s">
        <v>409</v>
      </c>
      <c r="U177" s="168" t="n">
        <f aca="false">((($I$141*$G$141)+($I$142*$G$142)+($I$143*$G$143)+($I$144*$G$144)+($I$145*$G$145)+($I$146*$G$146))/1000)*$J$120</f>
        <v>47.144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6</v>
      </c>
      <c r="B178" s="131" t="s">
        <v>603</v>
      </c>
      <c r="C178" s="131" t="s">
        <v>438</v>
      </c>
      <c r="D178" s="132" t="s">
        <v>4</v>
      </c>
      <c r="E178" s="130"/>
      <c r="F178" s="130" t="s">
        <v>4</v>
      </c>
      <c r="G178" s="130" t="s">
        <v>434</v>
      </c>
      <c r="H178" s="130" t="n">
        <v>1</v>
      </c>
      <c r="I178" s="133"/>
      <c r="J178" s="134" t="n">
        <f aca="false">$J$120*H178</f>
        <v>1</v>
      </c>
    </row>
    <row r="179" s="96" customFormat="true" ht="18" hidden="false" customHeight="true" outlineLevel="0" collapsed="false">
      <c r="A179" s="170" t="n">
        <f aca="false">IF(B179="","",+A178+1)</f>
        <v>7</v>
      </c>
      <c r="B179" s="131" t="s">
        <v>556</v>
      </c>
      <c r="C179" s="131" t="s">
        <v>557</v>
      </c>
      <c r="D179" s="132" t="s">
        <v>5</v>
      </c>
      <c r="E179" s="130"/>
      <c r="F179" s="130" t="s">
        <v>5</v>
      </c>
      <c r="G179" s="130" t="s">
        <v>434</v>
      </c>
      <c r="H179" s="130" t="n">
        <v>3</v>
      </c>
      <c r="I179" s="133"/>
      <c r="J179" s="134" t="n">
        <f aca="false">$J$120*H179</f>
        <v>3</v>
      </c>
    </row>
    <row r="180" s="96" customFormat="true" ht="18" hidden="false" customHeight="true" outlineLevel="0" collapsed="false">
      <c r="A180" s="170" t="n">
        <f aca="false">IF(B180="","",+A179+1)</f>
        <v>8</v>
      </c>
      <c r="B180" s="131" t="s">
        <v>432</v>
      </c>
      <c r="C180" s="131" t="s">
        <v>433</v>
      </c>
      <c r="D180" s="132" t="s">
        <v>6</v>
      </c>
      <c r="E180" s="130"/>
      <c r="F180" s="130" t="s">
        <v>6</v>
      </c>
      <c r="G180" s="130" t="s">
        <v>434</v>
      </c>
      <c r="H180" s="130" t="n">
        <v>1</v>
      </c>
      <c r="I180" s="133"/>
      <c r="J180" s="134" t="n">
        <f aca="false">$J$120*H180</f>
        <v>1</v>
      </c>
    </row>
    <row r="181" s="96" customFormat="true" ht="18" hidden="false" customHeight="true" outlineLevel="0" collapsed="false">
      <c r="A181" s="170" t="n">
        <f aca="false">IF(B181="","",+A180+1)</f>
        <v>9</v>
      </c>
      <c r="B181" s="131" t="s">
        <v>512</v>
      </c>
      <c r="C181" s="131" t="s">
        <v>513</v>
      </c>
      <c r="D181" s="132" t="s">
        <v>7</v>
      </c>
      <c r="E181" s="130"/>
      <c r="F181" s="130" t="s">
        <v>7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10</v>
      </c>
      <c r="B182" s="131" t="s">
        <v>514</v>
      </c>
      <c r="C182" s="131" t="s">
        <v>768</v>
      </c>
      <c r="D182" s="132" t="s">
        <v>9</v>
      </c>
      <c r="E182" s="130"/>
      <c r="F182" s="130" t="s">
        <v>9</v>
      </c>
      <c r="G182" s="130" t="s">
        <v>434</v>
      </c>
      <c r="H182" s="130" t="n">
        <v>1</v>
      </c>
      <c r="I182" s="133"/>
      <c r="J182" s="134" t="n">
        <f aca="false">$J$120*H182</f>
        <v>1</v>
      </c>
      <c r="Q182" s="172"/>
      <c r="R182" s="172"/>
      <c r="S182" s="172"/>
      <c r="T182" s="97"/>
      <c r="U182" s="97"/>
      <c r="V182" s="97"/>
    </row>
    <row r="183" s="96" customFormat="true" ht="18" hidden="false" customHeight="true" outlineLevel="0" collapsed="false">
      <c r="A183" s="170" t="n">
        <f aca="false">IF(B183="","",+A182+1)</f>
        <v>11</v>
      </c>
      <c r="B183" s="131" t="s">
        <v>554</v>
      </c>
      <c r="C183" s="131" t="s">
        <v>555</v>
      </c>
      <c r="D183" s="132" t="s">
        <v>11</v>
      </c>
      <c r="E183" s="130"/>
      <c r="F183" s="130" t="s">
        <v>11</v>
      </c>
      <c r="G183" s="130" t="s">
        <v>434</v>
      </c>
      <c r="H183" s="130" t="n">
        <v>3</v>
      </c>
      <c r="I183" s="142"/>
      <c r="J183" s="134" t="n">
        <f aca="false">$J$120*H183</f>
        <v>3</v>
      </c>
      <c r="N183" s="107" t="s">
        <v>289</v>
      </c>
      <c r="O183" s="165" t="s">
        <v>320</v>
      </c>
      <c r="P183" s="165" t="s">
        <v>168</v>
      </c>
      <c r="Q183" s="165" t="s">
        <v>397</v>
      </c>
      <c r="R183" s="165" t="s">
        <v>321</v>
      </c>
      <c r="S183" s="165" t="s">
        <v>398</v>
      </c>
      <c r="T183" s="165" t="s">
        <v>399</v>
      </c>
      <c r="U183" s="165" t="s">
        <v>400</v>
      </c>
      <c r="V183" s="165" t="s">
        <v>401</v>
      </c>
      <c r="W183" s="165" t="s">
        <v>402</v>
      </c>
    </row>
    <row r="184" s="96" customFormat="true" ht="18" hidden="false" customHeight="true" outlineLevel="0" collapsed="false">
      <c r="A184" s="170" t="n">
        <f aca="false">IF(B184="","",+A183+1)</f>
        <v>12</v>
      </c>
      <c r="B184" s="131" t="s">
        <v>439</v>
      </c>
      <c r="C184" s="131" t="s">
        <v>440</v>
      </c>
      <c r="D184" s="132" t="s">
        <v>12</v>
      </c>
      <c r="E184" s="130"/>
      <c r="F184" s="130" t="s">
        <v>12</v>
      </c>
      <c r="G184" s="130" t="s">
        <v>434</v>
      </c>
      <c r="H184" s="130" t="n">
        <v>4</v>
      </c>
      <c r="I184" s="142"/>
      <c r="J184" s="134" t="n">
        <f aca="false">$J$120*H184</f>
        <v>4</v>
      </c>
      <c r="N184" s="107" t="s">
        <v>445</v>
      </c>
      <c r="O184" s="62" t="s">
        <v>446</v>
      </c>
      <c r="P184" s="62" t="s">
        <v>447</v>
      </c>
      <c r="Q184" s="55" t="s">
        <v>230</v>
      </c>
      <c r="R184" s="158"/>
      <c r="S184" s="158" t="s">
        <v>230</v>
      </c>
      <c r="T184" s="158" t="s">
        <v>409</v>
      </c>
      <c r="U184" s="168" t="n">
        <f aca="false">((($I$134*$G$134)+($I$136*$G$136)+($I$139*$G$139))/1000)*$J$120</f>
        <v>6.258</v>
      </c>
      <c r="V184" s="168" t="n">
        <v>300</v>
      </c>
      <c r="W184" s="169" t="n">
        <f aca="false">ROUNDUP((U184)/V184,0)</f>
        <v>1</v>
      </c>
    </row>
    <row r="185" s="96" customFormat="true" ht="18" hidden="false" customHeight="true" outlineLevel="0" collapsed="false">
      <c r="A185" s="170" t="n">
        <f aca="false">IF(B185="","",+A184+1)</f>
        <v>13</v>
      </c>
      <c r="B185" s="131" t="s">
        <v>540</v>
      </c>
      <c r="C185" s="131" t="s">
        <v>541</v>
      </c>
      <c r="D185" s="132" t="s">
        <v>542</v>
      </c>
      <c r="E185" s="130"/>
      <c r="F185" s="130" t="s">
        <v>542</v>
      </c>
      <c r="G185" s="130" t="s">
        <v>434</v>
      </c>
      <c r="H185" s="130" t="n">
        <v>1</v>
      </c>
      <c r="I185" s="133"/>
      <c r="J185" s="134" t="n">
        <f aca="false">$J$120*H185</f>
        <v>1</v>
      </c>
      <c r="N185" s="107" t="s">
        <v>448</v>
      </c>
      <c r="O185" s="62" t="s">
        <v>449</v>
      </c>
      <c r="P185" s="62" t="s">
        <v>450</v>
      </c>
      <c r="Q185" s="55" t="s">
        <v>451</v>
      </c>
      <c r="R185" s="158"/>
      <c r="S185" s="158" t="s">
        <v>451</v>
      </c>
      <c r="T185" s="158" t="s">
        <v>409</v>
      </c>
      <c r="U185" s="168" t="n">
        <f aca="false">((($I$134*$G$134)+($I$136*$G$136)+($I$139*$G$139))/1000)*$J$120</f>
        <v>6.258</v>
      </c>
      <c r="V185" s="168" t="n">
        <v>100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14</v>
      </c>
      <c r="B186" s="131" t="s">
        <v>441</v>
      </c>
      <c r="C186" s="131" t="s">
        <v>442</v>
      </c>
      <c r="D186" s="132" t="s">
        <v>274</v>
      </c>
      <c r="E186" s="130"/>
      <c r="F186" s="130" t="s">
        <v>274</v>
      </c>
      <c r="G186" s="130" t="s">
        <v>405</v>
      </c>
      <c r="H186" s="130" t="n">
        <v>8</v>
      </c>
      <c r="I186" s="133"/>
      <c r="J186" s="134" t="n">
        <f aca="false">$J$120*H186</f>
        <v>8</v>
      </c>
      <c r="N186" s="107" t="s">
        <v>445</v>
      </c>
      <c r="O186" s="62" t="s">
        <v>452</v>
      </c>
      <c r="P186" s="62" t="s">
        <v>453</v>
      </c>
      <c r="Q186" s="55" t="s">
        <v>232</v>
      </c>
      <c r="R186" s="158"/>
      <c r="S186" s="158" t="s">
        <v>232</v>
      </c>
      <c r="T186" s="158" t="s">
        <v>409</v>
      </c>
      <c r="U186" s="168" t="n">
        <f aca="false">((($I$141*$G$141*2)+($I$143*$G$143*2)+($I$145*$G$145*2))/1000)*$J$120</f>
        <v>80.856</v>
      </c>
      <c r="V186" s="168" t="n">
        <v>350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15</v>
      </c>
      <c r="B187" s="131" t="s">
        <v>443</v>
      </c>
      <c r="C187" s="131" t="s">
        <v>444</v>
      </c>
      <c r="D187" s="132" t="s">
        <v>272</v>
      </c>
      <c r="E187" s="130"/>
      <c r="F187" s="130" t="s">
        <v>272</v>
      </c>
      <c r="G187" s="130" t="s">
        <v>405</v>
      </c>
      <c r="H187" s="130" t="n">
        <v>1</v>
      </c>
      <c r="I187" s="133"/>
      <c r="J187" s="134" t="n">
        <f aca="false">$J$120*H187</f>
        <v>1</v>
      </c>
      <c r="N187" s="107" t="s">
        <v>448</v>
      </c>
      <c r="O187" s="62" t="s">
        <v>454</v>
      </c>
      <c r="P187" s="62" t="s">
        <v>455</v>
      </c>
      <c r="Q187" s="55" t="s">
        <v>456</v>
      </c>
      <c r="R187" s="158"/>
      <c r="S187" s="158" t="s">
        <v>456</v>
      </c>
      <c r="T187" s="158" t="s">
        <v>409</v>
      </c>
      <c r="U187" s="168" t="n">
        <f aca="false">((($I$141*$G$141*2)+($I$143*$G$143*2)+($I$145*$G$145*2))/1000)*$J$120</f>
        <v>80.856</v>
      </c>
      <c r="V187" s="168" t="n">
        <v>100</v>
      </c>
      <c r="W187" s="169" t="n">
        <f aca="false">ROUNDUP((U187)/V187,0)</f>
        <v>1</v>
      </c>
    </row>
    <row r="188" s="96" customFormat="true" ht="18" hidden="false" customHeight="true" outlineLevel="0" collapsed="false">
      <c r="A188" s="170" t="n">
        <f aca="false">IF(B188="","",+A187+1)</f>
        <v>16</v>
      </c>
      <c r="B188" s="131" t="s">
        <v>403</v>
      </c>
      <c r="C188" s="131" t="s">
        <v>404</v>
      </c>
      <c r="D188" s="132" t="s">
        <v>276</v>
      </c>
      <c r="E188" s="130"/>
      <c r="F188" s="130" t="s">
        <v>276</v>
      </c>
      <c r="G188" s="130" t="s">
        <v>405</v>
      </c>
      <c r="H188" s="130" t="n">
        <v>4</v>
      </c>
      <c r="I188" s="133"/>
      <c r="J188" s="134" t="n">
        <f aca="false">$J$120*H188</f>
        <v>4</v>
      </c>
    </row>
    <row r="189" s="96" customFormat="true" ht="18" hidden="false" customHeight="true" outlineLevel="0" collapsed="false">
      <c r="A189" s="170" t="n">
        <f aca="false">IF(B189="","",+A188+1)</f>
        <v>17</v>
      </c>
      <c r="B189" s="131" t="s">
        <v>777</v>
      </c>
      <c r="C189" s="131" t="s">
        <v>778</v>
      </c>
      <c r="D189" s="132" t="s">
        <v>779</v>
      </c>
      <c r="E189" s="130"/>
      <c r="F189" s="130" t="s">
        <v>779</v>
      </c>
      <c r="G189" s="130" t="s">
        <v>405</v>
      </c>
      <c r="H189" s="130" t="n">
        <v>1</v>
      </c>
      <c r="I189" s="133"/>
      <c r="J189" s="134" t="n">
        <f aca="false">$J$120*H189</f>
        <v>1</v>
      </c>
    </row>
    <row r="190" s="96" customFormat="true" ht="18" hidden="false" customHeight="true" outlineLevel="0" collapsed="false">
      <c r="A190" s="170" t="n">
        <f aca="false">IF(B190="","",+A189+1)</f>
        <v>18</v>
      </c>
      <c r="B190" s="131" t="s">
        <v>580</v>
      </c>
      <c r="C190" s="131" t="s">
        <v>581</v>
      </c>
      <c r="D190" s="132" t="s">
        <v>582</v>
      </c>
      <c r="E190" s="130"/>
      <c r="F190" s="130" t="s">
        <v>582</v>
      </c>
      <c r="G190" s="130" t="s">
        <v>409</v>
      </c>
      <c r="H190" s="173" t="n">
        <f aca="false">((($I$149*$G$149)+($I$150*$G$150))/1000)*$J$120</f>
        <v>4.816</v>
      </c>
      <c r="I190" s="174" t="n">
        <v>100</v>
      </c>
      <c r="J190" s="177" t="n">
        <f aca="false">ROUNDUP((H190)/100,0)</f>
        <v>1</v>
      </c>
    </row>
    <row r="191" s="96" customFormat="true" ht="18" hidden="false" customHeight="true" outlineLevel="0" collapsed="false">
      <c r="A191" s="170" t="n">
        <f aca="false">IF(B191="","",+A190+1)</f>
        <v>19</v>
      </c>
      <c r="B191" s="131" t="s">
        <v>583</v>
      </c>
      <c r="C191" s="131" t="s">
        <v>584</v>
      </c>
      <c r="D191" s="132" t="s">
        <v>585</v>
      </c>
      <c r="E191" s="130"/>
      <c r="F191" s="130" t="s">
        <v>585</v>
      </c>
      <c r="G191" s="130" t="s">
        <v>409</v>
      </c>
      <c r="H191" s="173" t="n">
        <f aca="false">((($I$146*$G$146*2))/1000)*$J$120</f>
        <v>4.816</v>
      </c>
      <c r="I191" s="174" t="n">
        <v>100</v>
      </c>
      <c r="J191" s="177" t="n">
        <f aca="false">ROUNDUP((H191)/100,0)</f>
        <v>1</v>
      </c>
    </row>
    <row r="192" s="96" customFormat="true" ht="18" hidden="false" customHeight="true" outlineLevel="0" collapsed="false">
      <c r="A192" s="170" t="n">
        <f aca="false">IF(B192="","",+A191+1)</f>
        <v>20</v>
      </c>
      <c r="B192" s="132" t="str">
        <f aca="false">IF($D$129="Standard",$O$184,IF($D$129="Soumdproof",$O$185,))</f>
        <v>ยางเฟรมกันน้ำ (ธรรมดา)</v>
      </c>
      <c r="C192" s="132" t="str">
        <f aca="false">IF($D$129="Standard",$P$184,IF($D$129="Soumdproof",$P$185,))</f>
        <v>FRAME SEAL (Standard)</v>
      </c>
      <c r="D192" s="132" t="str">
        <f aca="false">IF($D$129="Standard",$Q$184,IF($D$129="Soumdproof",$Q$185,))</f>
        <v>02-026</v>
      </c>
      <c r="E192" s="130" t="n">
        <f aca="false">IF($D$129="Standard",R189,IF($D$129="Soumdproof",R190,))</f>
        <v>0</v>
      </c>
      <c r="F192" s="130" t="str">
        <f aca="false">IF($D$129="Standard",$S$184,IF($D$129="Soumdproof",$S$185,))</f>
        <v>02-026</v>
      </c>
      <c r="G192" s="130" t="str">
        <f aca="false">IF($D$129="Standard",$T$184,IF($D$129="Soumdproof",$T$185,))</f>
        <v>M</v>
      </c>
      <c r="H192" s="173" t="n">
        <f aca="false">IF($D$129="Standard",$U$184,IF($D$129="Soumdproof",$U$185,))</f>
        <v>6.258</v>
      </c>
      <c r="I192" s="174" t="n">
        <f aca="false">IF($D$129="Standard",$V$184,IF($D$129="Soumdproof",$V$185,))</f>
        <v>300</v>
      </c>
      <c r="J192" s="177" t="n">
        <f aca="false">ROUNDUP((H192)/100,0)</f>
        <v>1</v>
      </c>
    </row>
    <row r="193" customFormat="false" ht="18" hidden="false" customHeight="true" outlineLevel="0" collapsed="false">
      <c r="A193" s="170" t="n">
        <f aca="false">IF(B193="","",+A192+1)</f>
        <v>21</v>
      </c>
      <c r="B193" s="132" t="str">
        <f aca="false">IF($D$129="Standard",$O$186,IF($D$129="Soumdproof",$O$187,))</f>
        <v>ยางแซชกันน้ำ (ธรรมดา)</v>
      </c>
      <c r="C193" s="132" t="str">
        <f aca="false">IF($D$129="Standard",$P$186,IF($D$129="Soumdproof",$P$187,))</f>
        <v>SASH SEAL FOAM (Standard)</v>
      </c>
      <c r="D193" s="132" t="str">
        <f aca="false">IF($D$129="Standard",$Q$186,IF($D$129="Soumdproof",$Q$187,))</f>
        <v>02-031</v>
      </c>
      <c r="E193" s="130" t="n">
        <f aca="false">IF($D$129="Standard",R191,IF($D$129="Soumdproof",R192,))</f>
        <v>0</v>
      </c>
      <c r="F193" s="130" t="str">
        <f aca="false">IF($D$129="Standard",$S$186,IF($D$129="Soumdproof",$S$187,))</f>
        <v>02-031</v>
      </c>
      <c r="G193" s="130" t="str">
        <f aca="false">IF($D$129="Standard",$T$186,IF($D$129="Soumdproof",$T$187,))</f>
        <v>M</v>
      </c>
      <c r="H193" s="173" t="n">
        <f aca="false">IF($D$129="Standard",$U$186,IF($D$129="Soumdproof",$U$187,))</f>
        <v>80.856</v>
      </c>
      <c r="I193" s="174" t="n">
        <f aca="false">IF($D$129="Standard",$V$186,IF($D$129="Soumdproof",$V$187,))</f>
        <v>350</v>
      </c>
      <c r="J193" s="177" t="n">
        <f aca="false">ROUNDUP((H193)/100,0)</f>
        <v>1</v>
      </c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</row>
    <row r="194" s="96" customFormat="true" ht="18" hidden="false" customHeight="true" outlineLevel="0" collapsed="false">
      <c r="A194" s="170" t="n">
        <f aca="false">IF(B194="","",+A193+1)</f>
        <v>22</v>
      </c>
      <c r="B194" s="176" t="str">
        <f aca="false">IF($D$127=5,$O$175,IF($D$127=6,$O$176,IF($D$127=8,$O$177,IF($D$127=10,$O$175,IF($D$127=12,$O$175,IF($D$127=14,$O$177,IF($D$127=18,$O$175,IF($D$127=20,$O$176,IF($D$127=22,"")))))))))</f>
        <v>8,14 mm ยางอัดกระจก</v>
      </c>
      <c r="C194" s="176" t="str">
        <f aca="false">IF($D$127=5,$P$175,IF($D$127=6,$P$176,IF($D$127=8,$P$177,IF($D$127=10,$P$175,IF($D$127=12,$P$175,IF($D$127=14,$P$177,IF($D$127=18,$P$175,IF($D$127=20,$P$176,IF($D$127=22,"")))))))))</f>
        <v>8,14 mm ROLL IN WEDGE</v>
      </c>
      <c r="D194" s="176" t="str">
        <f aca="false">IF($D$127=5,$Q$175,IF($D$127=6,$Q$176,IF($D$127=8,$Q$177,IF($D$127=10,$Q$175,IF($D$127=12,$Q$175,IF($D$127=14,$Q$177,IF($D$127=18,$Q$175,IF($D$127=20,$Q$176,IF($D$127=22,"")))))))))</f>
        <v>02-045</v>
      </c>
      <c r="E194" s="176" t="n">
        <f aca="false">IF($D$127=5,R180,IF($D$127=6,R181,IF($D$127=8,R182,IF($D$127=10,R180,IF($D$127=12,R180,IF($D$127=14,R182,IF($D$127=18,R180,IF($D$127=20,R181,IF($D$127=22,"",)))))))))</f>
        <v>0</v>
      </c>
      <c r="F194" s="167" t="str">
        <f aca="false">IF($D$127=5,$S$175,IF($D$127=6,$S$176,IF($D$127=8,$S$177,IF($D$127=10,$S$175,IF($D$127=12,$S$175,IF($D$127=14,$S$177,IF($D$127=18,$S$175,IF($D$127=20,$S$176,IF($D$127=22,"")))))))))</f>
        <v>02-045</v>
      </c>
      <c r="G194" s="167" t="str">
        <f aca="false">IF($D$127=5,$T$175,IF($D$127=6,$T$176,IF($D$127=8,$T$177,IF($D$127=10,$T$175,IF($D$127=12,$T$175,IF($D$127=14,$T$177,IF($D$127=18,$T$175,IF($D$127=20,$T$176,IF($D$127=22,"")))))))))</f>
        <v>M</v>
      </c>
      <c r="H194" s="173" t="n">
        <f aca="false">IF($D$127=5,$U$175,IF($D$127=6,$U$176,IF($D$127=8,$U$177,IF($D$127=10,$U$175*2,IF($D$127=12,$U$175,IF($D$127=14,$U$177*2,IF($D$127=18,$U$175,IF($D$127=20,$U$176,IF($D$127=22,"")))))))))</f>
        <v>47.144</v>
      </c>
      <c r="I194" s="174" t="n">
        <f aca="false">IF($D$127=5,$V$175,IF($D$127=6,$V$176,IF($D$127=8,$V$177,IF($D$127=10,$V$175,IF($D$127=12,$V$175,IF($D$127=14,$V$177,IF($D$127=18,$V$175,IF($D$127=20,$V$176,IF($D$127=22,"")))))))))</f>
        <v>100</v>
      </c>
      <c r="J194" s="177" t="n">
        <f aca="false">ROUNDUP((H194)/100,0)</f>
        <v>1</v>
      </c>
    </row>
    <row r="195" s="96" customFormat="true" ht="18" hidden="false" customHeight="true" outlineLevel="0" collapsed="false">
      <c r="A195" s="170" t="n">
        <f aca="false">IF(B195="","",+A194+1)</f>
        <v>23</v>
      </c>
      <c r="B195" s="176" t="str">
        <f aca="false">IF($D$127=5,$O$173,IF($D$127=6,$O$173,IF($D$127=8,$O$175,IF($D$127=10,"",IF($D$127=12,$O$174,IF($D$127=14,"",IF($D$127=18,$O$173,IF($D$127=20,$O$174,IF($D$127=22,"",)))))))))</f>
        <v>5,8,10,12,18 mmยางอัดกระจก</v>
      </c>
      <c r="C195" s="176" t="str">
        <f aca="false">IF($D$127=5,$P$173,IF($D$127=6,$P$173,IF($D$127=8,$P$175,IF($D$127=10,"",IF($D$127=12,$P$174,IF($D$127=14,"",IF($D$127=18,$P$173,IF($D$127=20,$P$174,IF($D$127=22,"",)))))))))</f>
        <v>5,8,10,12,18 mm ROLL IN WEDGE</v>
      </c>
      <c r="D195" s="176" t="str">
        <f aca="false">IF($D$127=5,$Q$173,IF($D$127=6,$Q$173,IF($D$127=8,$Q$175,IF($D$127=10,"",IF($D$127=12,$Q$174,IF($D$127=14,"",IF($D$127=18,$Q$173,IF($D$127=20,$Q$174,IF($D$127=22,"",)))))))))</f>
        <v>02-033</v>
      </c>
      <c r="E195" s="176" t="n">
        <f aca="false">IF($D$127=5,R178,IF($D$127=6,R178,IF($D$127=8,R180,IF($D$127=10,"",IF($D$127=12,R179,IF($D$127=14,"",IF($D$127=18,R178,IF($D$127=20,R179,IF($D$127=22,"",)))))))))</f>
        <v>0</v>
      </c>
      <c r="F195" s="167" t="str">
        <f aca="false">IF($D$127=5,$S$173,IF($D$127=6,$S$173,IF($D$127=8,$S$175,IF($D$127=10,"",IF($D$127=12,$S$174,IF($D$127=14,"",IF($D$127=18,$S$173,IF($D$127=20,$S$174,IF($D$127=22,"",)))))))))</f>
        <v>02-033</v>
      </c>
      <c r="G195" s="167" t="str">
        <f aca="false">IF($D$127=5,$T$173,IF($D$127=6,$T$173,IF($D$127=8,$T$175,IF($D$127=10,"",IF($D$127=12,$T$174,IF($D$127=14,"",IF($D$127=18,$T$173,IF($D$127=20,$T$174,IF($D$127=22,"",)))))))))</f>
        <v>M</v>
      </c>
      <c r="H195" s="173" t="n">
        <f aca="false">IF($D$127=5,$U$173,IF($D$127=6,$U$173,IF($D$127=8,$U$175,IF($D$127=10,"",IF($D$127=12,$U$174,IF($D$127=14,"",IF($D$127=18,$U$173,IF($D$127=20,$U$174,IF($D$127=22,"")))))))))</f>
        <v>47.144</v>
      </c>
      <c r="I195" s="174" t="n">
        <f aca="false">IF($D$127=5,$V$173,IF($D$127=6,$V$173,IF($D$127=8,$V$175,IF($D$127=10,"",IF($D$127=12,$V$174,IF($D$127=14,"",IF($D$127=18,$V$173,IF($D$127=20,$V$174,IF($D$127=22,"",)))))))))</f>
        <v>100</v>
      </c>
      <c r="J195" s="177" t="n">
        <f aca="false">ROUNDUP((H195)/100,0)</f>
        <v>1</v>
      </c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30"/>
      <c r="I196" s="133"/>
      <c r="J196" s="134" t="n">
        <f aca="false">$J$120*H196</f>
        <v>0</v>
      </c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$J$120*H197</f>
        <v>0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$J$120*H198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$J$120*H204</f>
        <v>0</v>
      </c>
    </row>
    <row r="205" s="96" customFormat="true" ht="18" hidden="false" customHeight="true" outlineLevel="0" collapsed="false">
      <c r="A205" s="179" t="str">
        <f aca="false">IF(B205="","",+A204+1)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$J$120*H205</f>
        <v>0</v>
      </c>
    </row>
    <row r="206" s="96" customFormat="true" ht="18" hidden="false" customHeight="true" outlineLevel="0" collapsed="false">
      <c r="A206" s="200"/>
      <c r="B206" s="98"/>
      <c r="D206" s="98"/>
      <c r="E206" s="97"/>
      <c r="F206" s="98"/>
      <c r="G206" s="98"/>
      <c r="H206" s="98"/>
      <c r="I206" s="196"/>
      <c r="J206" s="196"/>
    </row>
    <row r="207" customFormat="false" ht="18" hidden="false" customHeight="true" outlineLevel="0" collapsed="false">
      <c r="A207" s="97"/>
      <c r="J207" s="92" t="str">
        <f aca="false">LEFT($J$111,13)&amp;"-02"</f>
        <v>FG-240-9P6L3R-02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458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1940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461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1914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464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1940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97"/>
      <c r="H252" s="97"/>
      <c r="I252" s="196"/>
      <c r="J252" s="196"/>
    </row>
    <row r="253" s="96" customFormat="true" ht="15.75" hidden="false" customHeight="true" outlineLevel="0" collapsed="false">
      <c r="A253" s="191"/>
      <c r="B253" s="191"/>
      <c r="D253" s="192"/>
      <c r="E253" s="191"/>
      <c r="F253" s="191"/>
      <c r="G253" s="97"/>
      <c r="H253" s="97"/>
      <c r="I253" s="196"/>
      <c r="J253" s="196"/>
    </row>
    <row r="254" s="96" customFormat="true" ht="15.75" hidden="false" customHeight="true" outlineLevel="0" collapsed="false">
      <c r="A254" s="190"/>
      <c r="B254" s="190"/>
      <c r="C254" s="184" t="s">
        <v>465</v>
      </c>
      <c r="D254" s="194"/>
      <c r="E254" s="190"/>
      <c r="F254" s="189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459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460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5" t="n">
        <f aca="false">$I$136</f>
        <v>1940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7" t="n">
        <f aca="false">$J$136</f>
        <v>1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C262" s="98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184" t="s">
        <v>466</v>
      </c>
      <c r="D264" s="98"/>
      <c r="E264" s="97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522</v>
      </c>
      <c r="D265" s="181"/>
      <c r="E265" s="181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468</v>
      </c>
      <c r="D266" s="181"/>
      <c r="E266" s="181"/>
      <c r="F266" s="97"/>
      <c r="G266" s="97"/>
      <c r="H266" s="97"/>
      <c r="J266" s="97"/>
    </row>
    <row r="267" s="96" customFormat="true" ht="15.75" hidden="false" customHeight="true" outlineLevel="0" collapsed="false">
      <c r="A267" s="200"/>
      <c r="C267" s="185" t="n">
        <f aca="false">$I$137</f>
        <v>2500</v>
      </c>
      <c r="D267" s="98"/>
      <c r="E267" s="97"/>
      <c r="F267" s="97"/>
      <c r="J267" s="97"/>
    </row>
    <row r="268" s="96" customFormat="true" ht="15.75" hidden="false" customHeight="true" outlineLevel="0" collapsed="false">
      <c r="A268" s="200"/>
      <c r="C268" s="187" t="n">
        <f aca="false">$J$137+$J$138</f>
        <v>2</v>
      </c>
      <c r="D268" s="98"/>
      <c r="E268" s="97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I272" s="196"/>
      <c r="J272" s="196"/>
    </row>
    <row r="273" s="96" customFormat="true" ht="15.75" hidden="false" customHeight="true" outlineLevel="0" collapsed="false">
      <c r="A273" s="200"/>
      <c r="D273" s="98"/>
      <c r="E273" s="97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C274" s="184" t="s">
        <v>469</v>
      </c>
      <c r="D274" s="201"/>
      <c r="E274" s="196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1" t="s">
        <v>470</v>
      </c>
      <c r="D275" s="181"/>
      <c r="E275" s="181"/>
      <c r="F275" s="97"/>
      <c r="G275" s="97"/>
      <c r="I275" s="97"/>
      <c r="J275" s="196"/>
    </row>
    <row r="276" s="96" customFormat="true" ht="15.75" hidden="false" customHeight="true" outlineLevel="0" collapsed="false">
      <c r="A276" s="200"/>
      <c r="C276" s="181" t="s">
        <v>471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5" t="n">
        <f aca="false">$I$139</f>
        <v>2404</v>
      </c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7" t="n">
        <f aca="false">$J$139+$J$140</f>
        <v>2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F279" s="97"/>
      <c r="G279" s="97"/>
      <c r="H279" s="97"/>
      <c r="J279" s="97"/>
    </row>
    <row r="280" s="96" customFormat="true" ht="15.75" hidden="false" customHeight="true" outlineLevel="0" collapsed="false">
      <c r="A280" s="200"/>
      <c r="D280" s="98"/>
      <c r="E280" s="97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I282" s="201"/>
      <c r="J282" s="196"/>
    </row>
    <row r="283" s="96" customFormat="true" ht="15.75" hidden="false" customHeight="true" outlineLevel="0" collapsed="false">
      <c r="A283" s="200"/>
      <c r="C283" s="184" t="s">
        <v>472</v>
      </c>
      <c r="F283" s="97"/>
      <c r="G283" s="97"/>
      <c r="H283" s="97"/>
      <c r="I283" s="97"/>
      <c r="J283" s="196"/>
    </row>
    <row r="284" s="96" customFormat="true" ht="15.75" hidden="false" customHeight="true" outlineLevel="0" collapsed="false">
      <c r="A284" s="200"/>
      <c r="C284" s="83" t="s">
        <v>763</v>
      </c>
      <c r="D284" s="98"/>
      <c r="E284" s="97"/>
      <c r="F284" s="97"/>
      <c r="G284" s="97"/>
      <c r="H284" s="97"/>
      <c r="I284" s="196"/>
      <c r="J284" s="196"/>
    </row>
    <row r="285" s="96" customFormat="true" ht="15.75" hidden="false" customHeight="true" outlineLevel="0" collapsed="false">
      <c r="A285" s="200"/>
      <c r="C285" s="181" t="s">
        <v>764</v>
      </c>
      <c r="D285" s="98"/>
      <c r="E285" s="97"/>
      <c r="F285" s="97"/>
      <c r="G285" s="97"/>
      <c r="H285" s="97"/>
      <c r="I285" s="196"/>
      <c r="J285" s="196"/>
    </row>
    <row r="286" s="96" customFormat="true" ht="15.75" hidden="false" customHeight="true" outlineLevel="0" collapsed="false">
      <c r="A286" s="200"/>
      <c r="C286" s="181" t="s">
        <v>475</v>
      </c>
      <c r="D286" s="181"/>
      <c r="E286" s="181"/>
      <c r="F286" s="97"/>
      <c r="G286" s="97"/>
      <c r="I286" s="196"/>
      <c r="J286" s="196"/>
    </row>
    <row r="287" s="202" customFormat="true" ht="15.75" hidden="false" customHeight="true" outlineLevel="0" collapsed="false">
      <c r="A287" s="200"/>
      <c r="B287" s="96"/>
      <c r="C287" s="181" t="s">
        <v>476</v>
      </c>
      <c r="D287" s="181"/>
      <c r="E287" s="181"/>
      <c r="F287" s="97"/>
      <c r="G287" s="97"/>
      <c r="H287" s="96"/>
      <c r="I287" s="97"/>
      <c r="J287" s="97"/>
    </row>
    <row r="288" s="96" customFormat="true" ht="15.75" hidden="false" customHeight="true" outlineLevel="0" collapsed="false">
      <c r="A288" s="200"/>
      <c r="C288" s="185" t="n">
        <f aca="false">$I$141</f>
        <v>211.111111111111</v>
      </c>
      <c r="F288" s="97"/>
      <c r="G288" s="97"/>
      <c r="I288" s="191"/>
      <c r="J288" s="199"/>
    </row>
    <row r="289" s="96" customFormat="true" ht="15.75" hidden="false" customHeight="true" outlineLevel="0" collapsed="false">
      <c r="A289" s="200"/>
      <c r="C289" s="187" t="n">
        <f aca="false">$J$141+$J$142</f>
        <v>18</v>
      </c>
      <c r="D289" s="98"/>
      <c r="E289" s="97"/>
      <c r="F289" s="97"/>
      <c r="G289" s="97"/>
      <c r="H289" s="98"/>
      <c r="I289" s="189"/>
      <c r="J289" s="190"/>
    </row>
    <row r="290" s="96" customFormat="true" ht="15.75" hidden="false" customHeight="true" outlineLevel="0" collapsed="false">
      <c r="A290" s="200"/>
      <c r="C290" s="185" t="n">
        <f aca="false">$I$143</f>
        <v>2408</v>
      </c>
      <c r="D290" s="98"/>
      <c r="E290" s="97"/>
      <c r="F290" s="97"/>
      <c r="G290" s="97"/>
      <c r="H290" s="97"/>
      <c r="I290" s="196"/>
      <c r="J290" s="196"/>
    </row>
    <row r="291" s="96" customFormat="true" ht="15.75" hidden="false" customHeight="true" outlineLevel="0" collapsed="false">
      <c r="A291" s="200"/>
      <c r="C291" s="187" t="n">
        <f aca="false">$J$143+$J$144+$J$145+$J$146</f>
        <v>18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D292" s="98"/>
      <c r="E292" s="97"/>
      <c r="F292" s="97"/>
      <c r="G292" s="97"/>
      <c r="H292" s="97"/>
      <c r="I292" s="97"/>
      <c r="J292" s="196"/>
    </row>
    <row r="293" s="96" customFormat="true" ht="15.75" hidden="false" customHeight="true" outlineLevel="0" collapsed="false">
      <c r="A293" s="200"/>
      <c r="C293" s="202"/>
      <c r="D293" s="98"/>
      <c r="E293" s="97"/>
      <c r="F293" s="97"/>
      <c r="G293" s="97"/>
      <c r="H293" s="97"/>
      <c r="I293" s="97"/>
      <c r="J293" s="196"/>
    </row>
    <row r="294" s="96" customFormat="true" ht="15.75" hidden="false" customHeight="true" outlineLevel="0" collapsed="false">
      <c r="A294" s="200"/>
      <c r="C294" s="184" t="s">
        <v>477</v>
      </c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83" t="s">
        <v>763</v>
      </c>
      <c r="D295" s="98"/>
      <c r="E295" s="97"/>
      <c r="F295" s="97"/>
      <c r="G295" s="191"/>
      <c r="H295" s="191"/>
      <c r="I295" s="97"/>
      <c r="J295" s="196"/>
    </row>
    <row r="296" s="96" customFormat="true" ht="15.75" hidden="false" customHeight="true" outlineLevel="0" collapsed="false">
      <c r="A296" s="200"/>
      <c r="C296" s="181" t="s">
        <v>764</v>
      </c>
      <c r="D296" s="181"/>
      <c r="E296" s="181"/>
      <c r="F296" s="97"/>
      <c r="G296" s="190"/>
      <c r="H296" s="189"/>
      <c r="I296" s="97"/>
      <c r="J296" s="196"/>
    </row>
    <row r="297" s="96" customFormat="true" ht="15.75" hidden="false" customHeight="true" outlineLevel="0" collapsed="false">
      <c r="A297" s="107"/>
      <c r="C297" s="181" t="s">
        <v>478</v>
      </c>
      <c r="D297" s="181"/>
      <c r="E297" s="181"/>
      <c r="F297" s="97"/>
      <c r="G297" s="97"/>
      <c r="H297" s="97"/>
      <c r="I297" s="97"/>
      <c r="J297" s="196"/>
    </row>
    <row r="298" s="96" customFormat="true" ht="15.75" hidden="false" customHeight="true" outlineLevel="0" collapsed="false">
      <c r="A298" s="191"/>
      <c r="B298" s="191"/>
      <c r="C298" s="181" t="s">
        <v>479</v>
      </c>
      <c r="D298" s="203"/>
      <c r="E298" s="204"/>
      <c r="F298" s="191"/>
      <c r="G298" s="97"/>
      <c r="H298" s="97"/>
      <c r="I298" s="97"/>
      <c r="J298" s="196"/>
    </row>
    <row r="299" s="96" customFormat="true" ht="15.75" hidden="false" customHeight="true" outlineLevel="0" collapsed="false">
      <c r="A299" s="190"/>
      <c r="B299" s="190"/>
      <c r="C299" s="185" t="n">
        <f aca="false">$I$147</f>
        <v>101</v>
      </c>
      <c r="D299" s="205"/>
      <c r="E299" s="206"/>
      <c r="F299" s="189"/>
      <c r="G299" s="97"/>
      <c r="H299" s="97"/>
      <c r="I299" s="97"/>
      <c r="J299" s="196"/>
    </row>
    <row r="300" s="96" customFormat="true" ht="15.75" hidden="false" customHeight="true" outlineLevel="0" collapsed="false">
      <c r="A300" s="97"/>
      <c r="C300" s="187" t="n">
        <f aca="false">$J$147</f>
        <v>18</v>
      </c>
      <c r="D300" s="98"/>
      <c r="F300" s="97"/>
      <c r="G300" s="97"/>
      <c r="H300" s="97"/>
      <c r="I300" s="97"/>
      <c r="J300" s="196"/>
    </row>
    <row r="301" s="96" customFormat="true" ht="15.75" hidden="false" customHeight="true" outlineLevel="0" collapsed="false">
      <c r="A301" s="97"/>
      <c r="C301" s="185" t="n">
        <f aca="false">$I$148</f>
        <v>2258</v>
      </c>
      <c r="D301" s="98"/>
      <c r="F301" s="97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7" t="n">
        <f aca="false">$J$148</f>
        <v>18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C306" s="184" t="s">
        <v>744</v>
      </c>
      <c r="D306" s="98"/>
      <c r="E306" s="97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1" t="s">
        <v>475</v>
      </c>
      <c r="D307" s="181"/>
      <c r="E307" s="181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249" t="s">
        <v>476</v>
      </c>
      <c r="D308" s="249"/>
      <c r="E308" s="249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5" t="n">
        <f aca="false">$I$149</f>
        <v>2408</v>
      </c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7" t="n">
        <f aca="false">$J$149+$J$150</f>
        <v>2</v>
      </c>
      <c r="D310" s="181"/>
      <c r="E310" s="181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C311" s="181"/>
      <c r="D311" s="181"/>
      <c r="E311" s="181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C312" s="181"/>
      <c r="D312" s="181"/>
      <c r="E312" s="181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LEFT($J$111,13)&amp;"-03"</f>
        <v>FG-240-9P6L3R-03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I316" s="76"/>
      <c r="J316" s="77" t="str">
        <f aca="false">$J$2</f>
        <v>HOMELIFE</v>
      </c>
      <c r="K316" s="83"/>
      <c r="L316" s="83"/>
      <c r="M316" s="79"/>
      <c r="N316" s="79"/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240-9 Panel (6L3R)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195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96" customFormat="true" ht="15.75" hidden="false" customHeight="true" outlineLevel="0" collapsed="false">
      <c r="A404" s="107"/>
      <c r="D404" s="98"/>
      <c r="E404" s="97"/>
      <c r="F404" s="97"/>
      <c r="G404" s="97"/>
      <c r="H404" s="97"/>
      <c r="I404" s="97"/>
      <c r="J404" s="97"/>
    </row>
    <row r="405" s="202" customFormat="true" ht="15.75" hidden="false" customHeight="true" outlineLevel="0" collapsed="false">
      <c r="A405" s="107"/>
      <c r="B405" s="96"/>
      <c r="C405" s="96"/>
      <c r="D405" s="98"/>
      <c r="E405" s="97"/>
      <c r="F405" s="97"/>
      <c r="G405" s="97"/>
      <c r="H405" s="97"/>
      <c r="I405" s="97"/>
      <c r="J405" s="97"/>
    </row>
    <row r="406" s="96" customFormat="true" ht="15.75" hidden="false" customHeight="true" outlineLevel="0" collapsed="false">
      <c r="A406" s="191"/>
      <c r="D406" s="98"/>
      <c r="E406" s="97"/>
      <c r="F406" s="97"/>
      <c r="G406" s="97"/>
      <c r="H406" s="97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LEFT($J$111,13)&amp;"-04"</f>
        <v>FG-240-9P6L3R-04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B423" s="96"/>
      <c r="C423" s="96"/>
      <c r="D423" s="98"/>
      <c r="E423" s="97"/>
      <c r="F423" s="97"/>
      <c r="G423" s="97"/>
      <c r="H423" s="97"/>
      <c r="I423" s="76"/>
      <c r="J423" s="77" t="str">
        <f aca="false">J2</f>
        <v>HOMELIFE</v>
      </c>
      <c r="K423" s="83"/>
      <c r="L423" s="83"/>
      <c r="M423" s="79"/>
      <c r="N423" s="79"/>
    </row>
    <row r="424" customFormat="false" ht="24.75" hidden="false" customHeight="true" outlineLevel="0" collapsed="false">
      <c r="C424" s="75"/>
      <c r="D424" s="76"/>
      <c r="E424" s="76"/>
      <c r="F424" s="76"/>
      <c r="G424" s="76"/>
      <c r="H424" s="76"/>
      <c r="I424" s="82"/>
      <c r="J424" s="80" t="str">
        <f aca="false">J3</f>
        <v>Fabricators Guide</v>
      </c>
      <c r="K424" s="83"/>
      <c r="L424" s="83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J4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240-9 Panel (6L3R)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191"/>
      <c r="C442" s="212"/>
      <c r="D442" s="98"/>
      <c r="E442" s="97"/>
      <c r="F442" s="97"/>
      <c r="H442" s="191"/>
      <c r="I442" s="191"/>
      <c r="J442" s="199"/>
    </row>
    <row r="443" s="96" customFormat="true" ht="15.75" hidden="false" customHeight="true" outlineLevel="0" collapsed="false">
      <c r="A443" s="190"/>
      <c r="C443" s="191"/>
      <c r="D443" s="192"/>
      <c r="E443" s="191"/>
      <c r="F443" s="191"/>
      <c r="H443" s="191"/>
      <c r="I443" s="191"/>
      <c r="J443" s="199"/>
    </row>
    <row r="444" s="96" customFormat="true" ht="34.5" hidden="false" customHeight="true" outlineLevel="0" collapsed="false">
      <c r="A444" s="97"/>
      <c r="C444" s="98"/>
      <c r="D444" s="194"/>
      <c r="E444" s="190"/>
      <c r="F444" s="189"/>
      <c r="H444" s="191"/>
      <c r="I444" s="196"/>
      <c r="J444" s="196"/>
    </row>
    <row r="445" customFormat="false" ht="15" hidden="false" customHeight="true" outlineLevel="0" collapsed="false">
      <c r="B445" s="211"/>
      <c r="C445" s="98"/>
      <c r="D445" s="98"/>
      <c r="E445" s="97"/>
      <c r="F445" s="98"/>
      <c r="G445" s="97"/>
      <c r="H445" s="97"/>
    </row>
    <row r="450" s="96" customFormat="true" ht="15.75" hidden="false" customHeight="true" outlineLevel="0" collapsed="false">
      <c r="A450" s="97"/>
      <c r="D450" s="73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191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97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196"/>
      <c r="J457" s="196"/>
    </row>
    <row r="458" s="96" customFormat="true" ht="15.7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195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202" customFormat="true" ht="15.75" hidden="false" customHeight="true" outlineLevel="0" collapsed="false">
      <c r="A477" s="97"/>
      <c r="B477" s="96"/>
      <c r="C477" s="96"/>
      <c r="D477" s="98"/>
      <c r="E477" s="97"/>
      <c r="F477" s="97"/>
      <c r="G477" s="97"/>
      <c r="H477" s="97"/>
      <c r="I477" s="97"/>
      <c r="J477" s="97"/>
    </row>
    <row r="478" s="96" customFormat="true" ht="15.75" hidden="false" customHeight="true" outlineLevel="0" collapsed="false">
      <c r="A478" s="191"/>
      <c r="D478" s="98"/>
      <c r="E478" s="97"/>
      <c r="F478" s="97"/>
      <c r="G478" s="97"/>
      <c r="H478" s="97"/>
      <c r="I478" s="191"/>
      <c r="J478" s="199"/>
    </row>
    <row r="479" s="96" customFormat="true" ht="15.75" hidden="false" customHeight="true" outlineLevel="0" collapsed="false">
      <c r="A479" s="190"/>
      <c r="B479" s="191"/>
      <c r="C479" s="191"/>
      <c r="D479" s="192"/>
      <c r="E479" s="191"/>
      <c r="F479" s="191"/>
      <c r="G479" s="191"/>
      <c r="H479" s="191"/>
      <c r="I479" s="189"/>
      <c r="J479" s="190"/>
    </row>
    <row r="480" s="96" customFormat="true" ht="15.75" hidden="false" customHeight="true" outlineLevel="0" collapsed="false">
      <c r="A480" s="200"/>
      <c r="B480" s="190"/>
      <c r="C480" s="191"/>
      <c r="D480" s="194"/>
      <c r="E480" s="190"/>
      <c r="F480" s="189"/>
      <c r="G480" s="190"/>
      <c r="H480" s="189"/>
      <c r="I480" s="196"/>
      <c r="J480" s="196"/>
    </row>
    <row r="481" s="96" customFormat="true" ht="15.75" hidden="false" customHeight="true" outlineLevel="0" collapsed="false">
      <c r="A481" s="200"/>
      <c r="C481" s="182"/>
      <c r="D481" s="98"/>
      <c r="E481" s="97"/>
      <c r="F481" s="97"/>
      <c r="G481" s="97"/>
      <c r="H481" s="182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C487" s="98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182"/>
      <c r="J499" s="97"/>
    </row>
    <row r="500" s="96" customFormat="true" ht="15.75" hidden="false" customHeight="true" outlineLevel="0" collapsed="false">
      <c r="A500" s="200"/>
      <c r="C500" s="188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I501" s="196"/>
      <c r="J501" s="196"/>
    </row>
    <row r="502" s="96" customFormat="true" ht="15.75" hidden="false" customHeight="true" outlineLevel="0" collapsed="false">
      <c r="A502" s="200"/>
      <c r="C502" s="98"/>
      <c r="D502" s="98"/>
      <c r="E502" s="97"/>
      <c r="F502" s="97"/>
      <c r="G502" s="97"/>
      <c r="H502" s="182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I507" s="196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I508" s="196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196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196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212"/>
      <c r="J513" s="195"/>
    </row>
    <row r="514" s="96" customFormat="true" ht="15.75" hidden="false" customHeight="true" outlineLevel="0" collapsed="false">
      <c r="A514" s="191"/>
      <c r="B514" s="191"/>
      <c r="C514" s="191"/>
      <c r="D514" s="192"/>
      <c r="E514" s="191"/>
      <c r="F514" s="191"/>
      <c r="G514" s="191"/>
      <c r="H514" s="191"/>
      <c r="I514" s="191"/>
      <c r="J514" s="199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B516" s="191"/>
      <c r="C516" s="191"/>
      <c r="D516" s="192"/>
      <c r="E516" s="191"/>
      <c r="F516" s="191"/>
      <c r="G516" s="191"/>
      <c r="H516" s="191"/>
    </row>
    <row r="517" s="96" customFormat="true" ht="15.75" hidden="false" customHeight="true" outlineLevel="0" collapsed="false"/>
    <row r="518" s="96" customFormat="true" ht="24.75" hidden="false" customHeight="true" outlineLevel="0" collapsed="false">
      <c r="A518" s="88" t="s">
        <v>482</v>
      </c>
      <c r="B518" s="88"/>
      <c r="C518" s="88"/>
      <c r="D518" s="88"/>
      <c r="E518" s="88"/>
      <c r="F518" s="88"/>
      <c r="G518" s="88"/>
      <c r="H518" s="88"/>
      <c r="I518" s="88"/>
      <c r="J518" s="88"/>
    </row>
    <row r="519" s="96" customFormat="true" ht="34.5" hidden="false" customHeight="true" outlineLevel="0" collapsed="false">
      <c r="A519" s="322" t="s">
        <v>319</v>
      </c>
      <c r="B519" s="323" t="s">
        <v>168</v>
      </c>
      <c r="C519" s="323" t="s">
        <v>168</v>
      </c>
      <c r="D519" s="326" t="s">
        <v>483</v>
      </c>
      <c r="E519" s="323" t="s">
        <v>321</v>
      </c>
      <c r="F519" s="327" t="s">
        <v>484</v>
      </c>
      <c r="G519" s="328"/>
      <c r="H519" s="326" t="s">
        <v>484</v>
      </c>
      <c r="I519" s="326" t="s">
        <v>485</v>
      </c>
      <c r="J519" s="329" t="s">
        <v>323</v>
      </c>
      <c r="N519" s="118" t="s">
        <v>168</v>
      </c>
      <c r="O519" s="118" t="s">
        <v>168</v>
      </c>
    </row>
    <row r="520" s="96" customFormat="true" ht="15.75" hidden="false" customHeight="true" outlineLevel="0" collapsed="false">
      <c r="A520" s="324" t="n">
        <f aca="false">IF(C520="","",1)</f>
        <v>1</v>
      </c>
      <c r="B520" s="121" t="str">
        <f aca="false">IF($D$127=5,N520,IF($D$127=6,N521,IF($D$127=8,N522,IF($D$127=10,N523,IF($D$127=12,N524,IF($D$127=14,N525,IF($D$127=18,N526,IF($D$127=20,N527,IF($D$127=22,N528,)))))))))</f>
        <v>กระจก 8 mm (สูง) (กว้าง)</v>
      </c>
      <c r="C520" s="121" t="str">
        <f aca="false">IF($D$127=5,O520,IF($D$127=6,O521,IF($D$127=8,O522,IF($D$127=10,O523,IF($D$127=12,O524,IF($D$127=14,O525,IF($D$127=18,O526,IF($D$127=20,O527,IF($D$127=22,O528,)))))))))</f>
        <v>GLASS thk.8 mm (H) (W)</v>
      </c>
      <c r="D520" s="123" t="n">
        <f aca="false">$J$123-215</f>
        <v>2285</v>
      </c>
      <c r="E520" s="120" t="s">
        <v>486</v>
      </c>
      <c r="F520" s="224" t="s">
        <v>487</v>
      </c>
      <c r="G520" s="224"/>
      <c r="H520" s="120" t="s">
        <v>765</v>
      </c>
      <c r="I520" s="123" t="n">
        <f aca="false">(($J$126-185-(113.25*8))/9)-13</f>
        <v>88</v>
      </c>
      <c r="J520" s="226" t="n">
        <f aca="false">$J$120*9</f>
        <v>9</v>
      </c>
      <c r="N520" s="62" t="s">
        <v>489</v>
      </c>
      <c r="O520" s="62" t="s">
        <v>490</v>
      </c>
    </row>
    <row r="521" s="96" customFormat="true" ht="15.75" hidden="false" customHeight="true" outlineLevel="0" collapsed="false">
      <c r="A521" s="227"/>
      <c r="B521" s="131"/>
      <c r="C521" s="131"/>
      <c r="D521" s="132" t="s">
        <v>208</v>
      </c>
      <c r="E521" s="130"/>
      <c r="F521" s="233"/>
      <c r="G521" s="234"/>
      <c r="H521" s="131"/>
      <c r="I521" s="133"/>
      <c r="J521" s="235"/>
      <c r="N521" s="62" t="s">
        <v>491</v>
      </c>
      <c r="O521" s="62" t="s">
        <v>492</v>
      </c>
    </row>
    <row r="522" s="96" customFormat="true" ht="15.75" hidden="false" customHeight="true" outlineLevel="0" collapsed="false">
      <c r="A522" s="227"/>
      <c r="B522" s="131"/>
      <c r="C522" s="131"/>
      <c r="D522" s="132"/>
      <c r="E522" s="130"/>
      <c r="F522" s="233"/>
      <c r="G522" s="234"/>
      <c r="H522" s="130"/>
      <c r="I522" s="133"/>
      <c r="J522" s="235"/>
      <c r="N522" s="62" t="s">
        <v>493</v>
      </c>
      <c r="O522" s="62" t="s">
        <v>494</v>
      </c>
    </row>
    <row r="523" s="96" customFormat="true" ht="15.75" hidden="false" customHeight="true" outlineLevel="0" collapsed="false">
      <c r="A523" s="130" t="str">
        <f aca="false">IF(B523="","",+A521+1)</f>
        <v/>
      </c>
      <c r="B523" s="131"/>
      <c r="C523" s="131"/>
      <c r="D523" s="132"/>
      <c r="E523" s="130"/>
      <c r="F523" s="233"/>
      <c r="G523" s="270"/>
      <c r="H523" s="130"/>
      <c r="I523" s="142"/>
      <c r="J523" s="133"/>
      <c r="N523" s="62" t="s">
        <v>495</v>
      </c>
      <c r="O523" s="62" t="s">
        <v>496</v>
      </c>
    </row>
    <row r="524" s="96" customFormat="true" ht="15.75" hidden="false" customHeight="true" outlineLevel="0" collapsed="false">
      <c r="A524" s="136" t="str">
        <f aca="false">IF(B524="","",+A523+1)</f>
        <v/>
      </c>
      <c r="B524" s="135"/>
      <c r="C524" s="135"/>
      <c r="D524" s="139"/>
      <c r="E524" s="136"/>
      <c r="F524" s="236"/>
      <c r="G524" s="237"/>
      <c r="H524" s="136"/>
      <c r="I524" s="180"/>
      <c r="J524" s="140"/>
      <c r="N524" s="62" t="s">
        <v>497</v>
      </c>
      <c r="O524" s="62" t="s">
        <v>498</v>
      </c>
    </row>
    <row r="525" s="96" customFormat="true" ht="15.75" hidden="false" customHeight="true" outlineLevel="0" collapsed="false">
      <c r="A525" s="97"/>
      <c r="D525" s="98"/>
      <c r="E525" s="97"/>
      <c r="F525" s="97"/>
      <c r="G525" s="97"/>
      <c r="H525" s="97"/>
      <c r="I525" s="97"/>
      <c r="J525" s="196"/>
      <c r="N525" s="62" t="s">
        <v>499</v>
      </c>
      <c r="O525" s="62" t="s">
        <v>500</v>
      </c>
    </row>
    <row r="526" customFormat="false" ht="14.25" hidden="false" customHeight="false" outlineLevel="0" collapsed="false">
      <c r="J526" s="92" t="str">
        <f aca="false">LEFT($J$111,13)&amp;"-05"</f>
        <v>FG-240-9P6L3R-05</v>
      </c>
      <c r="N526" s="62" t="s">
        <v>501</v>
      </c>
      <c r="O526" s="62" t="s">
        <v>502</v>
      </c>
    </row>
    <row r="527" customFormat="false" ht="14.25" hidden="false" customHeight="false" outlineLevel="0" collapsed="false">
      <c r="N527" s="62" t="s">
        <v>503</v>
      </c>
      <c r="O527" s="62" t="s">
        <v>504</v>
      </c>
    </row>
    <row r="528" customFormat="false" ht="14.25" hidden="false" customHeight="false" outlineLevel="0" collapsed="false">
      <c r="N528" s="62" t="s">
        <v>505</v>
      </c>
      <c r="O528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2:J152"/>
    <mergeCell ref="I153:J153"/>
    <mergeCell ref="I154:J154"/>
    <mergeCell ref="I155:J155"/>
    <mergeCell ref="I156:J156"/>
    <mergeCell ref="D157:D158"/>
    <mergeCell ref="H157:H158"/>
    <mergeCell ref="I157:J158"/>
    <mergeCell ref="D159:D160"/>
    <mergeCell ref="H159:H160"/>
    <mergeCell ref="I159:J159"/>
    <mergeCell ref="I160:J163"/>
    <mergeCell ref="D161:D166"/>
    <mergeCell ref="H161:H166"/>
    <mergeCell ref="I164:J165"/>
    <mergeCell ref="I166:J166"/>
    <mergeCell ref="D167:D168"/>
    <mergeCell ref="H167:H168"/>
    <mergeCell ref="D169:D170"/>
    <mergeCell ref="H169:H170"/>
    <mergeCell ref="A171:J171"/>
    <mergeCell ref="A213:J213"/>
    <mergeCell ref="C308:E308"/>
    <mergeCell ref="A320:J320"/>
    <mergeCell ref="F330:G330"/>
    <mergeCell ref="F331:G331"/>
    <mergeCell ref="F334:G334"/>
    <mergeCell ref="A427:J427"/>
    <mergeCell ref="A518:J518"/>
    <mergeCell ref="F520:G520"/>
  </mergeCells>
  <dataValidations count="4">
    <dataValidation allowBlank="true" errorStyle="stop" operator="between" showDropDown="false" showErrorMessage="true" showInputMessage="true" sqref="C206" type="list">
      <formula1>$O$173:$O$191</formula1>
      <formula2>0</formula2>
    </dataValidation>
    <dataValidation allowBlank="true" errorStyle="stop" operator="between" showDropDown="false" showErrorMessage="true" showInputMessage="true" sqref="D123:G123" type="list">
      <formula1>$P$118:$P$127</formula1>
      <formula2>0</formula2>
    </dataValidation>
    <dataValidation allowBlank="true" errorStyle="stop" operator="between" showDropDown="false" showErrorMessage="true" showInputMessage="true" sqref="D127:G127" type="list">
      <formula1>$N$119:$N$127</formula1>
      <formula2>0</formula2>
    </dataValidation>
    <dataValidation allowBlank="true" errorStyle="stop" operator="between" showDropDown="false" showErrorMessage="true" showInputMessage="true" sqref="D129:G129" type="list">
      <formula1>$O$119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528"/>
  <sheetViews>
    <sheetView showFormulas="false" showGridLines="false" showRowColHeaders="true" showZeros="true" rightToLeft="false" tabSelected="false" showOutlineSymbols="true" defaultGridColor="true" view="pageBreakPreview" topLeftCell="A115" colorId="64" zoomScale="75" zoomScaleNormal="75" zoomScalePageLayoutView="75" workbookViewId="0">
      <selection pane="topLeft" activeCell="H126" activeCellId="0" sqref="H126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56.67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7.88"/>
    <col collapsed="false" customWidth="true" hidden="false" outlineLevel="0" max="9" min="9" style="0" width="15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19.88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780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>
      <c r="G55" s="91"/>
    </row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781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8" hidden="false" customHeight="true" outlineLevel="0" collapsed="false">
      <c r="A118" s="97"/>
      <c r="C118" s="81"/>
      <c r="D118" s="98"/>
      <c r="E118" s="83"/>
      <c r="J118" s="99"/>
      <c r="K118" s="83"/>
      <c r="N118" s="258" t="s">
        <v>288</v>
      </c>
      <c r="O118" s="97" t="s">
        <v>289</v>
      </c>
      <c r="P118" s="102" t="s">
        <v>290</v>
      </c>
    </row>
    <row r="119" s="96" customFormat="true" ht="15" hidden="false" customHeight="true" outlineLevel="0" collapsed="false">
      <c r="A119" s="97"/>
      <c r="C119" s="100" t="s">
        <v>286</v>
      </c>
      <c r="D119" s="101" t="s">
        <v>782</v>
      </c>
      <c r="E119" s="101"/>
      <c r="F119" s="101"/>
      <c r="G119" s="101"/>
      <c r="I119" s="83"/>
      <c r="J119" s="97"/>
      <c r="N119" s="259" t="n">
        <v>5</v>
      </c>
      <c r="O119" s="97" t="s">
        <v>509</v>
      </c>
      <c r="P119" s="106" t="s">
        <v>294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30</v>
      </c>
      <c r="N120" s="259" t="n">
        <v>6</v>
      </c>
      <c r="O120" s="97" t="s">
        <v>296</v>
      </c>
      <c r="P120" s="106" t="s">
        <v>297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8</v>
      </c>
      <c r="P121" s="106" t="s">
        <v>299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10</v>
      </c>
      <c r="P122" s="106" t="s">
        <v>303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2340</v>
      </c>
      <c r="N123" s="259" t="n">
        <v>12</v>
      </c>
      <c r="P123" s="106" t="s">
        <v>305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14</v>
      </c>
      <c r="P124" s="106" t="s">
        <v>308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18</v>
      </c>
      <c r="P125" s="106" t="s">
        <v>311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3721</v>
      </c>
      <c r="K126" s="110"/>
      <c r="L126" s="110"/>
      <c r="N126" s="259" t="n">
        <v>20</v>
      </c>
      <c r="P126" s="106" t="s">
        <v>313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259" t="n">
        <v>22</v>
      </c>
      <c r="P127" s="106" t="s">
        <v>315</v>
      </c>
    </row>
    <row r="128" s="96" customFormat="true" ht="18.75" hidden="false" customHeight="true" outlineLevel="0" collapsed="false">
      <c r="C128" s="108" t="s">
        <v>314</v>
      </c>
      <c r="I128" s="97"/>
      <c r="J128" s="97"/>
    </row>
    <row r="129" s="96" customFormat="true" ht="15" hidden="false" customHeight="true" outlineLevel="0" collapsed="false">
      <c r="A129" s="89" t="str">
        <f aca="false">A18</f>
        <v>240-10 Panel (5L5R)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3661</v>
      </c>
      <c r="J133" s="124" t="n">
        <f aca="false">$J$120*G133</f>
        <v>30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20</v>
      </c>
      <c r="U133" s="127" t="s">
        <v>783</v>
      </c>
      <c r="V133" s="128" t="n">
        <f aca="false">($J$126-185-(113.25*9))/10</f>
        <v>251.675</v>
      </c>
      <c r="W133" s="129" t="n">
        <f aca="false">$J$120*T133</f>
        <v>600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3635</v>
      </c>
      <c r="J134" s="134" t="n">
        <f aca="false">$J$120*G134</f>
        <v>30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20</v>
      </c>
      <c r="U134" s="130" t="s">
        <v>783</v>
      </c>
      <c r="V134" s="142" t="n">
        <f aca="false">($J$126-185-(113.25*9))/10</f>
        <v>251.675</v>
      </c>
      <c r="W134" s="134" t="n">
        <f aca="false">$J$120*T134</f>
        <v>600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3661</v>
      </c>
      <c r="J135" s="134" t="n">
        <f aca="false">$J$120*G135</f>
        <v>30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20</v>
      </c>
      <c r="U135" s="136" t="s">
        <v>783</v>
      </c>
      <c r="V135" s="180" t="n">
        <f aca="false">($J$126-185-(113.25*9))/10</f>
        <v>251.675</v>
      </c>
      <c r="W135" s="137" t="n">
        <f aca="false">$J$120*T135</f>
        <v>600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3661</v>
      </c>
      <c r="J136" s="134" t="n">
        <f aca="false">$J$120*G136</f>
        <v>30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20</v>
      </c>
      <c r="U136" s="127" t="s">
        <v>360</v>
      </c>
      <c r="V136" s="138" t="n">
        <f aca="false">$J$123-242</f>
        <v>2098</v>
      </c>
      <c r="W136" s="129" t="n">
        <f aca="false">$J$120*T136</f>
        <v>600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2340</v>
      </c>
      <c r="J137" s="134" t="n">
        <f aca="false">$J$120*G137</f>
        <v>30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20</v>
      </c>
      <c r="U137" s="130" t="s">
        <v>360</v>
      </c>
      <c r="V137" s="133" t="n">
        <f aca="false">$J$123-242</f>
        <v>2098</v>
      </c>
      <c r="W137" s="134" t="n">
        <f aca="false">$J$120*T137</f>
        <v>600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2340</v>
      </c>
      <c r="J138" s="134" t="n">
        <f aca="false">$J$120*G138</f>
        <v>30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20</v>
      </c>
      <c r="U138" s="136" t="s">
        <v>360</v>
      </c>
      <c r="V138" s="140" t="n">
        <f aca="false">$J$123-242</f>
        <v>2098</v>
      </c>
      <c r="W138" s="137" t="n">
        <f aca="false">$J$120*T138</f>
        <v>600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2244</v>
      </c>
      <c r="J139" s="134" t="n">
        <f aca="false">$J$120*G139</f>
        <v>30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2244</v>
      </c>
      <c r="J140" s="134" t="n">
        <f aca="false">$J$120*G140</f>
        <v>30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10</v>
      </c>
      <c r="H141" s="321" t="s">
        <v>784</v>
      </c>
      <c r="I141" s="141" t="n">
        <f aca="false">(($J$126/2)-60-(5+1)*4)/5</f>
        <v>355.3</v>
      </c>
      <c r="J141" s="134" t="n">
        <f aca="false">$J$120*G141</f>
        <v>300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10</v>
      </c>
      <c r="H142" s="321" t="s">
        <v>784</v>
      </c>
      <c r="I142" s="141" t="n">
        <f aca="false">(($J$126/2)-60-(5+1)*4)/5</f>
        <v>355.3</v>
      </c>
      <c r="J142" s="134" t="n">
        <f aca="false">$J$120*G142</f>
        <v>300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15</v>
      </c>
      <c r="H143" s="130" t="s">
        <v>389</v>
      </c>
      <c r="I143" s="133" t="n">
        <f aca="false">$J$123-92</f>
        <v>2248</v>
      </c>
      <c r="J143" s="134" t="n">
        <f aca="false">$J$120*G143</f>
        <v>450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2</v>
      </c>
      <c r="H144" s="130" t="s">
        <v>389</v>
      </c>
      <c r="I144" s="133" t="n">
        <f aca="false">$J$123-92</f>
        <v>2248</v>
      </c>
      <c r="J144" s="134" t="n">
        <f aca="false">$J$120*G144</f>
        <v>60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390</v>
      </c>
      <c r="C145" s="131" t="s">
        <v>656</v>
      </c>
      <c r="D145" s="132" t="s">
        <v>74</v>
      </c>
      <c r="E145" s="130" t="n">
        <v>1.106</v>
      </c>
      <c r="F145" s="132" t="s">
        <v>563</v>
      </c>
      <c r="G145" s="130" t="n">
        <v>2</v>
      </c>
      <c r="H145" s="130" t="s">
        <v>389</v>
      </c>
      <c r="I145" s="133" t="n">
        <f aca="false">$J$123-92</f>
        <v>2248</v>
      </c>
      <c r="J145" s="134" t="n">
        <f aca="false">$J$120*G145</f>
        <v>60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">
        <v>531</v>
      </c>
      <c r="C146" s="131" t="s">
        <v>532</v>
      </c>
      <c r="D146" s="132" t="s">
        <v>74</v>
      </c>
      <c r="E146" s="130" t="n">
        <v>1.106</v>
      </c>
      <c r="F146" s="132" t="s">
        <v>533</v>
      </c>
      <c r="G146" s="130" t="n">
        <v>1</v>
      </c>
      <c r="H146" s="130" t="s">
        <v>389</v>
      </c>
      <c r="I146" s="133" t="n">
        <f aca="false">$J$123-92</f>
        <v>2248</v>
      </c>
      <c r="J146" s="134" t="n">
        <f aca="false">$J$120*G146</f>
        <v>30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7" s="131" t="str">
        <f aca="false">IF($D$127=5,Q133,IF($D$127=6,Q133,IF($D$127=8,Q134,IF($D$127=10,Q134,IF($D$127=12,Q134,IF($D$127=14,Q135,IF($D$127=18,Q135,IF($D$127=20,Q135,IF($D$127=22,Q135,)))))))))</f>
        <v>B24008</v>
      </c>
      <c r="E147" s="131" t="n">
        <f aca="false">IF($D$127=5,R133,IF($D$127=6,R133,IF($D$127=8,R134,IF($D$127=10,R134,IF($D$127=12,R134,IF($D$127=14,R135,IF($D$127=18,R135,IF($D$127=20,R135,IF($D$127=22,R135,)))))))))</f>
        <v>0.231</v>
      </c>
      <c r="F147" s="131" t="str">
        <f aca="false">IF($D$127=5,S133,IF($D$127=6,S133,IF($D$127=8,S134,IF($D$127=10,S134,IF($D$127=12,S134,IF($D$127=14,S135,IF($D$127=18,S135,IF($D$127=20,S135,IF($D$127=22,S135,)))))))))</f>
        <v>B24008-001</v>
      </c>
      <c r="G147" s="130" t="n">
        <f aca="false">IF($D$127=5,T133,IF($D$127=6,T133,IF($D$127=8,T134,IF($D$127=10,T134,IF($D$127=12,T134,IF($D$127=14,T135,IF($D$127=18,T135,IF($D$127=20,T135,IF($D$127=22,T135,)))))))))</f>
        <v>20</v>
      </c>
      <c r="H147" s="130" t="str">
        <f aca="false">IF($D$127=5,U133,IF($D$127=6,U133,IF($D$127=8,U134,IF($D$127=10,U134,IF($D$127=12,U134,IF($D$127=14,U135,IF($D$127=18,U135,IF($D$127=20,U135,IF($D$127=22,U135,)))))))))</f>
        <v>(W-185-(113.25 × 9))/10</v>
      </c>
      <c r="I147" s="141" t="n">
        <f aca="false">IF($D$127=5,V133,IF($D$127=6,V133,IF($D$127=8,V134,IF($D$127=10,V134,IF($D$127=12,V134,IF($D$127=14,V135,IF($D$127=18,V135,IF($D$127=20,V135,IF($D$127=22,V135,)))))))))</f>
        <v>251.675</v>
      </c>
      <c r="J147" s="134" t="n">
        <f aca="false">$J$120*G147</f>
        <v>600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8" s="131" t="str">
        <f aca="false">IF($D$127=5,Q136,IF($D$127=6,Q136,IF($D$127=8,Q137,IF($D$127=10,Q137,IF($D$127=12,Q137,IF($D$127=14,Q138,IF($D$127=18,Q138,IF($D$127=20,Q138,IF($D$127=22,Q138,)))))))))</f>
        <v>B24008</v>
      </c>
      <c r="E148" s="131" t="n">
        <f aca="false">IF($D$127=5,R136,IF($D$127=6,R136,IF($D$127=8,R137,IF($D$127=10,R137,IF($D$127=12,R137,IF($D$127=14,R138,IF($D$127=18,R138,IF($D$127=20,R138,IF($D$127=22,R138,)))))))))</f>
        <v>0.231</v>
      </c>
      <c r="F148" s="131" t="str">
        <f aca="false">IF($D$127=5,S136,IF($D$127=6,S136,IF($D$127=8,S137,IF($D$127=10,S137,IF($D$127=12,S137,IF($D$127=14,S138,IF($D$127=18,S138,IF($D$127=20,S138,IF($D$127=22,S138,)))))))))</f>
        <v>B24008-002</v>
      </c>
      <c r="G148" s="130" t="n">
        <f aca="false">IF($D$127=5,T136,IF($D$127=6,T136,IF($D$127=8,T137,IF($D$127=10,T137,IF($D$127=12,T137,IF($D$127=14,T138,IF($D$127=18,T138,IF($D$127=20,T138,IF($D$127=22,T138,)))))))))</f>
        <v>20</v>
      </c>
      <c r="H148" s="130" t="str">
        <f aca="false">IF($D$127=5,U136,IF($D$127=6,U136,IF($D$127=8,U137,IF($D$127=10,U137,IF($D$127=12,U137,IF($D$127=14,U138,IF($D$127=18,U138,IF($D$127=20,U138,IF($D$127=22,U138,)))))))))</f>
        <v>H-242</v>
      </c>
      <c r="I148" s="133" t="n">
        <f aca="false">IF($D$127=5,V136,IF($D$127=6,V136,IF($D$127=8,V137,IF($D$127=10,V137,IF($D$127=12,V137,IF($D$127=14,V138,IF($D$127=18,V138,IF($D$127=20,V138,IF($D$127=22,V138,)))))))))</f>
        <v>2098</v>
      </c>
      <c r="J148" s="134" t="n">
        <f aca="false">$J$120*G148</f>
        <v>600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535</v>
      </c>
      <c r="D149" s="132" t="s">
        <v>536</v>
      </c>
      <c r="E149" s="130"/>
      <c r="F149" s="132" t="s">
        <v>537</v>
      </c>
      <c r="G149" s="130" t="n">
        <v>1</v>
      </c>
      <c r="H149" s="130" t="s">
        <v>389</v>
      </c>
      <c r="I149" s="133" t="n">
        <f aca="false">$J$123-92</f>
        <v>2248</v>
      </c>
      <c r="J149" s="134" t="n">
        <f aca="false">$J$120*G149</f>
        <v>30</v>
      </c>
    </row>
    <row r="150" s="96" customFormat="true" ht="18" hidden="false" customHeight="true" outlineLevel="0" collapsed="false">
      <c r="A150" s="130" t="n">
        <f aca="false">IF(B150="","",+A149+1)</f>
        <v>18</v>
      </c>
      <c r="B150" s="131" t="s">
        <v>534</v>
      </c>
      <c r="C150" s="131" t="s">
        <v>535</v>
      </c>
      <c r="D150" s="132" t="s">
        <v>536</v>
      </c>
      <c r="E150" s="130"/>
      <c r="F150" s="132" t="s">
        <v>539</v>
      </c>
      <c r="G150" s="130" t="n">
        <v>1</v>
      </c>
      <c r="H150" s="130" t="s">
        <v>389</v>
      </c>
      <c r="I150" s="133" t="n">
        <f aca="false">$J$123-92</f>
        <v>2248</v>
      </c>
      <c r="J150" s="134" t="n">
        <f aca="false">$J$120*G150</f>
        <v>30</v>
      </c>
    </row>
    <row r="151" s="96" customFormat="true" ht="18" hidden="false" customHeight="true" outlineLevel="0" collapsed="false">
      <c r="A151" s="130" t="str">
        <f aca="false">IF(B151="","",+A140+1)</f>
        <v/>
      </c>
      <c r="B151" s="143"/>
      <c r="C151" s="143"/>
      <c r="D151" s="144"/>
      <c r="E151" s="145"/>
      <c r="F151" s="144"/>
      <c r="G151" s="145"/>
      <c r="H151" s="145"/>
      <c r="I151" s="146"/>
      <c r="J151" s="147" t="n">
        <f aca="false">$J$120*G151</f>
        <v>0</v>
      </c>
    </row>
    <row r="152" s="96" customFormat="true" ht="27" hidden="false" customHeight="true" outlineLevel="1" collapsed="false">
      <c r="A152" s="148" t="s">
        <v>319</v>
      </c>
      <c r="B152" s="148" t="s">
        <v>320</v>
      </c>
      <c r="C152" s="148" t="s">
        <v>168</v>
      </c>
      <c r="D152" s="148" t="s">
        <v>166</v>
      </c>
      <c r="E152" s="148" t="s">
        <v>321</v>
      </c>
      <c r="F152" s="149" t="s">
        <v>393</v>
      </c>
      <c r="G152" s="148" t="s">
        <v>394</v>
      </c>
      <c r="H152" s="150" t="s">
        <v>395</v>
      </c>
      <c r="I152" s="151"/>
      <c r="J152" s="151"/>
    </row>
    <row r="153" s="96" customFormat="true" ht="15" hidden="false" customHeight="true" outlineLevel="1" collapsed="false">
      <c r="A153" s="152" t="n">
        <f aca="false">IF(B153="","",1)</f>
        <v>1</v>
      </c>
      <c r="B153" s="153" t="str">
        <f aca="false">B133</f>
        <v>เฟรมบน</v>
      </c>
      <c r="C153" s="153" t="str">
        <f aca="false">C133</f>
        <v>HEAD</v>
      </c>
      <c r="D153" s="154" t="str">
        <f aca="false">VLOOKUP(C153,$C$133:$H$151,2,0)</f>
        <v>B24001</v>
      </c>
      <c r="E153" s="155" t="n">
        <f aca="false">VLOOKUP(C153,$C$133:$H$151,3,0)</f>
        <v>1.603</v>
      </c>
      <c r="F153" s="263" t="n">
        <f aca="false">VLOOKUP(C153,$C$133:$J$151,7,0)</f>
        <v>3661</v>
      </c>
      <c r="G153" s="155" t="n">
        <f aca="false">VLOOKUP(C153,$C$133:$J$151,8,0)</f>
        <v>30</v>
      </c>
      <c r="H153" s="264" t="n">
        <f aca="false">ROUNDUP((F153*G153)/6400,0)</f>
        <v>18</v>
      </c>
      <c r="I153" s="265"/>
      <c r="J153" s="265"/>
    </row>
    <row r="154" s="96" customFormat="true" ht="15" hidden="false" customHeight="true" outlineLevel="1" collapsed="false">
      <c r="A154" s="158" t="n">
        <f aca="false">IF(B154="","",+A153+1)</f>
        <v>2</v>
      </c>
      <c r="B154" s="153" t="str">
        <f aca="false">B134</f>
        <v>บังใบบน</v>
      </c>
      <c r="C154" s="153" t="str">
        <f aca="false">C134</f>
        <v>DOOR STOP HEAD</v>
      </c>
      <c r="D154" s="154" t="str">
        <f aca="false">VLOOKUP(C154,$C$133:$H$151,2,0)</f>
        <v>B24002</v>
      </c>
      <c r="E154" s="155" t="n">
        <f aca="false">VLOOKUP(C154,$C$133:$H$151,3,0)</f>
        <v>0.278</v>
      </c>
      <c r="F154" s="263" t="n">
        <f aca="false">VLOOKUP(C154,$C$133:$I$151,7,0)</f>
        <v>3635</v>
      </c>
      <c r="G154" s="155" t="n">
        <f aca="false">VLOOKUP(C154,$C$133:$J$151,8,0)</f>
        <v>30</v>
      </c>
      <c r="H154" s="266" t="n">
        <f aca="false">ROUNDUP((F154*G154)/6400,0)</f>
        <v>18</v>
      </c>
      <c r="I154" s="265"/>
      <c r="J154" s="265"/>
    </row>
    <row r="155" s="96" customFormat="true" ht="15" hidden="false" customHeight="true" outlineLevel="1" collapsed="false">
      <c r="A155" s="158" t="n">
        <f aca="false">IF(B155="","",+A154+1)</f>
        <v>3</v>
      </c>
      <c r="B155" s="153" t="str">
        <f aca="false">B135</f>
        <v>เฟรมล่าง </v>
      </c>
      <c r="C155" s="153" t="str">
        <f aca="false">C135</f>
        <v>SILL</v>
      </c>
      <c r="D155" s="154" t="str">
        <f aca="false">VLOOKUP(C155,$C$133:$H$151,2,0)</f>
        <v>B24003</v>
      </c>
      <c r="E155" s="155" t="n">
        <f aca="false">VLOOKUP(C155,$C$133:$H$151,3,0)</f>
        <v>1.603</v>
      </c>
      <c r="F155" s="263" t="n">
        <f aca="false">VLOOKUP(C155,$C$133:$I$151,7,0)</f>
        <v>3661</v>
      </c>
      <c r="G155" s="155" t="n">
        <f aca="false">VLOOKUP(C155,$C$133:$J$151,8,0)</f>
        <v>30</v>
      </c>
      <c r="H155" s="266" t="n">
        <f aca="false">ROUNDUP((F155*G155)/6400,0)</f>
        <v>18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4</v>
      </c>
      <c r="B156" s="153" t="str">
        <f aca="false">B136</f>
        <v>ตัวตับธรณี</v>
      </c>
      <c r="C156" s="153" t="str">
        <f aca="false">C136</f>
        <v>DOOR STOP SILL</v>
      </c>
      <c r="D156" s="154" t="str">
        <f aca="false">VLOOKUP(C156,$C$133:$H$151,2,0)</f>
        <v>B24004</v>
      </c>
      <c r="E156" s="155" t="n">
        <f aca="false">VLOOKUP(C156,$C$133:$H$151,3,0)</f>
        <v>0.516</v>
      </c>
      <c r="F156" s="263" t="n">
        <f aca="false">VLOOKUP(C156,$C$133:$I$151,7,0)</f>
        <v>3661</v>
      </c>
      <c r="G156" s="155" t="n">
        <f aca="false">VLOOKUP(C156,$C$133:$J$151,8,0)</f>
        <v>30</v>
      </c>
      <c r="H156" s="266" t="n">
        <f aca="false">ROUNDUP((F156*G156)/6400,0)</f>
        <v>18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5</v>
      </c>
      <c r="B157" s="153" t="str">
        <f aca="false">B137</f>
        <v>เฟรมข้าง (ซ้าย)</v>
      </c>
      <c r="C157" s="153" t="str">
        <f aca="false">C137</f>
        <v>JAMB (L)</v>
      </c>
      <c r="D157" s="159" t="str">
        <f aca="false">VLOOKUP(C157,$C$133:$H$151,2,0)</f>
        <v>B24005</v>
      </c>
      <c r="E157" s="155" t="n">
        <f aca="false">VLOOKUP(C157,$C$133:$H$151,3,0)</f>
        <v>0.893</v>
      </c>
      <c r="F157" s="263" t="n">
        <f aca="false">VLOOKUP(C157,$C$133:$I$151,7,0)</f>
        <v>2340</v>
      </c>
      <c r="G157" s="155" t="n">
        <f aca="false">VLOOKUP(C157,$C$133:$J$151,8,0)</f>
        <v>30</v>
      </c>
      <c r="H157" s="160" t="n">
        <f aca="false">ROUNDUP(((F157*G157)+(F158*G158))/6400,0)</f>
        <v>22</v>
      </c>
      <c r="I157" s="161"/>
      <c r="J157" s="161"/>
    </row>
    <row r="158" s="96" customFormat="true" ht="15" hidden="false" customHeight="true" outlineLevel="1" collapsed="false">
      <c r="A158" s="158" t="n">
        <f aca="false">IF(B158="","",+A157+1)</f>
        <v>6</v>
      </c>
      <c r="B158" s="153" t="str">
        <f aca="false">B138</f>
        <v>เฟรมข้าง (ขวา)</v>
      </c>
      <c r="C158" s="153" t="str">
        <f aca="false">C138</f>
        <v>JAMB (R)</v>
      </c>
      <c r="D158" s="159"/>
      <c r="E158" s="155" t="n">
        <f aca="false">VLOOKUP(C158,$C$133:$H$151,3,0)</f>
        <v>0.893</v>
      </c>
      <c r="F158" s="263" t="n">
        <f aca="false">VLOOKUP(C158,$C$133:$I$151,7,0)</f>
        <v>2340</v>
      </c>
      <c r="G158" s="155" t="n">
        <f aca="false">VLOOKUP(C158,$C$133:$J$151,8,0)</f>
        <v>30</v>
      </c>
      <c r="H158" s="160"/>
      <c r="I158" s="161"/>
      <c r="J158" s="161"/>
    </row>
    <row r="159" s="96" customFormat="true" ht="15" hidden="false" customHeight="true" outlineLevel="1" collapsed="false">
      <c r="A159" s="158" t="n">
        <f aca="false">IF(B159="","",+A158+1)</f>
        <v>7</v>
      </c>
      <c r="B159" s="153" t="str">
        <f aca="false">B139</f>
        <v>บังใบข้าง (ซ้าย)</v>
      </c>
      <c r="C159" s="153" t="str">
        <f aca="false">C139</f>
        <v>DOOR STOP JAMB (L)</v>
      </c>
      <c r="D159" s="159" t="str">
        <f aca="false">VLOOKUP(C159,$C$133:$H$151,2,0)</f>
        <v>B24006</v>
      </c>
      <c r="E159" s="155" t="n">
        <f aca="false">VLOOKUP(C159,$C$133:$H$151,3,0)</f>
        <v>0.235</v>
      </c>
      <c r="F159" s="263" t="n">
        <f aca="false">VLOOKUP(C159,$C$133:$I$151,7,0)</f>
        <v>2244</v>
      </c>
      <c r="G159" s="155" t="n">
        <f aca="false">VLOOKUP(C159,$C$133:$J$151,8,0)</f>
        <v>30</v>
      </c>
      <c r="H159" s="160" t="n">
        <f aca="false">ROUNDUP(((F159*G159)+(F160*G160))/6400,0)</f>
        <v>22</v>
      </c>
      <c r="I159" s="265"/>
      <c r="J159" s="265"/>
    </row>
    <row r="160" s="96" customFormat="true" ht="15" hidden="false" customHeight="true" outlineLevel="1" collapsed="false">
      <c r="A160" s="158" t="n">
        <f aca="false">IF(B160="","",+A159+1)</f>
        <v>8</v>
      </c>
      <c r="B160" s="153" t="str">
        <f aca="false">B140</f>
        <v>บังใบข้าง (ขวา)</v>
      </c>
      <c r="C160" s="153" t="str">
        <f aca="false">C140</f>
        <v>DOOR STOP JAMB (R)</v>
      </c>
      <c r="D160" s="159"/>
      <c r="E160" s="155" t="n">
        <f aca="false">VLOOKUP(C160,$C$133:$H$151,3,0)</f>
        <v>0.235</v>
      </c>
      <c r="F160" s="263" t="n">
        <f aca="false">VLOOKUP(C160,$C$133:$I$151,7,0)</f>
        <v>2244</v>
      </c>
      <c r="G160" s="155" t="n">
        <f aca="false">VLOOKUP(C160,$C$133:$J$151,8,0)</f>
        <v>30</v>
      </c>
      <c r="H160" s="160"/>
      <c r="I160" s="161"/>
      <c r="J160" s="161"/>
    </row>
    <row r="161" s="96" customFormat="true" ht="13.5" hidden="false" customHeight="true" outlineLevel="1" collapsed="false">
      <c r="A161" s="158" t="n">
        <f aca="false">IF(B161="","",+A160+1)</f>
        <v>9</v>
      </c>
      <c r="B161" s="153" t="str">
        <f aca="false">B141</f>
        <v>ขวางบน</v>
      </c>
      <c r="C161" s="153" t="str">
        <f aca="false">C141</f>
        <v>SASH (Hor) (T)</v>
      </c>
      <c r="D161" s="159" t="str">
        <f aca="false">VLOOKUP(C161,$C$133:$H$151,2,0)</f>
        <v>B24007</v>
      </c>
      <c r="E161" s="155" t="n">
        <f aca="false">VLOOKUP(C161,$C$133:$H$151,3,0)</f>
        <v>1.106</v>
      </c>
      <c r="F161" s="267" t="n">
        <f aca="false">VLOOKUP(C161,$C$133:$I$151,7,0)</f>
        <v>355.3</v>
      </c>
      <c r="G161" s="155" t="n">
        <f aca="false">VLOOKUP(C161,$C$133:$J$151,8,0)</f>
        <v>300</v>
      </c>
      <c r="H161" s="160" t="n">
        <f aca="false">ROUNDUP(((F161*G161)+(F162*G162)+(F163*G163)+(F164*G164)+(F165*G165)+(F166*G166))/6400,0)</f>
        <v>245</v>
      </c>
      <c r="I161" s="161"/>
      <c r="J161" s="161"/>
    </row>
    <row r="162" s="96" customFormat="true" ht="13.5" hidden="false" customHeight="true" outlineLevel="1" collapsed="false">
      <c r="A162" s="158" t="n">
        <f aca="false">IF(B162="","",+A161+1)</f>
        <v>10</v>
      </c>
      <c r="B162" s="153" t="str">
        <f aca="false">B142</f>
        <v>ขวางล่าง</v>
      </c>
      <c r="C162" s="153" t="str">
        <f aca="false">C142</f>
        <v>SASH (Hor) (B)</v>
      </c>
      <c r="D162" s="159"/>
      <c r="E162" s="155" t="n">
        <f aca="false">VLOOKUP(C162,$C$133:$H$151,3,0)</f>
        <v>1.106</v>
      </c>
      <c r="F162" s="267" t="n">
        <f aca="false">VLOOKUP(C162,$C$133:$I$151,7,0)</f>
        <v>355.3</v>
      </c>
      <c r="G162" s="155" t="n">
        <f aca="false">VLOOKUP(C162,$C$133:$J$151,8,0)</f>
        <v>300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11</v>
      </c>
      <c r="B163" s="153" t="str">
        <f aca="false">B143</f>
        <v>เสา</v>
      </c>
      <c r="C163" s="153" t="str">
        <f aca="false">C143</f>
        <v>SASH (Ver) </v>
      </c>
      <c r="D163" s="159"/>
      <c r="E163" s="155" t="n">
        <f aca="false">VLOOKUP(C163,$C$133:$H$151,3,0)</f>
        <v>1.106</v>
      </c>
      <c r="F163" s="263" t="n">
        <f aca="false">VLOOKUP(C163,$C$133:$I$151,7,0)</f>
        <v>2248</v>
      </c>
      <c r="G163" s="155" t="n">
        <f aca="false">VLOOKUP(C163,$C$133:$J$151,8,0)</f>
        <v>450</v>
      </c>
      <c r="H163" s="160"/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12</v>
      </c>
      <c r="B164" s="153" t="str">
        <f aca="false">B144</f>
        <v>เสากุญแจ</v>
      </c>
      <c r="C164" s="153" t="str">
        <f aca="false">C144</f>
        <v>SASH (Ver) LOCK </v>
      </c>
      <c r="D164" s="159"/>
      <c r="E164" s="155" t="n">
        <f aca="false">VLOOKUP(C164,$C$133:$H$151,3,0)</f>
        <v>1.106</v>
      </c>
      <c r="F164" s="263" t="n">
        <f aca="false">VLOOKUP(C164,$C$133:$I$151,7,0)</f>
        <v>2248</v>
      </c>
      <c r="G164" s="155" t="n">
        <f aca="false">VLOOKUP(C164,$C$133:$J$151,8,0)</f>
        <v>60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13</v>
      </c>
      <c r="B165" s="153" t="str">
        <f aca="false">B145</f>
        <v>เสากุญแจ</v>
      </c>
      <c r="C165" s="153" t="str">
        <f aca="false">C145</f>
        <v>SASH (Ver) LOCK  </v>
      </c>
      <c r="D165" s="159"/>
      <c r="E165" s="155" t="n">
        <f aca="false">VLOOKUP(C165,$C$133:$H$151,3,0)</f>
        <v>1.106</v>
      </c>
      <c r="F165" s="263" t="n">
        <f aca="false">VLOOKUP(C165,$C$133:$I$151,7,0)</f>
        <v>2248</v>
      </c>
      <c r="G165" s="155" t="n">
        <f aca="false">VLOOKUP(C165,$C$133:$J$151,8,0)</f>
        <v>60</v>
      </c>
      <c r="H165" s="160"/>
      <c r="I165" s="161"/>
      <c r="J165" s="161"/>
    </row>
    <row r="166" s="96" customFormat="true" ht="15" hidden="false" customHeight="true" outlineLevel="1" collapsed="false">
      <c r="A166" s="158" t="n">
        <f aca="false">IF(B166="","",+A165+1)</f>
        <v>14</v>
      </c>
      <c r="B166" s="153" t="str">
        <f aca="false">B146</f>
        <v>เสากุญแจมือจับ</v>
      </c>
      <c r="C166" s="153" t="str">
        <f aca="false">C146</f>
        <v>SASH (Ver) LOCK HANDLE</v>
      </c>
      <c r="D166" s="159"/>
      <c r="E166" s="155" t="n">
        <f aca="false">VLOOKUP(C166,$C$133:$H$151,3,0)</f>
        <v>1.106</v>
      </c>
      <c r="F166" s="263" t="n">
        <f aca="false">VLOOKUP(C166,$C$133:$I$151,7,0)</f>
        <v>2248</v>
      </c>
      <c r="G166" s="155" t="n">
        <f aca="false">VLOOKUP(C166,$C$133:$J$151,8,0)</f>
        <v>30</v>
      </c>
      <c r="H166" s="160"/>
      <c r="I166" s="265"/>
      <c r="J166" s="265"/>
    </row>
    <row r="167" s="96" customFormat="true" ht="15" hidden="false" customHeight="true" outlineLevel="1" collapsed="false">
      <c r="A167" s="158" t="n">
        <f aca="false">IF(B167="","",+A166+1)</f>
        <v>15</v>
      </c>
      <c r="B167" s="153" t="str">
        <f aca="false">B147</f>
        <v>5-6mm คิ้วตบกระจกแนวนอน</v>
      </c>
      <c r="C167" s="153" t="str">
        <f aca="false">C147</f>
        <v>5-6mm GLAZING BEAD HORIZONTAL</v>
      </c>
      <c r="D167" s="159" t="str">
        <f aca="false">VLOOKUP(C167,$C$133:$H$151,2,0)</f>
        <v>B24008</v>
      </c>
      <c r="E167" s="155" t="n">
        <f aca="false">VLOOKUP(C167,$C$133:$H$151,3,0)</f>
        <v>0.231</v>
      </c>
      <c r="F167" s="267" t="n">
        <f aca="false">VLOOKUP(C167,$C$133:$I$151,7,0)</f>
        <v>251.675</v>
      </c>
      <c r="G167" s="155" t="n">
        <f aca="false">VLOOKUP(C167,$C$133:$J$151,8,0)</f>
        <v>600</v>
      </c>
      <c r="H167" s="160" t="n">
        <f aca="false">ROUNDUP(((F167*G167)+(F168*G168))/6400,0)</f>
        <v>221</v>
      </c>
      <c r="I167" s="196"/>
      <c r="J167" s="196"/>
    </row>
    <row r="168" s="96" customFormat="true" ht="15" hidden="false" customHeight="true" outlineLevel="1" collapsed="false">
      <c r="A168" s="158" t="n">
        <f aca="false">IF(B168="","",+A167+1)</f>
        <v>16</v>
      </c>
      <c r="B168" s="153" t="str">
        <f aca="false">B148</f>
        <v>5-6mm คิ้วตบกระจกแนวตั้ง</v>
      </c>
      <c r="C168" s="153" t="str">
        <f aca="false">C148</f>
        <v>5-6mm GLAZING BEAD VERTICAL</v>
      </c>
      <c r="D168" s="159"/>
      <c r="E168" s="155" t="n">
        <f aca="false">VLOOKUP(C168,$C$133:$H$151,3,0)</f>
        <v>0.231</v>
      </c>
      <c r="F168" s="263" t="n">
        <f aca="false">VLOOKUP(C168,$C$133:$I$151,7,0)</f>
        <v>2098</v>
      </c>
      <c r="G168" s="155" t="n">
        <f aca="false">VLOOKUP(C168,$C$133:$J$151,8,0)</f>
        <v>600</v>
      </c>
      <c r="H168" s="160"/>
      <c r="I168" s="196"/>
      <c r="J168" s="196"/>
    </row>
    <row r="169" s="96" customFormat="true" ht="13.5" hidden="false" customHeight="true" outlineLevel="1" collapsed="false">
      <c r="A169" s="158" t="n">
        <f aca="false">IF(B169="","",+A168+1)</f>
        <v>17</v>
      </c>
      <c r="B169" s="153" t="str">
        <f aca="false">B149</f>
        <v>บังใบ</v>
      </c>
      <c r="C169" s="153" t="str">
        <f aca="false">C149</f>
        <v>SASH STOP</v>
      </c>
      <c r="D169" s="163" t="str">
        <f aca="false">VLOOKUP(C169,$C$133:$H$151,2,0)</f>
        <v>B24009</v>
      </c>
      <c r="E169" s="155" t="n">
        <f aca="false">VLOOKUP(C169,$C$133:$H$151,3,0)</f>
        <v>0</v>
      </c>
      <c r="F169" s="263" t="n">
        <f aca="false">VLOOKUP(C169,$C$133:$I$151,7,0)</f>
        <v>2248</v>
      </c>
      <c r="G169" s="155" t="n">
        <f aca="false">VLOOKUP(C169,$C$133:$J$151,8,0)</f>
        <v>30</v>
      </c>
      <c r="H169" s="160" t="n">
        <f aca="false">ROUNDUP(((F169*G169)+(F170*G170))/6400,0)</f>
        <v>22</v>
      </c>
      <c r="I169" s="196"/>
      <c r="J169" s="196"/>
    </row>
    <row r="170" s="96" customFormat="true" ht="14.25" hidden="false" customHeight="false" outlineLevel="1" collapsed="false">
      <c r="A170" s="158" t="n">
        <f aca="false">IF(B170="","",+A169+1)</f>
        <v>18</v>
      </c>
      <c r="B170" s="153" t="str">
        <f aca="false">B150</f>
        <v>บังใบ</v>
      </c>
      <c r="C170" s="153" t="str">
        <f aca="false">C150</f>
        <v>SASH STOP</v>
      </c>
      <c r="D170" s="163"/>
      <c r="E170" s="155" t="n">
        <f aca="false">VLOOKUP(C170,$C$133:$H$151,3,0)</f>
        <v>0</v>
      </c>
      <c r="F170" s="263" t="n">
        <f aca="false">VLOOKUP(C170,$C$133:$I$151,7,0)</f>
        <v>2248</v>
      </c>
      <c r="G170" s="155" t="n">
        <f aca="false">VLOOKUP(C170,$C$133:$J$151,8,0)</f>
        <v>30</v>
      </c>
      <c r="H170" s="160"/>
      <c r="I170" s="196"/>
      <c r="J170" s="196"/>
    </row>
    <row r="171" s="96" customFormat="true" ht="24.75" hidden="false" customHeight="true" outlineLevel="0" collapsed="false">
      <c r="A171" s="113" t="s">
        <v>396</v>
      </c>
      <c r="B171" s="113"/>
      <c r="C171" s="113"/>
      <c r="D171" s="113"/>
      <c r="E171" s="113"/>
      <c r="F171" s="113"/>
      <c r="G171" s="113"/>
      <c r="H171" s="113"/>
      <c r="I171" s="113"/>
      <c r="J171" s="113"/>
    </row>
    <row r="172" s="96" customFormat="true" ht="34.5" hidden="false" customHeight="true" outlineLevel="0" collapsed="false">
      <c r="A172" s="114" t="s">
        <v>319</v>
      </c>
      <c r="B172" s="115" t="s">
        <v>320</v>
      </c>
      <c r="C172" s="115" t="s">
        <v>168</v>
      </c>
      <c r="D172" s="115" t="s">
        <v>397</v>
      </c>
      <c r="E172" s="115" t="s">
        <v>321</v>
      </c>
      <c r="F172" s="116" t="s">
        <v>398</v>
      </c>
      <c r="G172" s="115" t="s">
        <v>399</v>
      </c>
      <c r="H172" s="116" t="s">
        <v>400</v>
      </c>
      <c r="I172" s="116" t="s">
        <v>401</v>
      </c>
      <c r="J172" s="117" t="s">
        <v>402</v>
      </c>
      <c r="N172" s="107" t="s">
        <v>288</v>
      </c>
      <c r="O172" s="165" t="s">
        <v>320</v>
      </c>
      <c r="P172" s="165" t="s">
        <v>168</v>
      </c>
      <c r="Q172" s="165" t="s">
        <v>397</v>
      </c>
      <c r="R172" s="165" t="s">
        <v>321</v>
      </c>
      <c r="S172" s="165" t="s">
        <v>398</v>
      </c>
      <c r="T172" s="165" t="s">
        <v>399</v>
      </c>
      <c r="U172" s="165" t="s">
        <v>400</v>
      </c>
      <c r="V172" s="165" t="s">
        <v>401</v>
      </c>
      <c r="W172" s="165" t="s">
        <v>402</v>
      </c>
    </row>
    <row r="173" s="96" customFormat="true" ht="18" hidden="false" customHeight="true" outlineLevel="0" collapsed="false">
      <c r="A173" s="166" t="n">
        <f aca="false">IF(B173="","",1)</f>
        <v>1</v>
      </c>
      <c r="B173" s="131" t="s">
        <v>410</v>
      </c>
      <c r="C173" s="131" t="s">
        <v>411</v>
      </c>
      <c r="D173" s="132" t="s">
        <v>267</v>
      </c>
      <c r="E173" s="130"/>
      <c r="F173" s="130" t="s">
        <v>267</v>
      </c>
      <c r="G173" s="130" t="s">
        <v>405</v>
      </c>
      <c r="H173" s="130" t="n">
        <v>20</v>
      </c>
      <c r="I173" s="133"/>
      <c r="J173" s="134" t="n">
        <f aca="false">$J$120*H173</f>
        <v>600</v>
      </c>
      <c r="N173" s="107" t="s">
        <v>406</v>
      </c>
      <c r="O173" s="55" t="s">
        <v>407</v>
      </c>
      <c r="P173" s="62" t="s">
        <v>408</v>
      </c>
      <c r="Q173" s="55" t="s">
        <v>227</v>
      </c>
      <c r="R173" s="158"/>
      <c r="S173" s="158" t="s">
        <v>227</v>
      </c>
      <c r="T173" s="158" t="s">
        <v>409</v>
      </c>
      <c r="U173" s="168" t="n">
        <f aca="false">((($I$141*$G$141)+($I$142*$G$142)+($I$143*$G$143)+($I$144*$G$144)+($I$145*$G$145)+($I$146*$G$146))/1000)*$J$120</f>
        <v>1561.98</v>
      </c>
      <c r="V173" s="168" t="n">
        <v>100</v>
      </c>
      <c r="W173" s="169" t="n">
        <f aca="false">ROUNDUP((U173)/100,0)</f>
        <v>16</v>
      </c>
    </row>
    <row r="174" s="96" customFormat="true" ht="18" hidden="false" customHeight="true" outlineLevel="0" collapsed="false">
      <c r="A174" s="170" t="n">
        <f aca="false">IF(B174="","",+A173+1)</f>
        <v>2</v>
      </c>
      <c r="B174" s="131" t="s">
        <v>415</v>
      </c>
      <c r="C174" s="131" t="s">
        <v>416</v>
      </c>
      <c r="D174" s="132" t="s">
        <v>222</v>
      </c>
      <c r="E174" s="130"/>
      <c r="F174" s="130" t="s">
        <v>222</v>
      </c>
      <c r="G174" s="130" t="s">
        <v>405</v>
      </c>
      <c r="H174" s="130" t="n">
        <v>2</v>
      </c>
      <c r="I174" s="133"/>
      <c r="J174" s="134" t="n">
        <f aca="false">$J$120*H174</f>
        <v>60</v>
      </c>
      <c r="N174" s="107" t="s">
        <v>412</v>
      </c>
      <c r="O174" s="55" t="s">
        <v>413</v>
      </c>
      <c r="P174" s="62" t="s">
        <v>414</v>
      </c>
      <c r="Q174" s="55" t="s">
        <v>234</v>
      </c>
      <c r="R174" s="158"/>
      <c r="S174" s="158" t="s">
        <v>234</v>
      </c>
      <c r="T174" s="158" t="s">
        <v>409</v>
      </c>
      <c r="U174" s="168" t="n">
        <f aca="false">((($I$141*$G$141)+($I$142*$G$142)+($I$143*$G$143)+($I$144*$G$144)+($I$145*$G$145)+($I$146*$G$146))/1000)*$J$120</f>
        <v>1561.98</v>
      </c>
      <c r="V174" s="168" t="n">
        <v>100</v>
      </c>
      <c r="W174" s="169" t="n">
        <f aca="false">ROUNDUP((U174)/100,0)</f>
        <v>16</v>
      </c>
    </row>
    <row r="175" s="96" customFormat="true" ht="18" hidden="false" customHeight="true" outlineLevel="0" collapsed="false">
      <c r="A175" s="170" t="n">
        <f aca="false">IF(B175="","",+A174+1)</f>
        <v>3</v>
      </c>
      <c r="B175" s="131" t="s">
        <v>420</v>
      </c>
      <c r="C175" s="131" t="s">
        <v>421</v>
      </c>
      <c r="D175" s="132" t="s">
        <v>225</v>
      </c>
      <c r="E175" s="130"/>
      <c r="F175" s="130" t="s">
        <v>225</v>
      </c>
      <c r="G175" s="130" t="s">
        <v>405</v>
      </c>
      <c r="H175" s="130" t="n">
        <v>2</v>
      </c>
      <c r="I175" s="133"/>
      <c r="J175" s="134" t="n">
        <f aca="false">$J$120*H175</f>
        <v>60</v>
      </c>
      <c r="N175" s="107" t="s">
        <v>417</v>
      </c>
      <c r="O175" s="62" t="s">
        <v>418</v>
      </c>
      <c r="P175" s="62" t="s">
        <v>419</v>
      </c>
      <c r="Q175" s="55" t="s">
        <v>236</v>
      </c>
      <c r="R175" s="158"/>
      <c r="S175" s="158" t="s">
        <v>236</v>
      </c>
      <c r="T175" s="158" t="s">
        <v>409</v>
      </c>
      <c r="U175" s="168" t="n">
        <f aca="false">((($I$141*$G$141)+($I$142*$G$142)+($I$143*$G$143)+($I$144*$G$144)+($I$145*$G$145)+($I$146*$G$146))/1000)*$J$120</f>
        <v>1561.98</v>
      </c>
      <c r="V175" s="168" t="n">
        <v>100</v>
      </c>
      <c r="W175" s="169" t="n">
        <f aca="false">ROUNDUP((U175)/100,0)</f>
        <v>16</v>
      </c>
    </row>
    <row r="176" s="96" customFormat="true" ht="18" hidden="false" customHeight="true" outlineLevel="0" collapsed="false">
      <c r="A176" s="170" t="n">
        <f aca="false">IF(B176="","",+A175+1)</f>
        <v>4</v>
      </c>
      <c r="B176" s="131" t="s">
        <v>425</v>
      </c>
      <c r="C176" s="131" t="s">
        <v>426</v>
      </c>
      <c r="D176" s="132" t="n">
        <v>9</v>
      </c>
      <c r="E176" s="130"/>
      <c r="F176" s="130" t="n">
        <v>9</v>
      </c>
      <c r="G176" s="130" t="s">
        <v>405</v>
      </c>
      <c r="H176" s="130" t="n">
        <v>8</v>
      </c>
      <c r="I176" s="133"/>
      <c r="J176" s="134" t="n">
        <f aca="false">$J$120*H176</f>
        <v>240</v>
      </c>
      <c r="N176" s="107" t="s">
        <v>422</v>
      </c>
      <c r="O176" s="62" t="s">
        <v>423</v>
      </c>
      <c r="P176" s="62" t="s">
        <v>424</v>
      </c>
      <c r="Q176" s="55" t="s">
        <v>238</v>
      </c>
      <c r="R176" s="158"/>
      <c r="S176" s="158" t="s">
        <v>238</v>
      </c>
      <c r="T176" s="158" t="s">
        <v>409</v>
      </c>
      <c r="U176" s="168" t="n">
        <f aca="false">((($I$141*$G$141)+($I$142*$G$142)+($I$143*$G$143)+($I$144*$G$144)+($I$145*$G$145)+($I$146*$G$146))/1000)*$J$120</f>
        <v>1561.98</v>
      </c>
      <c r="V176" s="168" t="n">
        <v>100</v>
      </c>
      <c r="W176" s="169" t="n">
        <f aca="false">ROUNDUP((U176)/100,0)</f>
        <v>16</v>
      </c>
    </row>
    <row r="177" s="96" customFormat="true" ht="18" hidden="false" customHeight="true" outlineLevel="0" collapsed="false">
      <c r="A177" s="170" t="n">
        <f aca="false">IF(B177="","",+A176+1)</f>
        <v>5</v>
      </c>
      <c r="B177" s="131" t="s">
        <v>430</v>
      </c>
      <c r="C177" s="131" t="s">
        <v>431</v>
      </c>
      <c r="D177" s="132" t="n">
        <v>9</v>
      </c>
      <c r="E177" s="130"/>
      <c r="F177" s="130" t="n">
        <v>9</v>
      </c>
      <c r="G177" s="130" t="s">
        <v>405</v>
      </c>
      <c r="H177" s="130" t="n">
        <v>110</v>
      </c>
      <c r="I177" s="133"/>
      <c r="J177" s="134" t="n">
        <f aca="false">$J$120*H177</f>
        <v>3300</v>
      </c>
      <c r="N177" s="107" t="s">
        <v>427</v>
      </c>
      <c r="O177" s="62" t="s">
        <v>428</v>
      </c>
      <c r="P177" s="62" t="s">
        <v>429</v>
      </c>
      <c r="Q177" s="55" t="s">
        <v>240</v>
      </c>
      <c r="R177" s="158"/>
      <c r="S177" s="158" t="s">
        <v>240</v>
      </c>
      <c r="T177" s="158" t="s">
        <v>409</v>
      </c>
      <c r="U177" s="168" t="n">
        <f aca="false">((($I$141*$G$141)+($I$142*$G$142)+($I$143*$G$143)+($I$144*$G$144)+($I$145*$G$145)+($I$146*$G$146))/1000)*$J$120</f>
        <v>1561.98</v>
      </c>
      <c r="V177" s="168" t="n">
        <v>100</v>
      </c>
      <c r="W177" s="169" t="n">
        <f aca="false">ROUNDUP((U177)/100,0)</f>
        <v>16</v>
      </c>
    </row>
    <row r="178" s="96" customFormat="true" ht="18" hidden="false" customHeight="true" outlineLevel="0" collapsed="false">
      <c r="A178" s="170" t="n">
        <f aca="false">IF(B178="","",+A177+1)</f>
        <v>6</v>
      </c>
      <c r="B178" s="131" t="s">
        <v>603</v>
      </c>
      <c r="C178" s="131" t="s">
        <v>438</v>
      </c>
      <c r="D178" s="132" t="s">
        <v>4</v>
      </c>
      <c r="E178" s="130"/>
      <c r="F178" s="130" t="s">
        <v>4</v>
      </c>
      <c r="G178" s="130" t="s">
        <v>434</v>
      </c>
      <c r="H178" s="130" t="n">
        <v>2</v>
      </c>
      <c r="I178" s="133"/>
      <c r="J178" s="134" t="n">
        <f aca="false">$J$120*H178</f>
        <v>60</v>
      </c>
    </row>
    <row r="179" s="96" customFormat="true" ht="18" hidden="false" customHeight="true" outlineLevel="0" collapsed="false">
      <c r="A179" s="170" t="n">
        <f aca="false">IF(B179="","",+A178+1)</f>
        <v>7</v>
      </c>
      <c r="B179" s="131" t="s">
        <v>556</v>
      </c>
      <c r="C179" s="131" t="s">
        <v>557</v>
      </c>
      <c r="D179" s="132" t="s">
        <v>5</v>
      </c>
      <c r="E179" s="130"/>
      <c r="F179" s="130" t="s">
        <v>5</v>
      </c>
      <c r="G179" s="130" t="s">
        <v>434</v>
      </c>
      <c r="H179" s="130" t="n">
        <v>2</v>
      </c>
      <c r="I179" s="133"/>
      <c r="J179" s="134" t="n">
        <f aca="false">$J$120*H179</f>
        <v>60</v>
      </c>
    </row>
    <row r="180" s="96" customFormat="true" ht="18" hidden="false" customHeight="true" outlineLevel="0" collapsed="false">
      <c r="A180" s="170" t="n">
        <f aca="false">IF(B180="","",+A179+1)</f>
        <v>8</v>
      </c>
      <c r="B180" s="131" t="s">
        <v>432</v>
      </c>
      <c r="C180" s="131" t="s">
        <v>433</v>
      </c>
      <c r="D180" s="132" t="s">
        <v>6</v>
      </c>
      <c r="E180" s="130"/>
      <c r="F180" s="130" t="s">
        <v>6</v>
      </c>
      <c r="G180" s="130" t="s">
        <v>434</v>
      </c>
      <c r="H180" s="130" t="n">
        <v>1</v>
      </c>
      <c r="I180" s="133"/>
      <c r="J180" s="134" t="n">
        <f aca="false">$J$120*H180</f>
        <v>30</v>
      </c>
    </row>
    <row r="181" s="96" customFormat="true" ht="18" hidden="false" customHeight="true" outlineLevel="0" collapsed="false">
      <c r="A181" s="170" t="n">
        <f aca="false">IF(B181="","",+A180+1)</f>
        <v>9</v>
      </c>
      <c r="B181" s="131" t="s">
        <v>512</v>
      </c>
      <c r="C181" s="131" t="s">
        <v>513</v>
      </c>
      <c r="D181" s="132" t="s">
        <v>7</v>
      </c>
      <c r="E181" s="130"/>
      <c r="F181" s="130" t="s">
        <v>7</v>
      </c>
      <c r="G181" s="130" t="s">
        <v>434</v>
      </c>
      <c r="H181" s="130" t="n">
        <v>1</v>
      </c>
      <c r="I181" s="133"/>
      <c r="J181" s="134" t="n">
        <f aca="false">$J$120*H181</f>
        <v>30</v>
      </c>
    </row>
    <row r="182" s="96" customFormat="true" ht="18" hidden="false" customHeight="true" outlineLevel="0" collapsed="false">
      <c r="A182" s="170" t="n">
        <f aca="false">IF(B182="","",+A181+1)</f>
        <v>10</v>
      </c>
      <c r="B182" s="131" t="s">
        <v>554</v>
      </c>
      <c r="C182" s="131" t="s">
        <v>555</v>
      </c>
      <c r="D182" s="132" t="s">
        <v>11</v>
      </c>
      <c r="E182" s="130"/>
      <c r="F182" s="130" t="s">
        <v>11</v>
      </c>
      <c r="G182" s="130" t="s">
        <v>434</v>
      </c>
      <c r="H182" s="130" t="n">
        <v>4</v>
      </c>
      <c r="I182" s="133"/>
      <c r="J182" s="134" t="n">
        <f aca="false">$J$120*H182</f>
        <v>120</v>
      </c>
      <c r="Q182" s="172"/>
      <c r="R182" s="172"/>
      <c r="S182" s="172"/>
      <c r="T182" s="97"/>
      <c r="U182" s="97"/>
      <c r="V182" s="97"/>
    </row>
    <row r="183" s="96" customFormat="true" ht="18" hidden="false" customHeight="true" outlineLevel="0" collapsed="false">
      <c r="A183" s="170" t="n">
        <f aca="false">IF(B183="","",+A182+1)</f>
        <v>11</v>
      </c>
      <c r="B183" s="131" t="s">
        <v>769</v>
      </c>
      <c r="C183" s="131" t="s">
        <v>770</v>
      </c>
      <c r="D183" s="132" t="s">
        <v>262</v>
      </c>
      <c r="E183" s="130"/>
      <c r="F183" s="130" t="s">
        <v>262</v>
      </c>
      <c r="G183" s="130" t="s">
        <v>434</v>
      </c>
      <c r="H183" s="130" t="n">
        <v>2</v>
      </c>
      <c r="I183" s="142"/>
      <c r="J183" s="134" t="n">
        <f aca="false">$J$120*H183</f>
        <v>60</v>
      </c>
      <c r="N183" s="107" t="s">
        <v>289</v>
      </c>
      <c r="O183" s="165" t="s">
        <v>320</v>
      </c>
      <c r="P183" s="165" t="s">
        <v>168</v>
      </c>
      <c r="Q183" s="165" t="s">
        <v>397</v>
      </c>
      <c r="R183" s="165" t="s">
        <v>321</v>
      </c>
      <c r="S183" s="165" t="s">
        <v>398</v>
      </c>
      <c r="T183" s="165" t="s">
        <v>399</v>
      </c>
      <c r="U183" s="165" t="s">
        <v>400</v>
      </c>
      <c r="V183" s="165" t="s">
        <v>401</v>
      </c>
      <c r="W183" s="165" t="s">
        <v>402</v>
      </c>
    </row>
    <row r="184" s="96" customFormat="true" ht="18" hidden="false" customHeight="true" outlineLevel="0" collapsed="false">
      <c r="A184" s="170" t="n">
        <f aca="false">IF(B184="","",+A183+1)</f>
        <v>12</v>
      </c>
      <c r="B184" s="131" t="s">
        <v>771</v>
      </c>
      <c r="C184" s="131" t="s">
        <v>772</v>
      </c>
      <c r="D184" s="132" t="s">
        <v>264</v>
      </c>
      <c r="E184" s="130"/>
      <c r="F184" s="130" t="s">
        <v>264</v>
      </c>
      <c r="G184" s="130" t="s">
        <v>434</v>
      </c>
      <c r="H184" s="130" t="n">
        <v>2</v>
      </c>
      <c r="I184" s="142"/>
      <c r="J184" s="134" t="n">
        <f aca="false">$J$120*H184</f>
        <v>60</v>
      </c>
      <c r="N184" s="107" t="s">
        <v>445</v>
      </c>
      <c r="O184" s="62" t="s">
        <v>446</v>
      </c>
      <c r="P184" s="62" t="s">
        <v>447</v>
      </c>
      <c r="Q184" s="55" t="s">
        <v>230</v>
      </c>
      <c r="R184" s="158"/>
      <c r="S184" s="158" t="s">
        <v>230</v>
      </c>
      <c r="T184" s="158" t="s">
        <v>409</v>
      </c>
      <c r="U184" s="168" t="n">
        <f aca="false">((($I$134*$G$134)+($I$136*$G$136)+($I$139*$G$139))/1000)*$J$120</f>
        <v>286.2</v>
      </c>
      <c r="V184" s="168" t="n">
        <v>300</v>
      </c>
      <c r="W184" s="169" t="n">
        <f aca="false">ROUNDUP((U184)/V184,0)</f>
        <v>1</v>
      </c>
    </row>
    <row r="185" s="96" customFormat="true" ht="18" hidden="false" customHeight="true" outlineLevel="0" collapsed="false">
      <c r="A185" s="170" t="n">
        <f aca="false">IF(B185="","",+A184+1)</f>
        <v>13</v>
      </c>
      <c r="B185" s="131" t="s">
        <v>439</v>
      </c>
      <c r="C185" s="131" t="s">
        <v>440</v>
      </c>
      <c r="D185" s="132" t="s">
        <v>12</v>
      </c>
      <c r="E185" s="130"/>
      <c r="F185" s="130" t="s">
        <v>12</v>
      </c>
      <c r="G185" s="130" t="s">
        <v>434</v>
      </c>
      <c r="H185" s="130" t="n">
        <v>4</v>
      </c>
      <c r="I185" s="142"/>
      <c r="J185" s="134" t="n">
        <f aca="false">$J$120*H185</f>
        <v>120</v>
      </c>
      <c r="N185" s="107" t="s">
        <v>448</v>
      </c>
      <c r="O185" s="62" t="s">
        <v>449</v>
      </c>
      <c r="P185" s="62" t="s">
        <v>450</v>
      </c>
      <c r="Q185" s="55" t="s">
        <v>451</v>
      </c>
      <c r="R185" s="158"/>
      <c r="S185" s="158" t="s">
        <v>451</v>
      </c>
      <c r="T185" s="158" t="s">
        <v>409</v>
      </c>
      <c r="U185" s="168" t="n">
        <f aca="false">((($I$134*$G$134)+($I$136*$G$136)+($I$139*$G$139))/1000)*$J$120</f>
        <v>286.2</v>
      </c>
      <c r="V185" s="168" t="n">
        <v>100</v>
      </c>
      <c r="W185" s="169" t="n">
        <f aca="false">ROUNDUP((U185)/V185,0)</f>
        <v>3</v>
      </c>
    </row>
    <row r="186" s="96" customFormat="true" ht="18" hidden="false" customHeight="true" outlineLevel="0" collapsed="false">
      <c r="A186" s="170" t="n">
        <f aca="false">IF(B186="","",+A185+1)</f>
        <v>14</v>
      </c>
      <c r="B186" s="131" t="s">
        <v>540</v>
      </c>
      <c r="C186" s="131" t="s">
        <v>541</v>
      </c>
      <c r="D186" s="132" t="s">
        <v>542</v>
      </c>
      <c r="E186" s="130"/>
      <c r="F186" s="130" t="s">
        <v>542</v>
      </c>
      <c r="G186" s="130" t="s">
        <v>434</v>
      </c>
      <c r="H186" s="130" t="n">
        <v>1</v>
      </c>
      <c r="I186" s="142"/>
      <c r="J186" s="134" t="n">
        <f aca="false">$J$120*H186</f>
        <v>30</v>
      </c>
      <c r="N186" s="107" t="s">
        <v>445</v>
      </c>
      <c r="O186" s="62" t="s">
        <v>452</v>
      </c>
      <c r="P186" s="62" t="s">
        <v>453</v>
      </c>
      <c r="Q186" s="55" t="s">
        <v>232</v>
      </c>
      <c r="R186" s="158"/>
      <c r="S186" s="158" t="s">
        <v>232</v>
      </c>
      <c r="T186" s="158" t="s">
        <v>409</v>
      </c>
      <c r="U186" s="168" t="n">
        <f aca="false">((($I$141*$G$141*2)+($I$143*$G$143*2)+($I$144*$G$144*2)+($I$145*$G$145))/1000)*$J$120</f>
        <v>2641.02</v>
      </c>
      <c r="V186" s="168" t="n">
        <v>350</v>
      </c>
      <c r="W186" s="169" t="n">
        <f aca="false">ROUNDUP((U186)/V186,0)</f>
        <v>8</v>
      </c>
    </row>
    <row r="187" s="96" customFormat="true" ht="18" hidden="false" customHeight="true" outlineLevel="0" collapsed="false">
      <c r="A187" s="170" t="n">
        <f aca="false">IF(B187="","",+A186+1)</f>
        <v>15</v>
      </c>
      <c r="B187" s="131" t="s">
        <v>441</v>
      </c>
      <c r="C187" s="131" t="s">
        <v>442</v>
      </c>
      <c r="D187" s="132" t="s">
        <v>274</v>
      </c>
      <c r="E187" s="130"/>
      <c r="F187" s="130" t="s">
        <v>274</v>
      </c>
      <c r="G187" s="130" t="s">
        <v>405</v>
      </c>
      <c r="H187" s="130" t="n">
        <v>8</v>
      </c>
      <c r="I187" s="133"/>
      <c r="J187" s="134" t="n">
        <f aca="false">$J$120*H187</f>
        <v>240</v>
      </c>
      <c r="N187" s="107" t="s">
        <v>448</v>
      </c>
      <c r="O187" s="62" t="s">
        <v>454</v>
      </c>
      <c r="P187" s="62" t="s">
        <v>455</v>
      </c>
      <c r="Q187" s="55" t="s">
        <v>456</v>
      </c>
      <c r="R187" s="158"/>
      <c r="S187" s="158" t="s">
        <v>456</v>
      </c>
      <c r="T187" s="158" t="s">
        <v>409</v>
      </c>
      <c r="U187" s="168" t="n">
        <f aca="false">((($I$141*$G$141*2)+($I$143*$G$143*2)+($I$144*$G$144*2)+($I$145*$G$145))/1000)*$J$120</f>
        <v>2641.02</v>
      </c>
      <c r="V187" s="168" t="n">
        <v>100</v>
      </c>
      <c r="W187" s="169" t="n">
        <f aca="false">ROUNDUP((U187)/V187,0)</f>
        <v>27</v>
      </c>
    </row>
    <row r="188" s="96" customFormat="true" ht="18" hidden="false" customHeight="true" outlineLevel="0" collapsed="false">
      <c r="A188" s="170" t="n">
        <f aca="false">IF(B188="","",+A187+1)</f>
        <v>16</v>
      </c>
      <c r="B188" s="131" t="s">
        <v>443</v>
      </c>
      <c r="C188" s="131" t="s">
        <v>444</v>
      </c>
      <c r="D188" s="132" t="s">
        <v>272</v>
      </c>
      <c r="E188" s="130"/>
      <c r="F188" s="130" t="s">
        <v>272</v>
      </c>
      <c r="G188" s="130" t="s">
        <v>405</v>
      </c>
      <c r="H188" s="130" t="n">
        <v>1</v>
      </c>
      <c r="I188" s="133"/>
      <c r="J188" s="134" t="n">
        <f aca="false">$J$120*H188</f>
        <v>30</v>
      </c>
    </row>
    <row r="189" s="96" customFormat="true" ht="18" hidden="false" customHeight="true" outlineLevel="0" collapsed="false">
      <c r="A189" s="170" t="n">
        <f aca="false">IF(B189="","",+A188+1)</f>
        <v>17</v>
      </c>
      <c r="B189" s="131" t="s">
        <v>403</v>
      </c>
      <c r="C189" s="131" t="s">
        <v>404</v>
      </c>
      <c r="D189" s="132" t="s">
        <v>576</v>
      </c>
      <c r="E189" s="130"/>
      <c r="F189" s="130" t="s">
        <v>576</v>
      </c>
      <c r="G189" s="130" t="s">
        <v>405</v>
      </c>
      <c r="H189" s="130" t="n">
        <v>1</v>
      </c>
      <c r="I189" s="133"/>
      <c r="J189" s="134" t="n">
        <f aca="false">$J$120*H189</f>
        <v>30</v>
      </c>
    </row>
    <row r="190" s="96" customFormat="true" ht="18" hidden="false" customHeight="true" outlineLevel="0" collapsed="false">
      <c r="A190" s="170" t="n">
        <f aca="false">IF(B190="","",+A189+1)</f>
        <v>18</v>
      </c>
      <c r="B190" s="131" t="s">
        <v>403</v>
      </c>
      <c r="C190" s="131" t="s">
        <v>404</v>
      </c>
      <c r="D190" s="132" t="s">
        <v>276</v>
      </c>
      <c r="E190" s="130"/>
      <c r="F190" s="130" t="s">
        <v>276</v>
      </c>
      <c r="G190" s="130" t="s">
        <v>405</v>
      </c>
      <c r="H190" s="130" t="n">
        <v>4</v>
      </c>
      <c r="I190" s="133"/>
      <c r="J190" s="134" t="n">
        <f aca="false">$J$120*H190</f>
        <v>120</v>
      </c>
    </row>
    <row r="191" s="96" customFormat="true" ht="18" hidden="false" customHeight="true" outlineLevel="0" collapsed="false">
      <c r="A191" s="170" t="n">
        <f aca="false">IF(B191="","",+A190+1)</f>
        <v>19</v>
      </c>
      <c r="B191" s="131" t="s">
        <v>577</v>
      </c>
      <c r="C191" s="131" t="s">
        <v>578</v>
      </c>
      <c r="D191" s="132" t="s">
        <v>215</v>
      </c>
      <c r="E191" s="130"/>
      <c r="F191" s="130" t="s">
        <v>215</v>
      </c>
      <c r="G191" s="130" t="s">
        <v>434</v>
      </c>
      <c r="H191" s="130" t="n">
        <v>1</v>
      </c>
      <c r="I191" s="133"/>
      <c r="J191" s="134" t="n">
        <f aca="false">$J$120*H191</f>
        <v>30</v>
      </c>
    </row>
    <row r="192" s="96" customFormat="true" ht="18" hidden="false" customHeight="true" outlineLevel="0" collapsed="false">
      <c r="A192" s="170" t="n">
        <f aca="false">IF(B192="","",+A191+1)</f>
        <v>20</v>
      </c>
      <c r="B192" s="131" t="s">
        <v>579</v>
      </c>
      <c r="C192" s="131" t="s">
        <v>578</v>
      </c>
      <c r="D192" s="132" t="s">
        <v>220</v>
      </c>
      <c r="E192" s="130"/>
      <c r="F192" s="130" t="s">
        <v>220</v>
      </c>
      <c r="G192" s="130" t="s">
        <v>434</v>
      </c>
      <c r="H192" s="130" t="n">
        <v>1</v>
      </c>
      <c r="I192" s="133"/>
      <c r="J192" s="134" t="n">
        <f aca="false">$J$120*H192</f>
        <v>30</v>
      </c>
    </row>
    <row r="193" customFormat="false" ht="18" hidden="false" customHeight="true" outlineLevel="0" collapsed="false">
      <c r="A193" s="170" t="n">
        <f aca="false">IF(B193="","",+A192+1)</f>
        <v>21</v>
      </c>
      <c r="B193" s="131" t="s">
        <v>580</v>
      </c>
      <c r="C193" s="131" t="s">
        <v>581</v>
      </c>
      <c r="D193" s="132" t="s">
        <v>582</v>
      </c>
      <c r="E193" s="130"/>
      <c r="F193" s="130" t="s">
        <v>582</v>
      </c>
      <c r="G193" s="130" t="s">
        <v>409</v>
      </c>
      <c r="H193" s="173" t="n">
        <f aca="false">((($I$149*$G$149)+($I$150*$G$150))/1000)*$J$120</f>
        <v>134.88</v>
      </c>
      <c r="I193" s="174" t="n">
        <v>100</v>
      </c>
      <c r="J193" s="177" t="n">
        <f aca="false">ROUNDUP((H193)/100,0)</f>
        <v>2</v>
      </c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</row>
    <row r="194" s="96" customFormat="true" ht="18" hidden="false" customHeight="true" outlineLevel="0" collapsed="false">
      <c r="A194" s="170" t="n">
        <f aca="false">IF(B194="","",+A193+1)</f>
        <v>22</v>
      </c>
      <c r="B194" s="131" t="s">
        <v>583</v>
      </c>
      <c r="C194" s="131" t="s">
        <v>584</v>
      </c>
      <c r="D194" s="132" t="s">
        <v>585</v>
      </c>
      <c r="E194" s="130"/>
      <c r="F194" s="130" t="s">
        <v>585</v>
      </c>
      <c r="G194" s="130" t="s">
        <v>409</v>
      </c>
      <c r="H194" s="173" t="n">
        <f aca="false">(((($I$146*$G$146*2))/1000)*$J$120)</f>
        <v>134.88</v>
      </c>
      <c r="I194" s="174" t="n">
        <v>100</v>
      </c>
      <c r="J194" s="177" t="n">
        <f aca="false">ROUNDUP((H194)/100,0)</f>
        <v>2</v>
      </c>
    </row>
    <row r="195" s="96" customFormat="true" ht="18" hidden="false" customHeight="true" outlineLevel="0" collapsed="false">
      <c r="A195" s="170" t="n">
        <f aca="false">IF(B195="","",+A194+1)</f>
        <v>23</v>
      </c>
      <c r="B195" s="132" t="str">
        <f aca="false">IF($D$129="Standard",$O$184,IF($D$129="Soumdproof",$O$185,))</f>
        <v>ยางเฟรมกันน้ำ (ธรรมดา)</v>
      </c>
      <c r="C195" s="132" t="str">
        <f aca="false">IF($D$129="Standard",$P$184,IF($D$129="Soumdproof",$P$185,))</f>
        <v>FRAME SEAL (Standard)</v>
      </c>
      <c r="D195" s="132" t="str">
        <f aca="false">IF($D$129="Standard",$Q$184,IF($D$129="Soumdproof",$Q$185,))</f>
        <v>02-026</v>
      </c>
      <c r="E195" s="130" t="n">
        <f aca="false">IF($D$129="Standard",R189,IF($D$129="Soumdproof",R190,))</f>
        <v>0</v>
      </c>
      <c r="F195" s="130" t="str">
        <f aca="false">IF($D$129="Standard",$S$184,IF($D$129="Soumdproof",$S$185,))</f>
        <v>02-026</v>
      </c>
      <c r="G195" s="130" t="str">
        <f aca="false">IF($D$129="Standard",$T$184,IF($D$129="Soumdproof",$T$185,))</f>
        <v>M</v>
      </c>
      <c r="H195" s="173" t="n">
        <f aca="false">IF($D$129="Standard",$U$184,IF($D$129="Soumdproof",$U$185,))</f>
        <v>286.2</v>
      </c>
      <c r="I195" s="174" t="n">
        <f aca="false">IF($D$129="Standard",$V$184,IF($D$129="Soumdproof",$V$185,))</f>
        <v>300</v>
      </c>
      <c r="J195" s="177" t="n">
        <f aca="false">ROUNDUP((H195)/100,0)</f>
        <v>3</v>
      </c>
    </row>
    <row r="196" s="96" customFormat="true" ht="18" hidden="false" customHeight="true" outlineLevel="0" collapsed="false">
      <c r="A196" s="170" t="n">
        <f aca="false">IF(B196="","",+A195+1)</f>
        <v>24</v>
      </c>
      <c r="B196" s="132" t="str">
        <f aca="false">IF($D$129="Standard",$O$186,IF($D$129="Soumdproof",$O$187,))</f>
        <v>ยางแซชกันน้ำ (ธรรมดา)</v>
      </c>
      <c r="C196" s="132" t="str">
        <f aca="false">IF($D$129="Standard",$P$186,IF($D$129="Soumdproof",$P$187,))</f>
        <v>SASH SEAL FOAM (Standard)</v>
      </c>
      <c r="D196" s="132" t="str">
        <f aca="false">IF($D$129="Standard",$Q$186,IF($D$129="Soumdproof",$Q$187,))</f>
        <v>02-031</v>
      </c>
      <c r="E196" s="130" t="n">
        <f aca="false">IF($D$129="Standard",R191,IF($D$129="Soumdproof",R192,))</f>
        <v>0</v>
      </c>
      <c r="F196" s="130" t="str">
        <f aca="false">IF($D$129="Standard",$S$186,IF($D$129="Soumdproof",$S$187,))</f>
        <v>02-031</v>
      </c>
      <c r="G196" s="130" t="str">
        <f aca="false">IF($D$129="Standard",$T$186,IF($D$129="Soumdproof",$T$187,))</f>
        <v>M</v>
      </c>
      <c r="H196" s="173" t="n">
        <f aca="false">IF($D$129="Standard",$U$186,IF($D$129="Soumdproof",$U$187,))</f>
        <v>2641.02</v>
      </c>
      <c r="I196" s="174" t="n">
        <f aca="false">IF($D$129="Standard",$V$186,IF($D$129="Soumdproof",$V$187,))</f>
        <v>350</v>
      </c>
      <c r="J196" s="177" t="n">
        <f aca="false">ROUNDUP((H196)/100,0)</f>
        <v>27</v>
      </c>
    </row>
    <row r="197" s="96" customFormat="true" ht="18" hidden="false" customHeight="true" outlineLevel="0" collapsed="false">
      <c r="A197" s="170" t="n">
        <f aca="false">IF(B197="","",+A196+1)</f>
        <v>25</v>
      </c>
      <c r="B197" s="176" t="str">
        <f aca="false">IF($D$127=5,$O$175,IF($D$127=6,$O$176,IF($D$127=8,$O$177,IF($D$127=10,$O$175,IF($D$127=12,$O$175,IF($D$127=14,$O$177,IF($D$127=18,$O$175,IF($D$127=20,$O$176,IF($D$127=22,"")))))))))</f>
        <v>6,20 mm ยางอัดกระจก</v>
      </c>
      <c r="C197" s="176" t="str">
        <f aca="false">IF($D$127=5,$P$175,IF($D$127=6,$P$176,IF($D$127=8,$P$177,IF($D$127=10,$P$175,IF($D$127=12,$P$175,IF($D$127=14,$P$177,IF($D$127=18,$P$175,IF($D$127=20,$P$176,IF($D$127=22,"")))))))))</f>
        <v>6,20 mm ROLL IN WEDGE</v>
      </c>
      <c r="D197" s="176" t="str">
        <f aca="false">IF($D$127=5,$Q$175,IF($D$127=6,$Q$176,IF($D$127=8,$Q$177,IF($D$127=10,$Q$175,IF($D$127=12,$Q$175,IF($D$127=14,$Q$177,IF($D$127=18,$Q$175,IF($D$127=20,$Q$176,IF($D$127=22,"")))))))))</f>
        <v>02-034</v>
      </c>
      <c r="E197" s="176" t="n">
        <f aca="false">IF($D$127=5,R180,IF($D$127=6,R181,IF($D$127=8,R182,IF($D$127=10,R180,IF($D$127=12,R180,IF($D$127=14,R182,IF($D$127=18,R180,IF($D$127=20,R181,IF($D$127=22,"",)))))))))</f>
        <v>0</v>
      </c>
      <c r="F197" s="167" t="str">
        <f aca="false">IF($D$127=5,$S$175,IF($D$127=6,$S$176,IF($D$127=8,$S$177,IF($D$127=10,$S$175,IF($D$127=12,$S$175,IF($D$127=14,$S$177,IF($D$127=18,$S$175,IF($D$127=20,$S$176,IF($D$127=22,"")))))))))</f>
        <v>02-034</v>
      </c>
      <c r="G197" s="167" t="str">
        <f aca="false">IF($D$127=5,$T$175,IF($D$127=6,$T$176,IF($D$127=8,$T$177,IF($D$127=10,$T$175,IF($D$127=12,$T$175,IF($D$127=14,$T$177,IF($D$127=18,$T$175,IF($D$127=20,$T$176,IF($D$127=22,"")))))))))</f>
        <v>M</v>
      </c>
      <c r="H197" s="173" t="n">
        <f aca="false">IF($D$127=5,$U$175,IF($D$127=6,$U$176,IF($D$127=8,$U$177,IF($D$127=10,$U$175*2,IF($D$127=12,$U$175,IF($D$127=14,$U$177*2,IF($D$127=18,$U$175,IF($D$127=20,$U$176,IF($D$127=22,"")))))))))</f>
        <v>1561.98</v>
      </c>
      <c r="I197" s="174" t="n">
        <f aca="false">IF($D$127=5,$V$175,IF($D$127=6,$V$176,IF($D$127=8,$V$177,IF($D$127=10,$V$175,IF($D$127=12,$V$175,IF($D$127=14,$V$177,IF($D$127=18,$V$175,IF($D$127=20,$V$176,IF($D$127=22,"")))))))))</f>
        <v>100</v>
      </c>
      <c r="J197" s="177" t="n">
        <f aca="false">ROUNDUP((H197)/100,0)</f>
        <v>16</v>
      </c>
    </row>
    <row r="198" s="96" customFormat="true" ht="18" hidden="false" customHeight="true" outlineLevel="0" collapsed="false">
      <c r="A198" s="170" t="n">
        <f aca="false">IF(B198="","",+A197+1)</f>
        <v>26</v>
      </c>
      <c r="B198" s="176" t="str">
        <f aca="false">IF($D$127=5,$O$173,IF($D$127=6,$O$173,IF($D$127=8,$O$175,IF($D$127=10,"",IF($D$127=12,$O$174,IF($D$127=14,"",IF($D$127=18,$O$173,IF($D$127=20,$O$174,IF($D$127=22,"",)))))))))</f>
        <v>5,6,18 mm ยางรองกระจก</v>
      </c>
      <c r="C198" s="176" t="str">
        <f aca="false">IF($D$127=5,$P$173,IF($D$127=6,$P$173,IF($D$127=8,$P$175,IF($D$127=10,"",IF($D$127=12,$P$174,IF($D$127=14,"",IF($D$127=18,$P$173,IF($D$127=20,$P$174,IF($D$127=22,"",)))))))))</f>
        <v>5,6,18 mm CAPTIVE WEDGE</v>
      </c>
      <c r="D198" s="176" t="str">
        <f aca="false">IF($D$127=5,$Q$173,IF($D$127=6,$Q$173,IF($D$127=8,$Q$175,IF($D$127=10,"",IF($D$127=12,$Q$174,IF($D$127=14,"",IF($D$127=18,$Q$173,IF($D$127=20,$Q$174,IF($D$127=22,"",)))))))))</f>
        <v>02-022</v>
      </c>
      <c r="E198" s="176" t="n">
        <f aca="false">IF($D$127=5,R178,IF($D$127=6,R178,IF($D$127=8,R180,IF($D$127=10,"",IF($D$127=12,R179,IF($D$127=14,"",IF($D$127=18,R178,IF($D$127=20,R179,IF($D$127=22,"",)))))))))</f>
        <v>0</v>
      </c>
      <c r="F198" s="167" t="str">
        <f aca="false">IF($D$127=5,$S$173,IF($D$127=6,$S$173,IF($D$127=8,$S$175,IF($D$127=10,"",IF($D$127=12,$S$174,IF($D$127=14,"",IF($D$127=18,$S$173,IF($D$127=20,$S$174,IF($D$127=22,"",)))))))))</f>
        <v>02-022</v>
      </c>
      <c r="G198" s="167" t="str">
        <f aca="false">IF($D$127=5,$T$173,IF($D$127=6,$T$173,IF($D$127=8,$T$175,IF($D$127=10,"",IF($D$127=12,$T$174,IF($D$127=14,"",IF($D$127=18,$T$173,IF($D$127=20,$T$174,IF($D$127=22,"",)))))))))</f>
        <v>M</v>
      </c>
      <c r="H198" s="173" t="n">
        <f aca="false">IF($D$127=5,$U$173,IF($D$127=6,$U$173,IF($D$127=8,$U$175,IF($D$127=10,"",IF($D$127=12,$U$174,IF($D$127=14,"",IF($D$127=18,$U$173,IF($D$127=20,$U$174,IF($D$127=22,"")))))))))</f>
        <v>1561.98</v>
      </c>
      <c r="I198" s="174" t="n">
        <f aca="false">IF($D$127=5,$V$173,IF($D$127=6,$V$173,IF($D$127=8,$V$175,IF($D$127=10,"",IF($D$127=12,$V$174,IF($D$127=14,"",IF($D$127=18,$V$173,IF($D$127=20,$V$174,IF($D$127=22,"",)))))))))</f>
        <v>100</v>
      </c>
      <c r="J198" s="177" t="n">
        <f aca="false">ROUNDUP((H198)/100,0)</f>
        <v>16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/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$J$120*H204</f>
        <v>0</v>
      </c>
    </row>
    <row r="205" s="96" customFormat="true" ht="18" hidden="false" customHeight="true" outlineLevel="0" collapsed="false">
      <c r="A205" s="179" t="str">
        <f aca="false">IF(B205="","",+A204+1)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$J$120*H205</f>
        <v>0</v>
      </c>
    </row>
    <row r="206" s="96" customFormat="true" ht="18" hidden="false" customHeight="true" outlineLevel="0" collapsed="false">
      <c r="A206" s="200"/>
      <c r="B206" s="98"/>
      <c r="D206" s="98"/>
      <c r="E206" s="97"/>
      <c r="F206" s="98"/>
      <c r="G206" s="98"/>
      <c r="H206" s="98"/>
      <c r="I206" s="196"/>
      <c r="J206" s="196"/>
    </row>
    <row r="207" customFormat="false" ht="18" hidden="false" customHeight="true" outlineLevel="0" collapsed="false">
      <c r="A207" s="97"/>
      <c r="J207" s="92" t="str">
        <f aca="false">LEFT($J$111,14)&amp;"-02"</f>
        <v>FG-240-10P5L5R-02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458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3661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30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461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3635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30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464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3661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30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97"/>
      <c r="H252" s="97"/>
      <c r="I252" s="196"/>
      <c r="J252" s="196"/>
    </row>
    <row r="253" s="96" customFormat="true" ht="15.75" hidden="false" customHeight="true" outlineLevel="0" collapsed="false">
      <c r="A253" s="191"/>
      <c r="B253" s="191"/>
      <c r="D253" s="192"/>
      <c r="E253" s="191"/>
      <c r="F253" s="191"/>
      <c r="G253" s="97"/>
      <c r="H253" s="97"/>
      <c r="I253" s="196"/>
      <c r="J253" s="196"/>
    </row>
    <row r="254" s="96" customFormat="true" ht="15.75" hidden="false" customHeight="true" outlineLevel="0" collapsed="false">
      <c r="A254" s="190"/>
      <c r="B254" s="190"/>
      <c r="C254" s="184" t="s">
        <v>465</v>
      </c>
      <c r="D254" s="194"/>
      <c r="E254" s="190"/>
      <c r="F254" s="189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459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460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5" t="n">
        <f aca="false">$I$136</f>
        <v>3661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7" t="n">
        <f aca="false">$J$136</f>
        <v>30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C262" s="98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184" t="s">
        <v>466</v>
      </c>
      <c r="D264" s="98"/>
      <c r="E264" s="97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467</v>
      </c>
      <c r="D265" s="181"/>
      <c r="E265" s="181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468</v>
      </c>
      <c r="D266" s="181"/>
      <c r="E266" s="181"/>
      <c r="F266" s="97"/>
      <c r="G266" s="97"/>
      <c r="H266" s="97"/>
      <c r="J266" s="97"/>
    </row>
    <row r="267" s="96" customFormat="true" ht="15.75" hidden="false" customHeight="true" outlineLevel="0" collapsed="false">
      <c r="A267" s="200"/>
      <c r="C267" s="185" t="n">
        <f aca="false">$I$137</f>
        <v>2340</v>
      </c>
      <c r="D267" s="98"/>
      <c r="E267" s="97"/>
      <c r="F267" s="97"/>
      <c r="J267" s="97"/>
    </row>
    <row r="268" s="96" customFormat="true" ht="15.75" hidden="false" customHeight="true" outlineLevel="0" collapsed="false">
      <c r="A268" s="200"/>
      <c r="C268" s="187" t="n">
        <f aca="false">$J$137+$J$138</f>
        <v>60</v>
      </c>
      <c r="D268" s="98"/>
      <c r="E268" s="97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I272" s="196"/>
      <c r="J272" s="196"/>
    </row>
    <row r="273" s="96" customFormat="true" ht="15.75" hidden="false" customHeight="true" outlineLevel="0" collapsed="false">
      <c r="A273" s="200"/>
      <c r="D273" s="98"/>
      <c r="E273" s="97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C274" s="184" t="s">
        <v>469</v>
      </c>
      <c r="D274" s="201"/>
      <c r="E274" s="196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1" t="s">
        <v>470</v>
      </c>
      <c r="D275" s="181"/>
      <c r="E275" s="181"/>
      <c r="F275" s="97"/>
      <c r="G275" s="97"/>
      <c r="I275" s="97"/>
      <c r="J275" s="196"/>
    </row>
    <row r="276" s="96" customFormat="true" ht="15.75" hidden="false" customHeight="true" outlineLevel="0" collapsed="false">
      <c r="A276" s="200"/>
      <c r="C276" s="181" t="s">
        <v>471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5" t="n">
        <f aca="false">$I$139</f>
        <v>2244</v>
      </c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7" t="n">
        <f aca="false">$J$139+$J$140</f>
        <v>60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F279" s="97"/>
      <c r="G279" s="97"/>
      <c r="H279" s="97"/>
      <c r="J279" s="97"/>
    </row>
    <row r="280" s="96" customFormat="true" ht="15.75" hidden="false" customHeight="true" outlineLevel="0" collapsed="false">
      <c r="A280" s="200"/>
      <c r="D280" s="98"/>
      <c r="E280" s="97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I282" s="201"/>
      <c r="J282" s="196"/>
    </row>
    <row r="283" s="96" customFormat="true" ht="15.75" hidden="false" customHeight="true" outlineLevel="0" collapsed="false">
      <c r="A283" s="200"/>
      <c r="C283" s="184" t="s">
        <v>472</v>
      </c>
      <c r="F283" s="97"/>
      <c r="G283" s="97"/>
      <c r="H283" s="97"/>
      <c r="I283" s="97"/>
      <c r="J283" s="196"/>
    </row>
    <row r="284" s="96" customFormat="true" ht="15.75" hidden="false" customHeight="true" outlineLevel="0" collapsed="false">
      <c r="A284" s="200"/>
      <c r="C284" s="83" t="s">
        <v>785</v>
      </c>
      <c r="D284" s="98"/>
      <c r="E284" s="97"/>
      <c r="F284" s="97"/>
      <c r="G284" s="97"/>
      <c r="H284" s="97"/>
      <c r="I284" s="196"/>
      <c r="J284" s="196"/>
    </row>
    <row r="285" s="96" customFormat="true" ht="15.75" hidden="false" customHeight="true" outlineLevel="0" collapsed="false">
      <c r="A285" s="200"/>
      <c r="C285" s="181" t="s">
        <v>786</v>
      </c>
      <c r="D285" s="98"/>
      <c r="E285" s="97"/>
      <c r="F285" s="97"/>
      <c r="G285" s="97"/>
      <c r="H285" s="97"/>
      <c r="I285" s="196"/>
      <c r="J285" s="196"/>
    </row>
    <row r="286" s="96" customFormat="true" ht="15.75" hidden="false" customHeight="true" outlineLevel="0" collapsed="false">
      <c r="A286" s="200"/>
      <c r="C286" s="181" t="s">
        <v>475</v>
      </c>
      <c r="D286" s="181"/>
      <c r="E286" s="181"/>
      <c r="F286" s="97"/>
      <c r="G286" s="97"/>
      <c r="I286" s="196"/>
      <c r="J286" s="196"/>
    </row>
    <row r="287" s="202" customFormat="true" ht="15.75" hidden="false" customHeight="true" outlineLevel="0" collapsed="false">
      <c r="A287" s="200"/>
      <c r="B287" s="96"/>
      <c r="C287" s="181" t="s">
        <v>476</v>
      </c>
      <c r="D287" s="181"/>
      <c r="E287" s="181"/>
      <c r="F287" s="97"/>
      <c r="G287" s="97"/>
      <c r="H287" s="96"/>
      <c r="I287" s="97"/>
      <c r="J287" s="97"/>
    </row>
    <row r="288" s="96" customFormat="true" ht="15.75" hidden="false" customHeight="true" outlineLevel="0" collapsed="false">
      <c r="A288" s="200"/>
      <c r="C288" s="185" t="n">
        <f aca="false">$I$141</f>
        <v>355.3</v>
      </c>
      <c r="F288" s="97"/>
      <c r="G288" s="97"/>
      <c r="I288" s="191"/>
      <c r="J288" s="199"/>
    </row>
    <row r="289" s="96" customFormat="true" ht="15.75" hidden="false" customHeight="true" outlineLevel="0" collapsed="false">
      <c r="A289" s="200"/>
      <c r="C289" s="187" t="n">
        <f aca="false">$J$141+$J$142</f>
        <v>600</v>
      </c>
      <c r="D289" s="98"/>
      <c r="E289" s="97"/>
      <c r="F289" s="97"/>
      <c r="G289" s="97"/>
      <c r="H289" s="98"/>
      <c r="I289" s="189"/>
      <c r="J289" s="190"/>
    </row>
    <row r="290" s="96" customFormat="true" ht="15.75" hidden="false" customHeight="true" outlineLevel="0" collapsed="false">
      <c r="A290" s="200"/>
      <c r="C290" s="185" t="n">
        <f aca="false">$I$143</f>
        <v>2248</v>
      </c>
      <c r="D290" s="98"/>
      <c r="E290" s="97"/>
      <c r="F290" s="97"/>
      <c r="G290" s="97"/>
      <c r="H290" s="97"/>
      <c r="I290" s="196"/>
      <c r="J290" s="196"/>
    </row>
    <row r="291" s="96" customFormat="true" ht="15.75" hidden="false" customHeight="true" outlineLevel="0" collapsed="false">
      <c r="A291" s="200"/>
      <c r="C291" s="187" t="n">
        <f aca="false">$J$143+$J$144+$J$145+$J$146</f>
        <v>600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D292" s="98"/>
      <c r="E292" s="97"/>
      <c r="F292" s="97"/>
      <c r="G292" s="97"/>
      <c r="H292" s="97"/>
      <c r="I292" s="97"/>
      <c r="J292" s="196"/>
    </row>
    <row r="293" s="96" customFormat="true" ht="15.75" hidden="false" customHeight="true" outlineLevel="0" collapsed="false">
      <c r="A293" s="200"/>
      <c r="C293" s="202"/>
      <c r="D293" s="98"/>
      <c r="E293" s="97"/>
      <c r="F293" s="97"/>
      <c r="G293" s="97"/>
      <c r="H293" s="97"/>
      <c r="I293" s="97"/>
      <c r="J293" s="196"/>
    </row>
    <row r="294" s="96" customFormat="true" ht="15.75" hidden="false" customHeight="true" outlineLevel="0" collapsed="false">
      <c r="A294" s="200"/>
      <c r="C294" s="184" t="s">
        <v>477</v>
      </c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83" t="s">
        <v>785</v>
      </c>
      <c r="D295" s="98"/>
      <c r="E295" s="97"/>
      <c r="F295" s="97"/>
      <c r="G295" s="191"/>
      <c r="H295" s="191"/>
      <c r="I295" s="97"/>
      <c r="J295" s="196"/>
    </row>
    <row r="296" s="96" customFormat="true" ht="15.75" hidden="false" customHeight="true" outlineLevel="0" collapsed="false">
      <c r="A296" s="200"/>
      <c r="C296" s="181" t="s">
        <v>787</v>
      </c>
      <c r="D296" s="181"/>
      <c r="E296" s="181"/>
      <c r="F296" s="97"/>
      <c r="G296" s="190"/>
      <c r="H296" s="189"/>
      <c r="I296" s="97"/>
      <c r="J296" s="196"/>
    </row>
    <row r="297" s="96" customFormat="true" ht="15.75" hidden="false" customHeight="true" outlineLevel="0" collapsed="false">
      <c r="A297" s="107"/>
      <c r="C297" s="181" t="s">
        <v>478</v>
      </c>
      <c r="D297" s="181"/>
      <c r="E297" s="181"/>
      <c r="F297" s="97"/>
      <c r="G297" s="97"/>
      <c r="H297" s="97"/>
      <c r="I297" s="97"/>
      <c r="J297" s="196"/>
    </row>
    <row r="298" s="96" customFormat="true" ht="15.75" hidden="false" customHeight="true" outlineLevel="0" collapsed="false">
      <c r="A298" s="191"/>
      <c r="B298" s="191"/>
      <c r="C298" s="181" t="s">
        <v>479</v>
      </c>
      <c r="D298" s="203"/>
      <c r="E298" s="204"/>
      <c r="F298" s="191"/>
      <c r="G298" s="97"/>
      <c r="H298" s="97"/>
      <c r="I298" s="97"/>
      <c r="J298" s="196"/>
    </row>
    <row r="299" s="96" customFormat="true" ht="15.75" hidden="false" customHeight="true" outlineLevel="0" collapsed="false">
      <c r="A299" s="190"/>
      <c r="B299" s="190"/>
      <c r="C299" s="185" t="n">
        <f aca="false">$I$147</f>
        <v>251.675</v>
      </c>
      <c r="D299" s="205"/>
      <c r="E299" s="206"/>
      <c r="F299" s="189"/>
      <c r="G299" s="97"/>
      <c r="H299" s="97"/>
      <c r="I299" s="97"/>
      <c r="J299" s="196"/>
    </row>
    <row r="300" s="96" customFormat="true" ht="15.75" hidden="false" customHeight="true" outlineLevel="0" collapsed="false">
      <c r="A300" s="97"/>
      <c r="C300" s="187" t="n">
        <f aca="false">$J$147</f>
        <v>600</v>
      </c>
      <c r="D300" s="98"/>
      <c r="F300" s="97"/>
      <c r="G300" s="97"/>
      <c r="H300" s="97"/>
      <c r="I300" s="97"/>
      <c r="J300" s="196"/>
    </row>
    <row r="301" s="96" customFormat="true" ht="15.75" hidden="false" customHeight="true" outlineLevel="0" collapsed="false">
      <c r="A301" s="97"/>
      <c r="C301" s="185" t="n">
        <f aca="false">$I$148</f>
        <v>2098</v>
      </c>
      <c r="D301" s="98"/>
      <c r="F301" s="97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7" t="n">
        <f aca="false">$J$148</f>
        <v>600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C306" s="184" t="s">
        <v>744</v>
      </c>
      <c r="D306" s="98"/>
      <c r="E306" s="97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1" t="s">
        <v>475</v>
      </c>
      <c r="D307" s="181"/>
      <c r="E307" s="181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249" t="s">
        <v>476</v>
      </c>
      <c r="D308" s="249"/>
      <c r="E308" s="249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5" t="n">
        <f aca="false">$I$149</f>
        <v>2248</v>
      </c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7" t="n">
        <f aca="false">$J$149+$J$150</f>
        <v>60</v>
      </c>
      <c r="D310" s="181"/>
      <c r="E310" s="181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LEFT($J$111,14)&amp;"-03"</f>
        <v>FG-240-10P5L5R-03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I316" s="76"/>
      <c r="J316" s="77" t="str">
        <f aca="false">$J$2</f>
        <v>HOMELIFE</v>
      </c>
      <c r="K316" s="83"/>
      <c r="L316" s="83"/>
      <c r="M316" s="79"/>
      <c r="N316" s="79"/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240-10 Panel (5L5R)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195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91"/>
      <c r="D405" s="98"/>
      <c r="E405" s="97"/>
      <c r="F405" s="97"/>
      <c r="G405" s="97"/>
      <c r="H405" s="97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LEFT($J$111,14)&amp;"-04"</f>
        <v>FG-240-10P5L5R-04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B423" s="96"/>
      <c r="C423" s="96"/>
      <c r="D423" s="98"/>
      <c r="E423" s="97"/>
      <c r="F423" s="97"/>
      <c r="G423" s="97"/>
      <c r="H423" s="97"/>
      <c r="I423" s="76"/>
      <c r="J423" s="77" t="str">
        <f aca="false">J2</f>
        <v>HOMELIFE</v>
      </c>
      <c r="K423" s="83"/>
      <c r="L423" s="83"/>
      <c r="M423" s="79"/>
      <c r="N423" s="79"/>
    </row>
    <row r="424" customFormat="false" ht="24.75" hidden="false" customHeight="true" outlineLevel="0" collapsed="false">
      <c r="C424" s="75"/>
      <c r="D424" s="76"/>
      <c r="E424" s="76"/>
      <c r="F424" s="76"/>
      <c r="G424" s="76"/>
      <c r="H424" s="76"/>
      <c r="I424" s="82"/>
      <c r="J424" s="80" t="str">
        <f aca="false">J3</f>
        <v>Fabricators Guide</v>
      </c>
      <c r="K424" s="83"/>
      <c r="L424" s="83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J4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240-10 Panel (5L5R)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191"/>
      <c r="C442" s="212"/>
      <c r="D442" s="98"/>
      <c r="E442" s="97"/>
      <c r="F442" s="97"/>
      <c r="H442" s="191"/>
      <c r="I442" s="191"/>
      <c r="J442" s="199"/>
    </row>
    <row r="443" s="96" customFormat="true" ht="15.75" hidden="false" customHeight="true" outlineLevel="0" collapsed="false">
      <c r="A443" s="190"/>
      <c r="C443" s="191"/>
      <c r="D443" s="192"/>
      <c r="E443" s="191"/>
      <c r="F443" s="191"/>
      <c r="H443" s="191"/>
      <c r="I443" s="191"/>
      <c r="J443" s="199"/>
    </row>
    <row r="444" s="96" customFormat="true" ht="34.5" hidden="false" customHeight="true" outlineLevel="0" collapsed="false">
      <c r="A444" s="97"/>
      <c r="C444" s="98"/>
      <c r="D444" s="194"/>
      <c r="E444" s="190"/>
      <c r="F444" s="189"/>
      <c r="H444" s="191"/>
      <c r="I444" s="196"/>
      <c r="J444" s="196"/>
    </row>
    <row r="445" customFormat="false" ht="15" hidden="false" customHeight="true" outlineLevel="0" collapsed="false">
      <c r="B445" s="211"/>
      <c r="C445" s="98"/>
      <c r="D445" s="98"/>
      <c r="E445" s="97"/>
      <c r="F445" s="98"/>
      <c r="G445" s="97"/>
      <c r="H445" s="97"/>
    </row>
    <row r="450" s="96" customFormat="true" ht="15.75" hidden="false" customHeight="true" outlineLevel="0" collapsed="false">
      <c r="A450" s="97"/>
      <c r="D450" s="73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191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97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196"/>
      <c r="J457" s="196"/>
    </row>
    <row r="458" s="96" customFormat="true" ht="15.7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195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202" customFormat="true" ht="15.75" hidden="false" customHeight="true" outlineLevel="0" collapsed="false">
      <c r="A477" s="97"/>
      <c r="B477" s="96"/>
      <c r="C477" s="96"/>
      <c r="D477" s="98"/>
      <c r="E477" s="97"/>
      <c r="F477" s="97"/>
      <c r="G477" s="97"/>
      <c r="H477" s="97"/>
      <c r="I477" s="97"/>
      <c r="J477" s="97"/>
    </row>
    <row r="478" s="96" customFormat="true" ht="15.75" hidden="false" customHeight="true" outlineLevel="0" collapsed="false">
      <c r="A478" s="191"/>
      <c r="D478" s="98"/>
      <c r="E478" s="97"/>
      <c r="F478" s="97"/>
      <c r="G478" s="97"/>
      <c r="H478" s="97"/>
      <c r="I478" s="191"/>
      <c r="J478" s="199"/>
    </row>
    <row r="479" s="96" customFormat="true" ht="15.75" hidden="false" customHeight="true" outlineLevel="0" collapsed="false">
      <c r="A479" s="190"/>
      <c r="B479" s="191"/>
      <c r="C479" s="191"/>
      <c r="D479" s="192"/>
      <c r="E479" s="191"/>
      <c r="F479" s="191"/>
      <c r="G479" s="191"/>
      <c r="H479" s="191"/>
      <c r="I479" s="189"/>
      <c r="J479" s="190"/>
    </row>
    <row r="480" s="96" customFormat="true" ht="15.75" hidden="false" customHeight="true" outlineLevel="0" collapsed="false">
      <c r="A480" s="200"/>
      <c r="B480" s="190"/>
      <c r="C480" s="191"/>
      <c r="D480" s="194"/>
      <c r="E480" s="190"/>
      <c r="F480" s="189"/>
      <c r="G480" s="190"/>
      <c r="H480" s="189"/>
      <c r="I480" s="196"/>
      <c r="J480" s="196"/>
    </row>
    <row r="481" s="96" customFormat="true" ht="15.75" hidden="false" customHeight="true" outlineLevel="0" collapsed="false">
      <c r="A481" s="200"/>
      <c r="C481" s="182"/>
      <c r="D481" s="98"/>
      <c r="E481" s="97"/>
      <c r="F481" s="97"/>
      <c r="G481" s="97"/>
      <c r="H481" s="182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C487" s="98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182"/>
      <c r="J499" s="97"/>
    </row>
    <row r="500" s="96" customFormat="true" ht="15.75" hidden="false" customHeight="true" outlineLevel="0" collapsed="false">
      <c r="A500" s="200"/>
      <c r="C500" s="188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I501" s="196"/>
      <c r="J501" s="196"/>
    </row>
    <row r="502" s="96" customFormat="true" ht="15.75" hidden="false" customHeight="true" outlineLevel="0" collapsed="false">
      <c r="A502" s="200"/>
      <c r="C502" s="98"/>
      <c r="D502" s="98"/>
      <c r="E502" s="97"/>
      <c r="F502" s="97"/>
      <c r="G502" s="97"/>
      <c r="H502" s="182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200"/>
      <c r="D513" s="98"/>
      <c r="E513" s="97"/>
      <c r="F513" s="97"/>
      <c r="G513" s="97"/>
      <c r="H513" s="97"/>
      <c r="I513" s="212"/>
      <c r="J513" s="195"/>
    </row>
    <row r="514" s="96" customFormat="true" ht="15.75" hidden="false" customHeight="true" outlineLevel="0" collapsed="false">
      <c r="A514" s="191"/>
      <c r="B514" s="191"/>
      <c r="C514" s="191"/>
      <c r="D514" s="192"/>
      <c r="E514" s="191"/>
      <c r="F514" s="191"/>
      <c r="G514" s="191"/>
      <c r="H514" s="191"/>
      <c r="I514" s="191"/>
      <c r="J514" s="199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B516" s="191"/>
      <c r="C516" s="191"/>
      <c r="D516" s="192"/>
      <c r="E516" s="191"/>
      <c r="F516" s="191"/>
      <c r="G516" s="191"/>
      <c r="H516" s="191"/>
    </row>
    <row r="517" s="96" customFormat="true" ht="15.75" hidden="false" customHeight="true" outlineLevel="0" collapsed="false"/>
    <row r="518" s="96" customFormat="true" ht="24.75" hidden="false" customHeight="true" outlineLevel="0" collapsed="false">
      <c r="A518" s="88" t="s">
        <v>482</v>
      </c>
      <c r="B518" s="88"/>
      <c r="C518" s="88"/>
      <c r="D518" s="88"/>
      <c r="E518" s="88"/>
      <c r="F518" s="88"/>
      <c r="G518" s="88"/>
      <c r="H518" s="88"/>
      <c r="I518" s="88"/>
      <c r="J518" s="88"/>
    </row>
    <row r="519" s="96" customFormat="true" ht="34.5" hidden="false" customHeight="true" outlineLevel="0" collapsed="false">
      <c r="A519" s="322" t="s">
        <v>319</v>
      </c>
      <c r="B519" s="323" t="s">
        <v>168</v>
      </c>
      <c r="C519" s="115" t="s">
        <v>168</v>
      </c>
      <c r="D519" s="116" t="s">
        <v>483</v>
      </c>
      <c r="E519" s="115" t="s">
        <v>321</v>
      </c>
      <c r="F519" s="239" t="s">
        <v>484</v>
      </c>
      <c r="G519" s="240"/>
      <c r="H519" s="116" t="s">
        <v>484</v>
      </c>
      <c r="I519" s="116" t="s">
        <v>485</v>
      </c>
      <c r="J519" s="117" t="s">
        <v>323</v>
      </c>
      <c r="N519" s="118" t="s">
        <v>168</v>
      </c>
      <c r="O519" s="118" t="s">
        <v>168</v>
      </c>
    </row>
    <row r="520" s="96" customFormat="true" ht="15.75" hidden="false" customHeight="true" outlineLevel="0" collapsed="false">
      <c r="A520" s="324" t="n">
        <f aca="false">IF(C520="","",1)</f>
        <v>1</v>
      </c>
      <c r="B520" s="121" t="str">
        <f aca="false"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 aca="false">IF($D$127=5,O520,IF($D$127=6,O521,IF($D$127=8,O522,IF($D$127=10,O523,IF($D$127=12,O524,IF($D$127=14,O525,IF($D$127=18,O526,IF($D$127=20,O527,IF($D$127=22,O528,)))))))))</f>
        <v>GLASS thk.6 mm (H) (W)</v>
      </c>
      <c r="D520" s="123" t="n">
        <f aca="false">$J$123-215</f>
        <v>2125</v>
      </c>
      <c r="E520" s="120" t="s">
        <v>486</v>
      </c>
      <c r="F520" s="224" t="s">
        <v>487</v>
      </c>
      <c r="G520" s="224"/>
      <c r="H520" s="120" t="s">
        <v>788</v>
      </c>
      <c r="I520" s="225" t="n">
        <f aca="false">(($J$126-185-(113.25*9))/10)-13</f>
        <v>238.675</v>
      </c>
      <c r="J520" s="232" t="n">
        <f aca="false">$J$120*10</f>
        <v>300</v>
      </c>
      <c r="N520" s="62" t="s">
        <v>489</v>
      </c>
      <c r="O520" s="62" t="s">
        <v>490</v>
      </c>
    </row>
    <row r="521" s="96" customFormat="true" ht="15.75" hidden="false" customHeight="true" outlineLevel="0" collapsed="false">
      <c r="A521" s="227"/>
      <c r="B521" s="131"/>
      <c r="C521" s="131"/>
      <c r="D521" s="132" t="s">
        <v>208</v>
      </c>
      <c r="E521" s="130"/>
      <c r="F521" s="233"/>
      <c r="G521" s="234"/>
      <c r="H521" s="131"/>
      <c r="I521" s="133"/>
      <c r="J521" s="235"/>
      <c r="N521" s="62" t="s">
        <v>491</v>
      </c>
      <c r="O521" s="62" t="s">
        <v>492</v>
      </c>
    </row>
    <row r="522" s="96" customFormat="true" ht="15.75" hidden="false" customHeight="true" outlineLevel="0" collapsed="false">
      <c r="A522" s="227"/>
      <c r="B522" s="131"/>
      <c r="C522" s="131"/>
      <c r="D522" s="132"/>
      <c r="E522" s="130"/>
      <c r="F522" s="233"/>
      <c r="G522" s="234"/>
      <c r="H522" s="130"/>
      <c r="I522" s="133"/>
      <c r="J522" s="235"/>
      <c r="N522" s="62" t="s">
        <v>493</v>
      </c>
      <c r="O522" s="62" t="s">
        <v>494</v>
      </c>
    </row>
    <row r="523" s="96" customFormat="true" ht="15.75" hidden="false" customHeight="true" outlineLevel="0" collapsed="false">
      <c r="A523" s="130" t="str">
        <f aca="false">IF(B523="","",+A521+1)</f>
        <v/>
      </c>
      <c r="B523" s="131"/>
      <c r="C523" s="131"/>
      <c r="D523" s="132"/>
      <c r="E523" s="130"/>
      <c r="F523" s="233"/>
      <c r="G523" s="270"/>
      <c r="H523" s="130"/>
      <c r="I523" s="142"/>
      <c r="J523" s="133"/>
      <c r="N523" s="62" t="s">
        <v>495</v>
      </c>
      <c r="O523" s="62" t="s">
        <v>496</v>
      </c>
    </row>
    <row r="524" s="96" customFormat="true" ht="15.75" hidden="false" customHeight="true" outlineLevel="0" collapsed="false">
      <c r="A524" s="136" t="str">
        <f aca="false">IF(B524="","",+A523+1)</f>
        <v/>
      </c>
      <c r="B524" s="135"/>
      <c r="C524" s="135"/>
      <c r="D524" s="139"/>
      <c r="E524" s="136"/>
      <c r="F524" s="236"/>
      <c r="G524" s="237"/>
      <c r="H524" s="136"/>
      <c r="I524" s="180"/>
      <c r="J524" s="140"/>
      <c r="N524" s="62" t="s">
        <v>497</v>
      </c>
      <c r="O524" s="62" t="s">
        <v>498</v>
      </c>
    </row>
    <row r="525" s="96" customFormat="true" ht="15.75" hidden="false" customHeight="true" outlineLevel="0" collapsed="false">
      <c r="A525" s="97"/>
      <c r="D525" s="98"/>
      <c r="E525" s="97"/>
      <c r="F525" s="97"/>
      <c r="G525" s="97"/>
      <c r="H525" s="97"/>
      <c r="I525" s="97"/>
      <c r="J525" s="196"/>
      <c r="N525" s="62" t="s">
        <v>499</v>
      </c>
      <c r="O525" s="62" t="s">
        <v>500</v>
      </c>
    </row>
    <row r="526" customFormat="false" ht="14.25" hidden="false" customHeight="false" outlineLevel="0" collapsed="false">
      <c r="J526" s="92" t="str">
        <f aca="false">LEFT($J$111,14)&amp;"-05"</f>
        <v>FG-240-10P5L5R-05</v>
      </c>
      <c r="N526" s="62" t="s">
        <v>501</v>
      </c>
      <c r="O526" s="62" t="s">
        <v>502</v>
      </c>
    </row>
    <row r="527" customFormat="false" ht="14.25" hidden="false" customHeight="false" outlineLevel="0" collapsed="false">
      <c r="N527" s="62" t="s">
        <v>503</v>
      </c>
      <c r="O527" s="62" t="s">
        <v>504</v>
      </c>
    </row>
    <row r="528" customFormat="false" ht="14.25" hidden="false" customHeight="false" outlineLevel="0" collapsed="false">
      <c r="N528" s="62" t="s">
        <v>505</v>
      </c>
      <c r="O528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2:J152"/>
    <mergeCell ref="I153:J153"/>
    <mergeCell ref="I154:J154"/>
    <mergeCell ref="I155:J155"/>
    <mergeCell ref="I156:J156"/>
    <mergeCell ref="D157:D158"/>
    <mergeCell ref="H157:H158"/>
    <mergeCell ref="I157:J158"/>
    <mergeCell ref="D159:D160"/>
    <mergeCell ref="H159:H160"/>
    <mergeCell ref="I159:J159"/>
    <mergeCell ref="I160:J163"/>
    <mergeCell ref="D161:D166"/>
    <mergeCell ref="H161:H166"/>
    <mergeCell ref="I164:J165"/>
    <mergeCell ref="I166:J166"/>
    <mergeCell ref="D167:D168"/>
    <mergeCell ref="H167:H168"/>
    <mergeCell ref="D169:D170"/>
    <mergeCell ref="H169:H170"/>
    <mergeCell ref="A171:J171"/>
    <mergeCell ref="A213:J213"/>
    <mergeCell ref="C308:E308"/>
    <mergeCell ref="A320:J320"/>
    <mergeCell ref="F330:G330"/>
    <mergeCell ref="F331:G331"/>
    <mergeCell ref="F334:G334"/>
    <mergeCell ref="A427:J427"/>
    <mergeCell ref="A518:J518"/>
    <mergeCell ref="F520:G520"/>
  </mergeCells>
  <dataValidations count="4">
    <dataValidation allowBlank="true" errorStyle="stop" operator="between" showDropDown="false" showErrorMessage="true" showInputMessage="true" sqref="C206" type="list">
      <formula1>$O$173:$O$191</formula1>
      <formula2>0</formula2>
    </dataValidation>
    <dataValidation allowBlank="true" errorStyle="stop" operator="between" showDropDown="false" showErrorMessage="true" showInputMessage="true" sqref="D123:G123" type="list">
      <formula1>$P$118:$P$127</formula1>
      <formula2>0</formula2>
    </dataValidation>
    <dataValidation allowBlank="true" errorStyle="stop" operator="between" showDropDown="false" showErrorMessage="true" showInputMessage="true" sqref="D127:G127" type="list">
      <formula1>$N$119:$N$127</formula1>
      <formula2>0</formula2>
    </dataValidation>
    <dataValidation allowBlank="true" errorStyle="stop" operator="between" showDropDown="false" showErrorMessage="true" showInputMessage="true" sqref="D129:G129" type="list">
      <formula1>$O$119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527"/>
  <sheetViews>
    <sheetView showFormulas="false" showGridLines="false" showRowColHeaders="true" showZeros="true" rightToLeft="false" tabSelected="false" showOutlineSymbols="true" defaultGridColor="true" view="pageBreakPreview" topLeftCell="A118" colorId="64" zoomScale="75" zoomScaleNormal="75" zoomScalePageLayoutView="75" workbookViewId="0">
      <selection pane="topLeft" activeCell="I135" activeCellId="0" sqref="I135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55.67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9"/>
    <col collapsed="false" customWidth="true" hidden="false" outlineLevel="0" max="9" min="9" style="0" width="15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0.88"/>
    <col collapsed="false" customWidth="true" hidden="true" outlineLevel="1" max="23" min="22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789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>
      <c r="G55" s="91"/>
    </row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790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8" hidden="false" customHeight="true" outlineLevel="0" collapsed="false">
      <c r="A118" s="97"/>
      <c r="C118" s="81"/>
      <c r="D118" s="98"/>
      <c r="E118" s="83"/>
      <c r="J118" s="99"/>
      <c r="K118" s="83"/>
      <c r="N118" s="258" t="s">
        <v>288</v>
      </c>
      <c r="O118" s="97" t="s">
        <v>289</v>
      </c>
      <c r="P118" s="102" t="s">
        <v>290</v>
      </c>
    </row>
    <row r="119" s="96" customFormat="true" ht="15" hidden="false" customHeight="true" outlineLevel="0" collapsed="false">
      <c r="A119" s="97"/>
      <c r="C119" s="100" t="s">
        <v>286</v>
      </c>
      <c r="D119" s="101"/>
      <c r="E119" s="101"/>
      <c r="F119" s="101"/>
      <c r="G119" s="101"/>
      <c r="I119" s="83"/>
      <c r="J119" s="97"/>
      <c r="N119" s="259" t="n">
        <v>5</v>
      </c>
      <c r="O119" s="97" t="s">
        <v>509</v>
      </c>
      <c r="P119" s="106" t="s">
        <v>294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6</v>
      </c>
      <c r="O120" s="97" t="s">
        <v>296</v>
      </c>
      <c r="P120" s="106" t="s">
        <v>297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8</v>
      </c>
      <c r="P121" s="106" t="s">
        <v>299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10</v>
      </c>
      <c r="P122" s="106" t="s">
        <v>303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2500</v>
      </c>
      <c r="N123" s="259" t="n">
        <v>12</v>
      </c>
      <c r="P123" s="106" t="s">
        <v>305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14</v>
      </c>
      <c r="P124" s="106" t="s">
        <v>308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18</v>
      </c>
      <c r="P125" s="106" t="s">
        <v>311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2000</v>
      </c>
      <c r="K126" s="110"/>
      <c r="L126" s="110"/>
      <c r="N126" s="259" t="n">
        <v>20</v>
      </c>
      <c r="P126" s="106" t="s">
        <v>313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5</v>
      </c>
      <c r="E127" s="111"/>
      <c r="F127" s="111"/>
      <c r="G127" s="111"/>
      <c r="H127" s="104"/>
      <c r="I127" s="104"/>
      <c r="J127" s="105"/>
      <c r="N127" s="259" t="n">
        <v>22</v>
      </c>
      <c r="P127" s="106" t="s">
        <v>315</v>
      </c>
    </row>
    <row r="128" s="96" customFormat="true" ht="18.75" hidden="false" customHeight="true" outlineLevel="0" collapsed="false">
      <c r="C128" s="108" t="s">
        <v>314</v>
      </c>
      <c r="I128" s="97"/>
      <c r="J128" s="97"/>
    </row>
    <row r="129" s="96" customFormat="true" ht="15" hidden="false" customHeight="true" outlineLevel="0" collapsed="false">
      <c r="A129" s="89" t="str">
        <f aca="false">A18</f>
        <v>240-11 Panel (5L6R)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1940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22</v>
      </c>
      <c r="U133" s="127" t="s">
        <v>791</v>
      </c>
      <c r="V133" s="247" t="n">
        <f aca="false">($J$126-185-(113.25*10))/11</f>
        <v>62.0454545454546</v>
      </c>
      <c r="W133" s="129" t="n">
        <f aca="false">$J$120*T133</f>
        <v>22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1914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22</v>
      </c>
      <c r="U134" s="130" t="s">
        <v>791</v>
      </c>
      <c r="V134" s="141" t="n">
        <f aca="false">($J$126-185-(113.25*10))/11</f>
        <v>62.0454545454546</v>
      </c>
      <c r="W134" s="134" t="n">
        <f aca="false">$J$120*T134</f>
        <v>22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1940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22</v>
      </c>
      <c r="U135" s="136" t="s">
        <v>791</v>
      </c>
      <c r="V135" s="254" t="n">
        <f aca="false">($J$126-185-(113.25*10))/11</f>
        <v>62.0454545454546</v>
      </c>
      <c r="W135" s="137" t="n">
        <f aca="false">$J$120*T135</f>
        <v>22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1940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22</v>
      </c>
      <c r="U136" s="127" t="s">
        <v>360</v>
      </c>
      <c r="V136" s="138" t="n">
        <f aca="false">$J$123-242</f>
        <v>2258</v>
      </c>
      <c r="W136" s="129" t="n">
        <f aca="false">$J$120*T136</f>
        <v>22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2500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22</v>
      </c>
      <c r="U137" s="130" t="s">
        <v>360</v>
      </c>
      <c r="V137" s="133" t="n">
        <f aca="false">$J$123-242</f>
        <v>2258</v>
      </c>
      <c r="W137" s="134" t="n">
        <f aca="false">$J$120*T137</f>
        <v>22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2500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22</v>
      </c>
      <c r="U138" s="136" t="s">
        <v>360</v>
      </c>
      <c r="V138" s="140" t="n">
        <f aca="false">$J$123-242</f>
        <v>2258</v>
      </c>
      <c r="W138" s="137" t="n">
        <f aca="false">$J$120*T138</f>
        <v>22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2404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2404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11</v>
      </c>
      <c r="H141" s="321" t="s">
        <v>792</v>
      </c>
      <c r="I141" s="141" t="n">
        <f aca="false">($J$126-60-(11+1)*4)/11</f>
        <v>172</v>
      </c>
      <c r="J141" s="134" t="n">
        <f aca="false">$J$120*G141</f>
        <v>11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11</v>
      </c>
      <c r="H142" s="130" t="s">
        <v>792</v>
      </c>
      <c r="I142" s="141" t="n">
        <f aca="false">($J$126-60-(11+1)*4)/11</f>
        <v>172</v>
      </c>
      <c r="J142" s="134" t="n">
        <f aca="false">$J$120*G142</f>
        <v>11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16</v>
      </c>
      <c r="H143" s="130" t="s">
        <v>389</v>
      </c>
      <c r="I143" s="133" t="n">
        <f aca="false">$J$123-92</f>
        <v>2408</v>
      </c>
      <c r="J143" s="134" t="n">
        <f aca="false">$J$120*G143</f>
        <v>16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3</v>
      </c>
      <c r="H144" s="130" t="s">
        <v>389</v>
      </c>
      <c r="I144" s="133" t="n">
        <f aca="false">$J$123-92</f>
        <v>2408</v>
      </c>
      <c r="J144" s="134" t="n">
        <f aca="false">$J$120*G144</f>
        <v>3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390</v>
      </c>
      <c r="C145" s="131" t="s">
        <v>656</v>
      </c>
      <c r="D145" s="132" t="s">
        <v>74</v>
      </c>
      <c r="E145" s="130" t="n">
        <v>1.106</v>
      </c>
      <c r="F145" s="132" t="s">
        <v>563</v>
      </c>
      <c r="G145" s="130" t="n">
        <v>2</v>
      </c>
      <c r="H145" s="130" t="s">
        <v>389</v>
      </c>
      <c r="I145" s="133" t="n">
        <f aca="false">$J$123-92</f>
        <v>2408</v>
      </c>
      <c r="J145" s="134" t="n">
        <f aca="false">$J$120*G145</f>
        <v>2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">
        <v>531</v>
      </c>
      <c r="C146" s="131" t="s">
        <v>532</v>
      </c>
      <c r="D146" s="132" t="s">
        <v>74</v>
      </c>
      <c r="E146" s="130" t="n">
        <v>1.106</v>
      </c>
      <c r="F146" s="132" t="s">
        <v>533</v>
      </c>
      <c r="G146" s="130" t="n">
        <v>1</v>
      </c>
      <c r="H146" s="130" t="s">
        <v>389</v>
      </c>
      <c r="I146" s="133" t="n">
        <f aca="false">$J$123-92</f>
        <v>2408</v>
      </c>
      <c r="J146" s="134" t="n">
        <f aca="false">$J$120*G146</f>
        <v>1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7" s="131" t="str">
        <f aca="false">IF($D$127=5,Q133,IF($D$127=6,Q133,IF($D$127=8,Q134,IF($D$127=10,Q134,IF($D$127=12,Q134,IF($D$127=14,Q135,IF($D$127=18,Q135,IF($D$127=20,Q135,IF($D$127=22,Q135,)))))))))</f>
        <v>B24008</v>
      </c>
      <c r="E147" s="131" t="n">
        <f aca="false">IF($D$127=5,R133,IF($D$127=6,R133,IF($D$127=8,R134,IF($D$127=10,R134,IF($D$127=12,R134,IF($D$127=14,R135,IF($D$127=18,R135,IF($D$127=20,R135,IF($D$127=22,R135,)))))))))</f>
        <v>0.231</v>
      </c>
      <c r="F147" s="131" t="str">
        <f aca="false">IF($D$127=5,S133,IF($D$127=6,S133,IF($D$127=8,S134,IF($D$127=10,S134,IF($D$127=12,S134,IF($D$127=14,S135,IF($D$127=18,S135,IF($D$127=20,S135,IF($D$127=22,S135,)))))))))</f>
        <v>B24008-001</v>
      </c>
      <c r="G147" s="130" t="n">
        <f aca="false">IF($D$127=5,T133,IF($D$127=6,T133,IF($D$127=8,T134,IF($D$127=10,T134,IF($D$127=12,T134,IF($D$127=14,T135,IF($D$127=18,T135,IF($D$127=20,T135,IF($D$127=22,T135,)))))))))</f>
        <v>22</v>
      </c>
      <c r="H147" s="130" t="str">
        <f aca="false">IF($D$127=5,U133,IF($D$127=6,U133,IF($D$127=8,U134,IF($D$127=10,U134,IF($D$127=12,U134,IF($D$127=14,U135,IF($D$127=18,U135,IF($D$127=20,U135,IF($D$127=22,U135,)))))))))</f>
        <v>(W-185-(113.25 × 10))/11</v>
      </c>
      <c r="I147" s="141" t="n">
        <f aca="false">IF($D$127=5,V133,IF($D$127=6,V133,IF($D$127=8,V134,IF($D$127=10,V134,IF($D$127=12,V134,IF($D$127=14,V135,IF($D$127=18,V135,IF($D$127=20,V135,IF($D$127=22,V135,)))))))))</f>
        <v>62.0454545454546</v>
      </c>
      <c r="J147" s="134" t="n">
        <f aca="false">$J$120*G147</f>
        <v>22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8" s="131" t="str">
        <f aca="false">IF($D$127=5,Q136,IF($D$127=6,Q136,IF($D$127=8,Q137,IF($D$127=10,Q137,IF($D$127=12,Q137,IF($D$127=14,Q138,IF($D$127=18,Q138,IF($D$127=20,Q138,IF($D$127=22,Q138,)))))))))</f>
        <v>B24008</v>
      </c>
      <c r="E148" s="131" t="n">
        <f aca="false">IF($D$127=5,R136,IF($D$127=6,R136,IF($D$127=8,R137,IF($D$127=10,R137,IF($D$127=12,R137,IF($D$127=14,R138,IF($D$127=18,R138,IF($D$127=20,R138,IF($D$127=22,R138,)))))))))</f>
        <v>0.231</v>
      </c>
      <c r="F148" s="131" t="str">
        <f aca="false">IF($D$127=5,S136,IF($D$127=6,S136,IF($D$127=8,S137,IF($D$127=10,S137,IF($D$127=12,S137,IF($D$127=14,S138,IF($D$127=18,S138,IF($D$127=20,S138,IF($D$127=22,S138,)))))))))</f>
        <v>B24008-002</v>
      </c>
      <c r="G148" s="130" t="n">
        <f aca="false">IF($D$127=5,T136,IF($D$127=6,T136,IF($D$127=8,T137,IF($D$127=10,T137,IF($D$127=12,T137,IF($D$127=14,T138,IF($D$127=18,T138,IF($D$127=20,T138,IF($D$127=22,T138,)))))))))</f>
        <v>22</v>
      </c>
      <c r="H148" s="130" t="str">
        <f aca="false">IF($D$127=5,U136,IF($D$127=6,U136,IF($D$127=8,U137,IF($D$127=10,U137,IF($D$127=12,U137,IF($D$127=14,U138,IF($D$127=18,U138,IF($D$127=20,U138,IF($D$127=22,U138,)))))))))</f>
        <v>H-242</v>
      </c>
      <c r="I148" s="141" t="n">
        <f aca="false">IF($D$127=5,V136,IF($D$127=6,V136,IF($D$127=8,V137,IF($D$127=10,V137,IF($D$127=12,V137,IF($D$127=14,V138,IF($D$127=18,V138,IF($D$127=20,V138,IF($D$127=22,V138,)))))))))</f>
        <v>2258</v>
      </c>
      <c r="J148" s="134" t="n">
        <f aca="false">$J$120*G148</f>
        <v>22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535</v>
      </c>
      <c r="D149" s="132" t="s">
        <v>536</v>
      </c>
      <c r="E149" s="130"/>
      <c r="F149" s="132" t="s">
        <v>537</v>
      </c>
      <c r="G149" s="130" t="n">
        <v>1</v>
      </c>
      <c r="H149" s="130" t="s">
        <v>389</v>
      </c>
      <c r="I149" s="133" t="n">
        <f aca="false">$J$123-92</f>
        <v>2408</v>
      </c>
      <c r="J149" s="134" t="n">
        <f aca="false">$J$120*G149</f>
        <v>1</v>
      </c>
    </row>
    <row r="150" s="96" customFormat="true" ht="18" hidden="false" customHeight="true" outlineLevel="0" collapsed="false">
      <c r="A150" s="130" t="n">
        <f aca="false">IF(B150="","",+A149+1)</f>
        <v>18</v>
      </c>
      <c r="B150" s="131" t="s">
        <v>534</v>
      </c>
      <c r="C150" s="131" t="s">
        <v>535</v>
      </c>
      <c r="D150" s="132" t="s">
        <v>536</v>
      </c>
      <c r="E150" s="130"/>
      <c r="F150" s="132" t="s">
        <v>539</v>
      </c>
      <c r="G150" s="130" t="n">
        <v>1</v>
      </c>
      <c r="H150" s="130" t="s">
        <v>389</v>
      </c>
      <c r="I150" s="133" t="n">
        <f aca="false">$J$123-92</f>
        <v>2408</v>
      </c>
      <c r="J150" s="134" t="n">
        <f aca="false">$J$120*G150</f>
        <v>1</v>
      </c>
    </row>
    <row r="151" s="96" customFormat="true" ht="18" hidden="false" customHeight="true" outlineLevel="0" collapsed="false">
      <c r="A151" s="130" t="str">
        <f aca="false">IF(B151="","",+A140+1)</f>
        <v/>
      </c>
      <c r="B151" s="143"/>
      <c r="C151" s="143"/>
      <c r="D151" s="144"/>
      <c r="E151" s="145"/>
      <c r="F151" s="144"/>
      <c r="G151" s="145"/>
      <c r="H151" s="145"/>
      <c r="I151" s="146"/>
      <c r="J151" s="147" t="n">
        <f aca="false">$J$120*G151</f>
        <v>0</v>
      </c>
    </row>
    <row r="152" s="96" customFormat="true" ht="27" hidden="false" customHeight="true" outlineLevel="1" collapsed="false">
      <c r="A152" s="148" t="s">
        <v>319</v>
      </c>
      <c r="B152" s="148" t="s">
        <v>320</v>
      </c>
      <c r="C152" s="148" t="s">
        <v>168</v>
      </c>
      <c r="D152" s="148" t="s">
        <v>166</v>
      </c>
      <c r="E152" s="148" t="s">
        <v>321</v>
      </c>
      <c r="F152" s="149" t="s">
        <v>393</v>
      </c>
      <c r="G152" s="148" t="s">
        <v>394</v>
      </c>
      <c r="H152" s="150" t="s">
        <v>395</v>
      </c>
      <c r="I152" s="151"/>
      <c r="J152" s="151"/>
    </row>
    <row r="153" s="96" customFormat="true" ht="15" hidden="false" customHeight="true" outlineLevel="1" collapsed="false">
      <c r="A153" s="152" t="n">
        <f aca="false">IF(B153="","",1)</f>
        <v>1</v>
      </c>
      <c r="B153" s="153" t="str">
        <f aca="false">B133</f>
        <v>เฟรมบน</v>
      </c>
      <c r="C153" s="153" t="str">
        <f aca="false">C133</f>
        <v>HEAD</v>
      </c>
      <c r="D153" s="154" t="str">
        <f aca="false">VLOOKUP(C153,$C$133:$H$151,2,0)</f>
        <v>B24001</v>
      </c>
      <c r="E153" s="155" t="n">
        <f aca="false">VLOOKUP(C153,$C$133:$H$151,3,0)</f>
        <v>1.603</v>
      </c>
      <c r="F153" s="263" t="n">
        <f aca="false">VLOOKUP(C153,$C$133:$J$151,7,0)</f>
        <v>1940</v>
      </c>
      <c r="G153" s="155" t="n">
        <f aca="false">VLOOKUP(C153,$C$133:$J$151,8,0)</f>
        <v>1</v>
      </c>
      <c r="H153" s="264" t="n">
        <f aca="false">ROUNDUP((F153*G153)/6400,0)</f>
        <v>1</v>
      </c>
      <c r="I153" s="265"/>
      <c r="J153" s="265"/>
    </row>
    <row r="154" s="96" customFormat="true" ht="15" hidden="false" customHeight="true" outlineLevel="1" collapsed="false">
      <c r="A154" s="158" t="n">
        <f aca="false">IF(B154="","",+A153+1)</f>
        <v>2</v>
      </c>
      <c r="B154" s="153" t="str">
        <f aca="false">B134</f>
        <v>บังใบบน</v>
      </c>
      <c r="C154" s="153" t="str">
        <f aca="false">C134</f>
        <v>DOOR STOP HEAD</v>
      </c>
      <c r="D154" s="154" t="str">
        <f aca="false">VLOOKUP(C154,$C$133:$H$151,2,0)</f>
        <v>B24002</v>
      </c>
      <c r="E154" s="155" t="n">
        <f aca="false">VLOOKUP(C154,$C$133:$H$151,3,0)</f>
        <v>0.278</v>
      </c>
      <c r="F154" s="263" t="n">
        <f aca="false">VLOOKUP(C154,$C$133:$I$151,7,0)</f>
        <v>1914</v>
      </c>
      <c r="G154" s="155" t="n">
        <f aca="false">VLOOKUP(C154,$C$133:$J$151,8,0)</f>
        <v>1</v>
      </c>
      <c r="H154" s="266" t="n">
        <f aca="false">ROUNDUP((F154*G154)/6400,0)</f>
        <v>1</v>
      </c>
      <c r="I154" s="265"/>
      <c r="J154" s="265"/>
    </row>
    <row r="155" s="96" customFormat="true" ht="15" hidden="false" customHeight="true" outlineLevel="1" collapsed="false">
      <c r="A155" s="158" t="n">
        <f aca="false">IF(B155="","",+A154+1)</f>
        <v>3</v>
      </c>
      <c r="B155" s="153" t="str">
        <f aca="false">B135</f>
        <v>เฟรมล่าง </v>
      </c>
      <c r="C155" s="153" t="str">
        <f aca="false">C135</f>
        <v>SILL</v>
      </c>
      <c r="D155" s="154" t="str">
        <f aca="false">VLOOKUP(C155,$C$133:$H$151,2,0)</f>
        <v>B24003</v>
      </c>
      <c r="E155" s="155" t="n">
        <f aca="false">VLOOKUP(C155,$C$133:$H$151,3,0)</f>
        <v>1.603</v>
      </c>
      <c r="F155" s="263" t="n">
        <f aca="false">VLOOKUP(C155,$C$133:$I$151,7,0)</f>
        <v>1940</v>
      </c>
      <c r="G155" s="155" t="n">
        <f aca="false">VLOOKUP(C155,$C$133:$J$151,8,0)</f>
        <v>1</v>
      </c>
      <c r="H155" s="266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4</v>
      </c>
      <c r="B156" s="153" t="str">
        <f aca="false">B136</f>
        <v>ตัวตับธรณี</v>
      </c>
      <c r="C156" s="153" t="str">
        <f aca="false">C136</f>
        <v>DOOR STOP SILL</v>
      </c>
      <c r="D156" s="154" t="str">
        <f aca="false">VLOOKUP(C156,$C$133:$H$151,2,0)</f>
        <v>B24004</v>
      </c>
      <c r="E156" s="155" t="n">
        <f aca="false">VLOOKUP(C156,$C$133:$H$151,3,0)</f>
        <v>0.516</v>
      </c>
      <c r="F156" s="263" t="n">
        <f aca="false">VLOOKUP(C156,$C$133:$I$151,7,0)</f>
        <v>1940</v>
      </c>
      <c r="G156" s="155" t="n">
        <f aca="false">VLOOKUP(C156,$C$133:$J$151,8,0)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5</v>
      </c>
      <c r="B157" s="153" t="str">
        <f aca="false">B137</f>
        <v>เฟรมข้าง (ซ้าย)</v>
      </c>
      <c r="C157" s="153" t="str">
        <f aca="false">C137</f>
        <v>JAMB (L)</v>
      </c>
      <c r="D157" s="159" t="str">
        <f aca="false">VLOOKUP(C157,$C$133:$H$151,2,0)</f>
        <v>B24005</v>
      </c>
      <c r="E157" s="155" t="n">
        <f aca="false">VLOOKUP(C157,$C$133:$H$151,3,0)</f>
        <v>0.893</v>
      </c>
      <c r="F157" s="263" t="n">
        <f aca="false">VLOOKUP(C157,$C$133:$I$151,7,0)</f>
        <v>2500</v>
      </c>
      <c r="G157" s="155" t="n">
        <f aca="false">VLOOKUP(C157,$C$133:$J$151,8,0)</f>
        <v>1</v>
      </c>
      <c r="H157" s="160" t="n">
        <f aca="false">ROUNDUP(((F157*G157)+(F158*G158))/6400,0)</f>
        <v>1</v>
      </c>
      <c r="I157" s="161"/>
      <c r="J157" s="161"/>
    </row>
    <row r="158" s="96" customFormat="true" ht="15" hidden="false" customHeight="true" outlineLevel="1" collapsed="false">
      <c r="A158" s="158" t="n">
        <f aca="false">IF(B158="","",+A157+1)</f>
        <v>6</v>
      </c>
      <c r="B158" s="153" t="str">
        <f aca="false">B138</f>
        <v>เฟรมข้าง (ขวา)</v>
      </c>
      <c r="C158" s="153" t="str">
        <f aca="false">C138</f>
        <v>JAMB (R)</v>
      </c>
      <c r="D158" s="159"/>
      <c r="E158" s="155" t="n">
        <f aca="false">VLOOKUP(C158,$C$133:$H$151,3,0)</f>
        <v>0.893</v>
      </c>
      <c r="F158" s="263" t="n">
        <f aca="false">VLOOKUP(C158,$C$133:$I$151,7,0)</f>
        <v>2500</v>
      </c>
      <c r="G158" s="155" t="n">
        <f aca="false">VLOOKUP(C158,$C$133:$J$151,8,0)</f>
        <v>1</v>
      </c>
      <c r="H158" s="160"/>
      <c r="I158" s="161"/>
      <c r="J158" s="161"/>
    </row>
    <row r="159" s="96" customFormat="true" ht="15" hidden="false" customHeight="true" outlineLevel="1" collapsed="false">
      <c r="A159" s="158" t="n">
        <f aca="false">IF(B159="","",+A158+1)</f>
        <v>7</v>
      </c>
      <c r="B159" s="153" t="str">
        <f aca="false">B139</f>
        <v>บังใบข้าง (ซ้าย)</v>
      </c>
      <c r="C159" s="153" t="str">
        <f aca="false">C139</f>
        <v>DOOR STOP JAMB (L)</v>
      </c>
      <c r="D159" s="159" t="str">
        <f aca="false">VLOOKUP(C159,$C$133:$H$151,2,0)</f>
        <v>B24006</v>
      </c>
      <c r="E159" s="155" t="n">
        <f aca="false">VLOOKUP(C159,$C$133:$H$151,3,0)</f>
        <v>0.235</v>
      </c>
      <c r="F159" s="263" t="n">
        <f aca="false">VLOOKUP(C159,$C$133:$I$151,7,0)</f>
        <v>2404</v>
      </c>
      <c r="G159" s="155" t="n">
        <f aca="false">VLOOKUP(C159,$C$133:$J$151,8,0)</f>
        <v>1</v>
      </c>
      <c r="H159" s="160" t="n">
        <f aca="false">ROUNDUP(((F159*G159)+(F160*G160))/6400,0)</f>
        <v>1</v>
      </c>
      <c r="I159" s="265"/>
      <c r="J159" s="265"/>
    </row>
    <row r="160" s="96" customFormat="true" ht="15" hidden="false" customHeight="true" outlineLevel="1" collapsed="false">
      <c r="A160" s="158" t="n">
        <f aca="false">IF(B160="","",+A159+1)</f>
        <v>8</v>
      </c>
      <c r="B160" s="153" t="str">
        <f aca="false">B140</f>
        <v>บังใบข้าง (ขวา)</v>
      </c>
      <c r="C160" s="153" t="str">
        <f aca="false">C140</f>
        <v>DOOR STOP JAMB (R)</v>
      </c>
      <c r="D160" s="159"/>
      <c r="E160" s="155" t="n">
        <f aca="false">VLOOKUP(C160,$C$133:$H$151,3,0)</f>
        <v>0.235</v>
      </c>
      <c r="F160" s="263" t="n">
        <f aca="false">VLOOKUP(C160,$C$133:$I$151,7,0)</f>
        <v>2404</v>
      </c>
      <c r="G160" s="155" t="n">
        <f aca="false">VLOOKUP(C160,$C$133:$J$151,8,0)</f>
        <v>1</v>
      </c>
      <c r="H160" s="160"/>
      <c r="I160" s="161"/>
      <c r="J160" s="161"/>
    </row>
    <row r="161" s="96" customFormat="true" ht="13.5" hidden="false" customHeight="true" outlineLevel="1" collapsed="false">
      <c r="A161" s="158" t="n">
        <f aca="false">IF(B161="","",+A160+1)</f>
        <v>9</v>
      </c>
      <c r="B161" s="153" t="str">
        <f aca="false">B141</f>
        <v>ขวางบน</v>
      </c>
      <c r="C161" s="153" t="str">
        <f aca="false">C141</f>
        <v>SASH (Hor) (T)</v>
      </c>
      <c r="D161" s="159" t="str">
        <f aca="false">VLOOKUP(C161,$C$133:$H$151,2,0)</f>
        <v>B24007</v>
      </c>
      <c r="E161" s="155" t="n">
        <f aca="false">VLOOKUP(C161,$C$133:$H$151,3,0)</f>
        <v>1.106</v>
      </c>
      <c r="F161" s="263" t="n">
        <f aca="false">VLOOKUP(C161,$C$133:$I$151,7,0)</f>
        <v>172</v>
      </c>
      <c r="G161" s="155" t="n">
        <f aca="false">VLOOKUP(C161,$C$133:$J$151,8,0)</f>
        <v>11</v>
      </c>
      <c r="H161" s="160" t="n">
        <f aca="false">ROUNDUP(((F161*G161)+(F162*G162)+(F163*G163)+(F164*G164)+(F165*G165)+(F166*G166))/6400,0)</f>
        <v>9</v>
      </c>
      <c r="I161" s="161"/>
      <c r="J161" s="161"/>
    </row>
    <row r="162" s="96" customFormat="true" ht="13.5" hidden="false" customHeight="true" outlineLevel="1" collapsed="false">
      <c r="A162" s="158" t="n">
        <f aca="false">IF(B162="","",+A161+1)</f>
        <v>10</v>
      </c>
      <c r="B162" s="153" t="str">
        <f aca="false">B142</f>
        <v>ขวางล่าง</v>
      </c>
      <c r="C162" s="153" t="str">
        <f aca="false">C142</f>
        <v>SASH (Hor) (B)</v>
      </c>
      <c r="D162" s="159"/>
      <c r="E162" s="155" t="n">
        <f aca="false">VLOOKUP(C162,$C$133:$H$151,3,0)</f>
        <v>1.106</v>
      </c>
      <c r="F162" s="263" t="n">
        <f aca="false">VLOOKUP(C162,$C$133:$I$151,7,0)</f>
        <v>172</v>
      </c>
      <c r="G162" s="155" t="n">
        <f aca="false">VLOOKUP(C162,$C$133:$J$151,8,0)</f>
        <v>11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11</v>
      </c>
      <c r="B163" s="153" t="str">
        <f aca="false">B143</f>
        <v>เสา</v>
      </c>
      <c r="C163" s="153" t="str">
        <f aca="false">C143</f>
        <v>SASH (Ver) </v>
      </c>
      <c r="D163" s="159"/>
      <c r="E163" s="155" t="n">
        <f aca="false">VLOOKUP(C163,$C$133:$H$151,3,0)</f>
        <v>1.106</v>
      </c>
      <c r="F163" s="263" t="n">
        <f aca="false">VLOOKUP(C163,$C$133:$I$151,7,0)</f>
        <v>2408</v>
      </c>
      <c r="G163" s="155" t="n">
        <f aca="false">VLOOKUP(C163,$C$133:$J$151,8,0)</f>
        <v>16</v>
      </c>
      <c r="H163" s="160"/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12</v>
      </c>
      <c r="B164" s="153" t="str">
        <f aca="false">B144</f>
        <v>เสากุญแจ</v>
      </c>
      <c r="C164" s="153" t="str">
        <f aca="false">C144</f>
        <v>SASH (Ver) LOCK </v>
      </c>
      <c r="D164" s="159"/>
      <c r="E164" s="155" t="n">
        <f aca="false">VLOOKUP(C164,$C$133:$H$151,3,0)</f>
        <v>1.106</v>
      </c>
      <c r="F164" s="263" t="n">
        <f aca="false">VLOOKUP(C164,$C$133:$I$151,7,0)</f>
        <v>2408</v>
      </c>
      <c r="G164" s="155" t="n">
        <f aca="false">VLOOKUP(C164,$C$133:$J$151,8,0)</f>
        <v>3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13</v>
      </c>
      <c r="B165" s="153" t="str">
        <f aca="false">B145</f>
        <v>เสากุญแจ</v>
      </c>
      <c r="C165" s="153" t="str">
        <f aca="false">C145</f>
        <v>SASH (Ver) LOCK  </v>
      </c>
      <c r="D165" s="159"/>
      <c r="E165" s="155" t="n">
        <f aca="false">VLOOKUP(C165,$C$133:$H$151,3,0)</f>
        <v>1.106</v>
      </c>
      <c r="F165" s="263" t="n">
        <f aca="false">VLOOKUP(C165,$C$133:$I$151,7,0)</f>
        <v>2408</v>
      </c>
      <c r="G165" s="155" t="n">
        <f aca="false">VLOOKUP(C165,$C$133:$J$151,8,0)</f>
        <v>2</v>
      </c>
      <c r="H165" s="160"/>
      <c r="I165" s="161"/>
      <c r="J165" s="161"/>
    </row>
    <row r="166" s="96" customFormat="true" ht="15" hidden="false" customHeight="true" outlineLevel="1" collapsed="false">
      <c r="A166" s="158" t="n">
        <f aca="false">IF(B166="","",+A165+1)</f>
        <v>14</v>
      </c>
      <c r="B166" s="153" t="str">
        <f aca="false">B146</f>
        <v>เสากุญแจมือจับ</v>
      </c>
      <c r="C166" s="153" t="str">
        <f aca="false">C146</f>
        <v>SASH (Ver) LOCK HANDLE</v>
      </c>
      <c r="D166" s="159"/>
      <c r="E166" s="155" t="n">
        <f aca="false">VLOOKUP(C166,$C$133:$H$151,3,0)</f>
        <v>1.106</v>
      </c>
      <c r="F166" s="263" t="n">
        <f aca="false">VLOOKUP(C166,$C$133:$I$151,7,0)</f>
        <v>2408</v>
      </c>
      <c r="G166" s="155" t="n">
        <f aca="false">VLOOKUP(C166,$C$133:$J$151,8,0)</f>
        <v>1</v>
      </c>
      <c r="H166" s="160"/>
      <c r="I166" s="265"/>
      <c r="J166" s="265"/>
    </row>
    <row r="167" s="96" customFormat="true" ht="15" hidden="false" customHeight="true" outlineLevel="1" collapsed="false">
      <c r="A167" s="158" t="n">
        <f aca="false">IF(B167="","",+A166+1)</f>
        <v>15</v>
      </c>
      <c r="B167" s="153" t="str">
        <f aca="false">B147</f>
        <v>5-6mm คิ้วตบกระจกแนวนอน</v>
      </c>
      <c r="C167" s="153" t="str">
        <f aca="false">C147</f>
        <v>5-6mm GLAZING BEAD HORIZONTAL</v>
      </c>
      <c r="D167" s="159" t="str">
        <f aca="false">VLOOKUP(C167,$C$133:$H$151,2,0)</f>
        <v>B24008</v>
      </c>
      <c r="E167" s="155" t="n">
        <f aca="false">VLOOKUP(C167,$C$133:$H$151,3,0)</f>
        <v>0.231</v>
      </c>
      <c r="F167" s="267" t="n">
        <f aca="false">VLOOKUP(C167,$C$133:$I$151,7,0)</f>
        <v>62.0454545454546</v>
      </c>
      <c r="G167" s="155" t="n">
        <f aca="false">VLOOKUP(C167,$C$133:$J$151,8,0)</f>
        <v>22</v>
      </c>
      <c r="H167" s="160" t="n">
        <f aca="false">ROUNDUP(((F167*G167)+(F168*G168))/6400,0)</f>
        <v>8</v>
      </c>
      <c r="I167" s="196"/>
      <c r="J167" s="196"/>
    </row>
    <row r="168" s="96" customFormat="true" ht="15" hidden="false" customHeight="true" outlineLevel="1" collapsed="false">
      <c r="A168" s="158" t="n">
        <f aca="false">IF(B168="","",+A167+1)</f>
        <v>16</v>
      </c>
      <c r="B168" s="153" t="str">
        <f aca="false">B148</f>
        <v>5-6mm คิ้วตบกระจกแนวตั้ง</v>
      </c>
      <c r="C168" s="153" t="str">
        <f aca="false">C148</f>
        <v>5-6mm GLAZING BEAD VERTICAL</v>
      </c>
      <c r="D168" s="159"/>
      <c r="E168" s="155" t="n">
        <f aca="false">VLOOKUP(C168,$C$133:$H$151,3,0)</f>
        <v>0.231</v>
      </c>
      <c r="F168" s="263" t="n">
        <f aca="false">VLOOKUP(C168,$C$133:$I$151,7,0)</f>
        <v>2258</v>
      </c>
      <c r="G168" s="155" t="n">
        <f aca="false">VLOOKUP(C168,$C$133:$J$151,8,0)</f>
        <v>22</v>
      </c>
      <c r="H168" s="160"/>
      <c r="I168" s="196"/>
      <c r="J168" s="196"/>
    </row>
    <row r="169" s="96" customFormat="true" ht="13.5" hidden="false" customHeight="true" outlineLevel="1" collapsed="false">
      <c r="A169" s="158" t="n">
        <f aca="false">IF(B169="","",+A168+1)</f>
        <v>17</v>
      </c>
      <c r="B169" s="153" t="str">
        <f aca="false">B149</f>
        <v>บังใบ</v>
      </c>
      <c r="C169" s="153" t="str">
        <f aca="false">C149</f>
        <v>SASH STOP</v>
      </c>
      <c r="D169" s="163" t="str">
        <f aca="false">VLOOKUP(C169,$C$133:$H$151,2,0)</f>
        <v>B24009</v>
      </c>
      <c r="E169" s="155" t="n">
        <f aca="false">VLOOKUP(C169,$C$133:$H$151,3,0)</f>
        <v>0</v>
      </c>
      <c r="F169" s="263" t="n">
        <f aca="false">VLOOKUP(C169,$C$133:$I$151,7,0)</f>
        <v>2408</v>
      </c>
      <c r="G169" s="155" t="n">
        <f aca="false">VLOOKUP(C169,$C$133:$J$151,8,0)</f>
        <v>1</v>
      </c>
      <c r="H169" s="160" t="n">
        <f aca="false">ROUNDUP(((F169*G169)+(F170*G170))/6400,0)</f>
        <v>1</v>
      </c>
      <c r="I169" s="196"/>
      <c r="J169" s="196"/>
    </row>
    <row r="170" s="96" customFormat="true" ht="14.25" hidden="false" customHeight="false" outlineLevel="1" collapsed="false">
      <c r="A170" s="158" t="n">
        <f aca="false">IF(B170="","",+A169+1)</f>
        <v>18</v>
      </c>
      <c r="B170" s="153" t="str">
        <f aca="false">B150</f>
        <v>บังใบ</v>
      </c>
      <c r="C170" s="153" t="str">
        <f aca="false">C150</f>
        <v>SASH STOP</v>
      </c>
      <c r="D170" s="163"/>
      <c r="E170" s="155" t="n">
        <f aca="false">VLOOKUP(C170,$C$133:$H$151,3,0)</f>
        <v>0</v>
      </c>
      <c r="F170" s="263" t="n">
        <f aca="false">VLOOKUP(C170,$C$133:$I$151,7,0)</f>
        <v>2408</v>
      </c>
      <c r="G170" s="155" t="n">
        <f aca="false">VLOOKUP(C170,$C$133:$J$151,8,0)</f>
        <v>1</v>
      </c>
      <c r="H170" s="160"/>
      <c r="I170" s="196"/>
      <c r="J170" s="196"/>
    </row>
    <row r="171" s="96" customFormat="true" ht="24.75" hidden="false" customHeight="true" outlineLevel="0" collapsed="false">
      <c r="A171" s="113" t="s">
        <v>396</v>
      </c>
      <c r="B171" s="113"/>
      <c r="C171" s="113"/>
      <c r="D171" s="113"/>
      <c r="E171" s="113"/>
      <c r="F171" s="113"/>
      <c r="G171" s="113"/>
      <c r="H171" s="113"/>
      <c r="I171" s="113"/>
      <c r="J171" s="113"/>
    </row>
    <row r="172" s="96" customFormat="true" ht="34.5" hidden="false" customHeight="true" outlineLevel="0" collapsed="false">
      <c r="A172" s="114" t="s">
        <v>319</v>
      </c>
      <c r="B172" s="115" t="s">
        <v>320</v>
      </c>
      <c r="C172" s="115" t="s">
        <v>168</v>
      </c>
      <c r="D172" s="115" t="s">
        <v>397</v>
      </c>
      <c r="E172" s="115" t="s">
        <v>321</v>
      </c>
      <c r="F172" s="116" t="s">
        <v>398</v>
      </c>
      <c r="G172" s="115" t="s">
        <v>399</v>
      </c>
      <c r="H172" s="116" t="s">
        <v>400</v>
      </c>
      <c r="I172" s="116" t="s">
        <v>401</v>
      </c>
      <c r="J172" s="117" t="s">
        <v>402</v>
      </c>
      <c r="N172" s="107" t="s">
        <v>288</v>
      </c>
      <c r="O172" s="165" t="s">
        <v>320</v>
      </c>
      <c r="P172" s="165" t="s">
        <v>168</v>
      </c>
      <c r="Q172" s="165" t="s">
        <v>397</v>
      </c>
      <c r="R172" s="165" t="s">
        <v>321</v>
      </c>
      <c r="S172" s="165" t="s">
        <v>398</v>
      </c>
      <c r="T172" s="165" t="s">
        <v>399</v>
      </c>
      <c r="U172" s="165" t="s">
        <v>400</v>
      </c>
      <c r="V172" s="165" t="s">
        <v>401</v>
      </c>
      <c r="W172" s="165" t="s">
        <v>402</v>
      </c>
    </row>
    <row r="173" s="96" customFormat="true" ht="18" hidden="false" customHeight="true" outlineLevel="0" collapsed="false">
      <c r="A173" s="166" t="n">
        <f aca="false">IF(B173="","",1)</f>
        <v>1</v>
      </c>
      <c r="B173" s="131" t="s">
        <v>410</v>
      </c>
      <c r="C173" s="131" t="s">
        <v>411</v>
      </c>
      <c r="D173" s="132" t="s">
        <v>267</v>
      </c>
      <c r="E173" s="130"/>
      <c r="F173" s="130" t="s">
        <v>267</v>
      </c>
      <c r="G173" s="130" t="s">
        <v>405</v>
      </c>
      <c r="H173" s="130" t="n">
        <v>22</v>
      </c>
      <c r="I173" s="133"/>
      <c r="J173" s="134" t="n">
        <f aca="false">$J$120*H173</f>
        <v>22</v>
      </c>
      <c r="N173" s="107" t="s">
        <v>406</v>
      </c>
      <c r="O173" s="55" t="s">
        <v>407</v>
      </c>
      <c r="P173" s="62" t="s">
        <v>408</v>
      </c>
      <c r="Q173" s="55" t="s">
        <v>227</v>
      </c>
      <c r="R173" s="158"/>
      <c r="S173" s="158" t="s">
        <v>227</v>
      </c>
      <c r="T173" s="158" t="s">
        <v>409</v>
      </c>
      <c r="U173" s="168" t="n">
        <f aca="false">((($I$141*$G$141)+($I$142*$G$142)+($I$143*$G$143)+($I$144*$G$144)+($I$145*$G$145)+($I$146*$G$146))/1000)*$J$120</f>
        <v>56.76</v>
      </c>
      <c r="V173" s="168" t="n">
        <v>100</v>
      </c>
      <c r="W173" s="169" t="n">
        <f aca="false">ROUNDUP((U173)/100,0)</f>
        <v>1</v>
      </c>
    </row>
    <row r="174" s="96" customFormat="true" ht="18" hidden="false" customHeight="true" outlineLevel="0" collapsed="false">
      <c r="A174" s="170" t="n">
        <f aca="false">IF(B174="","",+A173+1)</f>
        <v>2</v>
      </c>
      <c r="B174" s="131" t="s">
        <v>415</v>
      </c>
      <c r="C174" s="131" t="s">
        <v>416</v>
      </c>
      <c r="D174" s="132" t="s">
        <v>222</v>
      </c>
      <c r="E174" s="130"/>
      <c r="F174" s="130" t="s">
        <v>222</v>
      </c>
      <c r="G174" s="130" t="s">
        <v>405</v>
      </c>
      <c r="H174" s="130" t="n">
        <v>2</v>
      </c>
      <c r="I174" s="133"/>
      <c r="J174" s="134" t="n">
        <f aca="false">$J$120*H174</f>
        <v>2</v>
      </c>
      <c r="N174" s="107" t="s">
        <v>412</v>
      </c>
      <c r="O174" s="55" t="s">
        <v>413</v>
      </c>
      <c r="P174" s="62" t="s">
        <v>414</v>
      </c>
      <c r="Q174" s="55" t="s">
        <v>234</v>
      </c>
      <c r="R174" s="158"/>
      <c r="S174" s="158" t="s">
        <v>234</v>
      </c>
      <c r="T174" s="158" t="s">
        <v>409</v>
      </c>
      <c r="U174" s="168" t="n">
        <f aca="false">((($I$141*$G$141)+($I$142*$G$142)+($I$143*$G$143)+($I$144*$G$144)+($I$145*$G$145)+($I$146*$G$146))/1000)*$J$120</f>
        <v>56.76</v>
      </c>
      <c r="V174" s="168" t="n">
        <v>100</v>
      </c>
      <c r="W174" s="169" t="n">
        <f aca="false">ROUNDUP((U174)/100,0)</f>
        <v>1</v>
      </c>
    </row>
    <row r="175" s="96" customFormat="true" ht="18" hidden="false" customHeight="true" outlineLevel="0" collapsed="false">
      <c r="A175" s="170" t="n">
        <f aca="false">IF(B175="","",+A174+1)</f>
        <v>3</v>
      </c>
      <c r="B175" s="131" t="s">
        <v>420</v>
      </c>
      <c r="C175" s="131" t="s">
        <v>421</v>
      </c>
      <c r="D175" s="132" t="s">
        <v>225</v>
      </c>
      <c r="E175" s="130"/>
      <c r="F175" s="130" t="s">
        <v>225</v>
      </c>
      <c r="G175" s="130" t="s">
        <v>405</v>
      </c>
      <c r="H175" s="130" t="n">
        <v>2</v>
      </c>
      <c r="I175" s="133"/>
      <c r="J175" s="134" t="n">
        <f aca="false">$J$120*H175</f>
        <v>2</v>
      </c>
      <c r="N175" s="107" t="s">
        <v>417</v>
      </c>
      <c r="O175" s="62" t="s">
        <v>418</v>
      </c>
      <c r="P175" s="62" t="s">
        <v>419</v>
      </c>
      <c r="Q175" s="55" t="s">
        <v>236</v>
      </c>
      <c r="R175" s="158"/>
      <c r="S175" s="158" t="s">
        <v>236</v>
      </c>
      <c r="T175" s="158" t="s">
        <v>409</v>
      </c>
      <c r="U175" s="168" t="n">
        <f aca="false">((($I$141*$G$141)+($I$142*$G$142)+($I$143*$G$143)+($I$144*$G$144)+($I$145*$G$145)+($I$146*$G$146))/1000)*$J$120</f>
        <v>56.76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4</v>
      </c>
      <c r="B176" s="131" t="s">
        <v>425</v>
      </c>
      <c r="C176" s="131" t="s">
        <v>426</v>
      </c>
      <c r="D176" s="132" t="n">
        <v>9</v>
      </c>
      <c r="E176" s="130"/>
      <c r="F176" s="130" t="n">
        <v>9</v>
      </c>
      <c r="G176" s="130" t="s">
        <v>405</v>
      </c>
      <c r="H176" s="130" t="n">
        <v>8</v>
      </c>
      <c r="I176" s="133"/>
      <c r="J176" s="134" t="n">
        <f aca="false">$J$120*H176</f>
        <v>8</v>
      </c>
      <c r="N176" s="107" t="s">
        <v>422</v>
      </c>
      <c r="O176" s="62" t="s">
        <v>423</v>
      </c>
      <c r="P176" s="62" t="s">
        <v>424</v>
      </c>
      <c r="Q176" s="55" t="s">
        <v>238</v>
      </c>
      <c r="R176" s="158"/>
      <c r="S176" s="158" t="s">
        <v>238</v>
      </c>
      <c r="T176" s="158" t="s">
        <v>409</v>
      </c>
      <c r="U176" s="168" t="n">
        <f aca="false">((($I$141*$G$141)+($I$142*$G$142)+($I$143*$G$143)+($I$144*$G$144)+($I$145*$G$145)+($I$146*$G$146))/1000)*$J$120</f>
        <v>56.76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5</v>
      </c>
      <c r="B177" s="131" t="s">
        <v>430</v>
      </c>
      <c r="C177" s="131" t="s">
        <v>431</v>
      </c>
      <c r="D177" s="132" t="n">
        <v>9</v>
      </c>
      <c r="E177" s="130"/>
      <c r="F177" s="130" t="n">
        <v>9</v>
      </c>
      <c r="G177" s="130" t="s">
        <v>405</v>
      </c>
      <c r="H177" s="130" t="n">
        <v>110</v>
      </c>
      <c r="I177" s="133"/>
      <c r="J177" s="134" t="n">
        <f aca="false">$J$120*H177</f>
        <v>110</v>
      </c>
      <c r="N177" s="107" t="s">
        <v>427</v>
      </c>
      <c r="O177" s="62" t="s">
        <v>428</v>
      </c>
      <c r="P177" s="62" t="s">
        <v>429</v>
      </c>
      <c r="Q177" s="55" t="s">
        <v>240</v>
      </c>
      <c r="R177" s="158"/>
      <c r="S177" s="158" t="s">
        <v>240</v>
      </c>
      <c r="T177" s="158" t="s">
        <v>409</v>
      </c>
      <c r="U177" s="168" t="n">
        <f aca="false">((($I$141*$G$141)+($I$142*$G$142)+($I$143*$G$143)+($I$144*$G$144)+($I$145*$G$145)+($I$146*$G$146))/1000)*$J$120</f>
        <v>56.76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6</v>
      </c>
      <c r="B178" s="131" t="s">
        <v>603</v>
      </c>
      <c r="C178" s="131" t="s">
        <v>438</v>
      </c>
      <c r="D178" s="132" t="s">
        <v>4</v>
      </c>
      <c r="E178" s="130"/>
      <c r="F178" s="130" t="s">
        <v>4</v>
      </c>
      <c r="G178" s="130" t="s">
        <v>434</v>
      </c>
      <c r="H178" s="130" t="n">
        <v>2</v>
      </c>
      <c r="I178" s="133"/>
      <c r="J178" s="134" t="n">
        <f aca="false">$J$120*H178</f>
        <v>2</v>
      </c>
    </row>
    <row r="179" s="96" customFormat="true" ht="18" hidden="false" customHeight="true" outlineLevel="0" collapsed="false">
      <c r="A179" s="170" t="n">
        <f aca="false">IF(B179="","",+A178+1)</f>
        <v>7</v>
      </c>
      <c r="B179" s="131" t="s">
        <v>556</v>
      </c>
      <c r="C179" s="131" t="s">
        <v>557</v>
      </c>
      <c r="D179" s="132" t="s">
        <v>5</v>
      </c>
      <c r="E179" s="130"/>
      <c r="F179" s="130" t="s">
        <v>5</v>
      </c>
      <c r="G179" s="130" t="s">
        <v>434</v>
      </c>
      <c r="H179" s="130" t="n">
        <v>3</v>
      </c>
      <c r="I179" s="133"/>
      <c r="J179" s="134" t="n">
        <f aca="false">$J$120*H179</f>
        <v>3</v>
      </c>
    </row>
    <row r="180" s="96" customFormat="true" ht="18" hidden="false" customHeight="true" outlineLevel="0" collapsed="false">
      <c r="A180" s="170" t="n">
        <f aca="false">IF(B180="","",+A179+1)</f>
        <v>8</v>
      </c>
      <c r="B180" s="131" t="s">
        <v>432</v>
      </c>
      <c r="C180" s="131" t="s">
        <v>433</v>
      </c>
      <c r="D180" s="132" t="s">
        <v>6</v>
      </c>
      <c r="E180" s="130"/>
      <c r="F180" s="130" t="s">
        <v>6</v>
      </c>
      <c r="G180" s="130" t="s">
        <v>434</v>
      </c>
      <c r="H180" s="130" t="n">
        <v>1</v>
      </c>
      <c r="I180" s="133"/>
      <c r="J180" s="134" t="n">
        <f aca="false">$J$120*H180</f>
        <v>1</v>
      </c>
    </row>
    <row r="181" s="96" customFormat="true" ht="18" hidden="false" customHeight="true" outlineLevel="0" collapsed="false">
      <c r="A181" s="170" t="n">
        <f aca="false">IF(B181="","",+A180+1)</f>
        <v>9</v>
      </c>
      <c r="B181" s="131" t="s">
        <v>512</v>
      </c>
      <c r="C181" s="131" t="s">
        <v>513</v>
      </c>
      <c r="D181" s="295" t="s">
        <v>7</v>
      </c>
      <c r="E181" s="296"/>
      <c r="F181" s="296" t="s">
        <v>7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10</v>
      </c>
      <c r="B182" s="131" t="s">
        <v>514</v>
      </c>
      <c r="C182" s="131" t="s">
        <v>515</v>
      </c>
      <c r="D182" s="295" t="s">
        <v>8</v>
      </c>
      <c r="E182" s="296"/>
      <c r="F182" s="296" t="s">
        <v>8</v>
      </c>
      <c r="G182" s="130" t="s">
        <v>434</v>
      </c>
      <c r="H182" s="130" t="n">
        <v>1</v>
      </c>
      <c r="I182" s="133"/>
      <c r="J182" s="134" t="n">
        <f aca="false">$J$120*H182</f>
        <v>1</v>
      </c>
      <c r="Q182" s="172"/>
      <c r="R182" s="172"/>
      <c r="S182" s="172"/>
      <c r="T182" s="97"/>
      <c r="U182" s="97"/>
      <c r="V182" s="97"/>
    </row>
    <row r="183" s="96" customFormat="true" ht="18" hidden="false" customHeight="true" outlineLevel="0" collapsed="false">
      <c r="A183" s="170" t="n">
        <f aca="false">IF(B183="","",+A182+1)</f>
        <v>11</v>
      </c>
      <c r="B183" s="131" t="s">
        <v>554</v>
      </c>
      <c r="C183" s="131" t="s">
        <v>555</v>
      </c>
      <c r="D183" s="295" t="s">
        <v>11</v>
      </c>
      <c r="E183" s="296"/>
      <c r="F183" s="296" t="s">
        <v>11</v>
      </c>
      <c r="G183" s="130" t="s">
        <v>434</v>
      </c>
      <c r="H183" s="130" t="n">
        <v>4</v>
      </c>
      <c r="I183" s="142"/>
      <c r="J183" s="134" t="n">
        <f aca="false">$J$120*H183</f>
        <v>4</v>
      </c>
      <c r="N183" s="107" t="s">
        <v>289</v>
      </c>
      <c r="O183" s="165" t="s">
        <v>320</v>
      </c>
      <c r="P183" s="165" t="s">
        <v>168</v>
      </c>
      <c r="Q183" s="165" t="s">
        <v>397</v>
      </c>
      <c r="R183" s="165" t="s">
        <v>321</v>
      </c>
      <c r="S183" s="165" t="s">
        <v>398</v>
      </c>
      <c r="T183" s="165" t="s">
        <v>399</v>
      </c>
      <c r="U183" s="165" t="s">
        <v>400</v>
      </c>
      <c r="V183" s="165" t="s">
        <v>401</v>
      </c>
      <c r="W183" s="165" t="s">
        <v>402</v>
      </c>
    </row>
    <row r="184" s="96" customFormat="true" ht="18" hidden="false" customHeight="true" outlineLevel="0" collapsed="false">
      <c r="A184" s="170" t="n">
        <f aca="false">IF(B184="","",+A183+1)</f>
        <v>12</v>
      </c>
      <c r="B184" s="131" t="s">
        <v>439</v>
      </c>
      <c r="C184" s="131" t="s">
        <v>440</v>
      </c>
      <c r="D184" s="295" t="s">
        <v>12</v>
      </c>
      <c r="E184" s="296"/>
      <c r="F184" s="296" t="s">
        <v>12</v>
      </c>
      <c r="G184" s="130" t="s">
        <v>434</v>
      </c>
      <c r="H184" s="130" t="n">
        <v>5</v>
      </c>
      <c r="I184" s="142"/>
      <c r="J184" s="134" t="n">
        <f aca="false">$J$120*H184</f>
        <v>5</v>
      </c>
      <c r="N184" s="107" t="s">
        <v>445</v>
      </c>
      <c r="O184" s="62" t="s">
        <v>446</v>
      </c>
      <c r="P184" s="62" t="s">
        <v>447</v>
      </c>
      <c r="Q184" s="55" t="s">
        <v>230</v>
      </c>
      <c r="R184" s="158"/>
      <c r="S184" s="158" t="s">
        <v>230</v>
      </c>
      <c r="T184" s="158" t="s">
        <v>409</v>
      </c>
      <c r="U184" s="168" t="n">
        <f aca="false">((($I$134*$G$134)+($I$136*$G$136)+($I$139*$G$139))/1000)*$J$120</f>
        <v>6.258</v>
      </c>
      <c r="V184" s="168" t="n">
        <v>300</v>
      </c>
      <c r="W184" s="169" t="n">
        <f aca="false">ROUNDUP((U184)/V184,0)</f>
        <v>1</v>
      </c>
    </row>
    <row r="185" s="96" customFormat="true" ht="18" hidden="false" customHeight="true" outlineLevel="0" collapsed="false">
      <c r="A185" s="170" t="n">
        <f aca="false">IF(B185="","",+A184+1)</f>
        <v>13</v>
      </c>
      <c r="B185" s="131" t="s">
        <v>540</v>
      </c>
      <c r="C185" s="131" t="s">
        <v>541</v>
      </c>
      <c r="D185" s="295" t="s">
        <v>542</v>
      </c>
      <c r="E185" s="296"/>
      <c r="F185" s="296" t="s">
        <v>542</v>
      </c>
      <c r="G185" s="130" t="s">
        <v>434</v>
      </c>
      <c r="H185" s="130" t="n">
        <v>1</v>
      </c>
      <c r="I185" s="133"/>
      <c r="J185" s="134" t="n">
        <f aca="false">$J$120*H185</f>
        <v>1</v>
      </c>
      <c r="N185" s="107" t="s">
        <v>448</v>
      </c>
      <c r="O185" s="62" t="s">
        <v>449</v>
      </c>
      <c r="P185" s="62" t="s">
        <v>450</v>
      </c>
      <c r="Q185" s="55" t="s">
        <v>451</v>
      </c>
      <c r="R185" s="158"/>
      <c r="S185" s="158" t="s">
        <v>451</v>
      </c>
      <c r="T185" s="158" t="s">
        <v>409</v>
      </c>
      <c r="U185" s="168" t="n">
        <f aca="false">((($I$134*$G$134)+($I$136*$G$136)+($I$139*$G$139))/1000)*$J$120</f>
        <v>6.258</v>
      </c>
      <c r="V185" s="168" t="n">
        <v>100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14</v>
      </c>
      <c r="B186" s="131" t="s">
        <v>441</v>
      </c>
      <c r="C186" s="131" t="s">
        <v>442</v>
      </c>
      <c r="D186" s="132" t="s">
        <v>274</v>
      </c>
      <c r="E186" s="130"/>
      <c r="F186" s="130" t="s">
        <v>274</v>
      </c>
      <c r="G186" s="130" t="s">
        <v>405</v>
      </c>
      <c r="H186" s="130" t="n">
        <v>10</v>
      </c>
      <c r="I186" s="133"/>
      <c r="J186" s="134" t="n">
        <f aca="false">$J$120*H186</f>
        <v>10</v>
      </c>
      <c r="N186" s="107" t="s">
        <v>445</v>
      </c>
      <c r="O186" s="62" t="s">
        <v>452</v>
      </c>
      <c r="P186" s="62" t="s">
        <v>453</v>
      </c>
      <c r="Q186" s="55" t="s">
        <v>232</v>
      </c>
      <c r="R186" s="158"/>
      <c r="S186" s="158" t="s">
        <v>232</v>
      </c>
      <c r="T186" s="158" t="s">
        <v>409</v>
      </c>
      <c r="U186" s="168" t="n">
        <f aca="false">((($I$141*$G$141*2)+($I$143*$G$143*2)+($I$144*$G$144*2)+($I$145*$G$145))/1000)*$J$120</f>
        <v>100.104</v>
      </c>
      <c r="V186" s="168" t="n">
        <v>350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15</v>
      </c>
      <c r="B187" s="131" t="s">
        <v>443</v>
      </c>
      <c r="C187" s="131" t="s">
        <v>444</v>
      </c>
      <c r="D187" s="132" t="s">
        <v>272</v>
      </c>
      <c r="E187" s="130"/>
      <c r="F187" s="130" t="s">
        <v>272</v>
      </c>
      <c r="G187" s="130" t="s">
        <v>405</v>
      </c>
      <c r="H187" s="130" t="n">
        <v>1</v>
      </c>
      <c r="I187" s="133"/>
      <c r="J187" s="134" t="n">
        <f aca="false">$J$120*H187</f>
        <v>1</v>
      </c>
      <c r="N187" s="107" t="s">
        <v>448</v>
      </c>
      <c r="O187" s="62" t="s">
        <v>454</v>
      </c>
      <c r="P187" s="62" t="s">
        <v>455</v>
      </c>
      <c r="Q187" s="55" t="s">
        <v>456</v>
      </c>
      <c r="R187" s="158"/>
      <c r="S187" s="158" t="s">
        <v>456</v>
      </c>
      <c r="T187" s="158" t="s">
        <v>409</v>
      </c>
      <c r="U187" s="168" t="n">
        <f aca="false">((($I$141*$G$141*2)+($I$143*$G$143*2)+($I$144*$G$144*2)+($I$145*$G$145))/1000)*$J$120</f>
        <v>100.104</v>
      </c>
      <c r="V187" s="168" t="n">
        <v>100</v>
      </c>
      <c r="W187" s="169" t="n">
        <f aca="false">ROUNDUP((U187)/V187,0)</f>
        <v>2</v>
      </c>
    </row>
    <row r="188" s="96" customFormat="true" ht="18" hidden="false" customHeight="true" outlineLevel="0" collapsed="false">
      <c r="A188" s="170" t="n">
        <f aca="false">IF(B188="","",+A187+1)</f>
        <v>16</v>
      </c>
      <c r="B188" s="131" t="s">
        <v>403</v>
      </c>
      <c r="C188" s="131" t="s">
        <v>404</v>
      </c>
      <c r="D188" s="132" t="s">
        <v>276</v>
      </c>
      <c r="E188" s="130"/>
      <c r="F188" s="130" t="s">
        <v>276</v>
      </c>
      <c r="G188" s="130" t="s">
        <v>405</v>
      </c>
      <c r="H188" s="130" t="n">
        <v>5</v>
      </c>
      <c r="I188" s="133"/>
      <c r="J188" s="134" t="n">
        <f aca="false">$J$120*H188</f>
        <v>5</v>
      </c>
    </row>
    <row r="189" s="96" customFormat="true" ht="18" hidden="false" customHeight="true" outlineLevel="0" collapsed="false">
      <c r="A189" s="170" t="n">
        <f aca="false">IF(B189="","",+A188+1)</f>
        <v>17</v>
      </c>
      <c r="B189" s="131" t="s">
        <v>580</v>
      </c>
      <c r="C189" s="131" t="s">
        <v>581</v>
      </c>
      <c r="D189" s="132" t="s">
        <v>582</v>
      </c>
      <c r="E189" s="130"/>
      <c r="F189" s="130" t="s">
        <v>582</v>
      </c>
      <c r="G189" s="130" t="s">
        <v>409</v>
      </c>
      <c r="H189" s="173" t="n">
        <f aca="false">((($I$149*$G$149)+($I$150*$G$150))/1000)*$J$120</f>
        <v>4.816</v>
      </c>
      <c r="I189" s="174" t="n">
        <v>100</v>
      </c>
      <c r="J189" s="177" t="n">
        <f aca="false">ROUNDUP((H189)/100,0)</f>
        <v>1</v>
      </c>
    </row>
    <row r="190" s="96" customFormat="true" ht="18" hidden="false" customHeight="true" outlineLevel="0" collapsed="false">
      <c r="A190" s="170" t="n">
        <f aca="false">IF(B190="","",+A189+1)</f>
        <v>18</v>
      </c>
      <c r="B190" s="131" t="s">
        <v>583</v>
      </c>
      <c r="C190" s="131" t="s">
        <v>584</v>
      </c>
      <c r="D190" s="132" t="s">
        <v>585</v>
      </c>
      <c r="E190" s="130"/>
      <c r="F190" s="130" t="s">
        <v>585</v>
      </c>
      <c r="G190" s="130" t="s">
        <v>409</v>
      </c>
      <c r="H190" s="173" t="n">
        <f aca="false">((($I$146*$G$146*2))/1000)*$J$120</f>
        <v>4.816</v>
      </c>
      <c r="I190" s="174" t="n">
        <v>100</v>
      </c>
      <c r="J190" s="177" t="n">
        <f aca="false">ROUNDUP((H190)/100,0)</f>
        <v>1</v>
      </c>
    </row>
    <row r="191" s="96" customFormat="true" ht="18" hidden="false" customHeight="true" outlineLevel="0" collapsed="false">
      <c r="A191" s="170" t="n">
        <f aca="false">IF(B191="","",+A190+1)</f>
        <v>19</v>
      </c>
      <c r="B191" s="132" t="str">
        <f aca="false">IF($D$129="Standard",$O$184,IF($D$129="Soumdproof",$O$185,))</f>
        <v>ยางเฟรมกันน้ำ (ธรรมดา)</v>
      </c>
      <c r="C191" s="132" t="str">
        <f aca="false">IF($D$129="Standard",$P$184,IF($D$129="Soumdproof",$P$185,))</f>
        <v>FRAME SEAL (Standard)</v>
      </c>
      <c r="D191" s="132" t="str">
        <f aca="false">IF($D$129="Standard",$Q$184,IF($D$129="Soumdproof",$Q$185,))</f>
        <v>02-026</v>
      </c>
      <c r="E191" s="130" t="n">
        <f aca="false">IF($D$129="Standard",R189,IF($D$129="Soumdproof",R190,))</f>
        <v>0</v>
      </c>
      <c r="F191" s="130" t="str">
        <f aca="false">IF($D$129="Standard",$S$184,IF($D$129="Soumdproof",$S$185,))</f>
        <v>02-026</v>
      </c>
      <c r="G191" s="130" t="str">
        <f aca="false">IF($D$129="Standard",$T$184,IF($D$129="Soumdproof",$T$185,))</f>
        <v>M</v>
      </c>
      <c r="H191" s="173" t="n">
        <f aca="false">IF($D$129="Standard",$U$184,IF($D$129="Soumdproof",$U$185,))</f>
        <v>6.258</v>
      </c>
      <c r="I191" s="174" t="n">
        <f aca="false">IF($D$129="Standard",$V$184,IF($D$129="Soumdproof",$V$185,))</f>
        <v>300</v>
      </c>
      <c r="J191" s="175" t="n">
        <f aca="false">ROUNDUP((H191)/100,0)</f>
        <v>1</v>
      </c>
    </row>
    <row r="192" s="96" customFormat="true" ht="18" hidden="false" customHeight="true" outlineLevel="0" collapsed="false">
      <c r="A192" s="170" t="n">
        <f aca="false">IF(B192="","",+A191+1)</f>
        <v>20</v>
      </c>
      <c r="B192" s="132" t="str">
        <f aca="false">IF($D$129="Standard",$O$186,IF($D$129="Soumdproof",$O$187,))</f>
        <v>ยางแซชกันน้ำ (ธรรมดา)</v>
      </c>
      <c r="C192" s="132" t="str">
        <f aca="false">IF($D$129="Standard",$P$186,IF($D$129="Soumdproof",$P$187,))</f>
        <v>SASH SEAL FOAM (Standard)</v>
      </c>
      <c r="D192" s="132" t="str">
        <f aca="false">IF($D$129="Standard",$Q$186,IF($D$129="Soumdproof",$Q$187,))</f>
        <v>02-031</v>
      </c>
      <c r="E192" s="130" t="n">
        <f aca="false">IF($D$129="Standard",R191,IF($D$129="Soumdproof",R192,))</f>
        <v>0</v>
      </c>
      <c r="F192" s="130" t="str">
        <f aca="false">IF($D$129="Standard",$S$186,IF($D$129="Soumdproof",$S$187,))</f>
        <v>02-031</v>
      </c>
      <c r="G192" s="130" t="str">
        <f aca="false">IF($D$129="Standard",$T$186,IF($D$129="Soumdproof",$T$187,))</f>
        <v>M</v>
      </c>
      <c r="H192" s="173" t="n">
        <f aca="false">IF($D$129="Standard",$U$186,IF($D$129="Soumdproof",$U$187,))</f>
        <v>100.104</v>
      </c>
      <c r="I192" s="174" t="n">
        <f aca="false">IF($D$129="Standard",$V$186,IF($D$129="Soumdproof",$V$187,))</f>
        <v>350</v>
      </c>
      <c r="J192" s="177" t="n">
        <f aca="false">ROUNDUP((H192)/100,0)</f>
        <v>2</v>
      </c>
    </row>
    <row r="193" customFormat="false" ht="18" hidden="false" customHeight="true" outlineLevel="0" collapsed="false">
      <c r="A193" s="170" t="n">
        <f aca="false">IF(B193="","",+A192+1)</f>
        <v>21</v>
      </c>
      <c r="B193" s="176" t="str">
        <f aca="false">IF($D$127=5,$O$175,IF($D$127=6,$O$176,IF($D$127=8,$O$177,IF($D$127=10,$O$175,IF($D$127=12,$O$175,IF($D$127=14,$O$177,IF($D$127=18,$O$175,IF($D$127=20,$O$176,IF($D$127=22,"")))))))))</f>
        <v>5,8,10,12,18 mmยางอัดกระจก</v>
      </c>
      <c r="C193" s="176" t="str">
        <f aca="false">IF($D$127=5,$P$175,IF($D$127=6,$P$176,IF($D$127=8,$P$177,IF($D$127=10,$P$175,IF($D$127=12,$P$175,IF($D$127=14,$P$177,IF($D$127=18,$P$175,IF($D$127=20,$P$176,IF($D$127=22,"")))))))))</f>
        <v>5,8,10,12,18 mm ROLL IN WEDGE</v>
      </c>
      <c r="D193" s="176" t="str">
        <f aca="false">IF($D$127=5,$Q$175,IF($D$127=6,$Q$176,IF($D$127=8,$Q$177,IF($D$127=10,$Q$175,IF($D$127=12,$Q$175,IF($D$127=14,$Q$177,IF($D$127=18,$Q$175,IF($D$127=20,$Q$176,IF($D$127=22,"")))))))))</f>
        <v>02-033</v>
      </c>
      <c r="E193" s="176" t="n">
        <f aca="false">IF($D$127=5,R180,IF($D$127=6,R181,IF($D$127=8,R182,IF($D$127=10,R180,IF($D$127=12,R180,IF($D$127=14,R182,IF($D$127=18,R180,IF($D$127=20,R181,IF($D$127=22,"",)))))))))</f>
        <v>0</v>
      </c>
      <c r="F193" s="167" t="str">
        <f aca="false">IF($D$127=5,$S$175,IF($D$127=6,$S$176,IF($D$127=8,$S$177,IF($D$127=10,$S$175,IF($D$127=12,$S$175,IF($D$127=14,$S$177,IF($D$127=18,$S$175,IF($D$127=20,$S$176,IF($D$127=22,"")))))))))</f>
        <v>02-033</v>
      </c>
      <c r="G193" s="167" t="str">
        <f aca="false">IF($D$127=5,$T$175,IF($D$127=6,$T$176,IF($D$127=8,$T$177,IF($D$127=10,$T$175,IF($D$127=12,$T$175,IF($D$127=14,$T$177,IF($D$127=18,$T$175,IF($D$127=20,$T$176,IF($D$127=22,"")))))))))</f>
        <v>M</v>
      </c>
      <c r="H193" s="173" t="n">
        <f aca="false">IF($D$127=5,$U$175,IF($D$127=6,$U$176,IF($D$127=8,$U$177,IF($D$127=10,$U$175*2,IF($D$127=12,$U$175,IF($D$127=14,$U$177*2,IF($D$127=18,$U$175,IF($D$127=20,$U$176,IF($D$127=22,"")))))))))</f>
        <v>56.76</v>
      </c>
      <c r="I193" s="174" t="n">
        <f aca="false">IF($D$127=5,$V$175,IF($D$127=6,$V$176,IF($D$127=8,$V$177,IF($D$127=10,$V$175,IF($D$127=12,$V$175,IF($D$127=14,$V$177,IF($D$127=18,$V$175,IF($D$127=20,$V$176,IF($D$127=22,"")))))))))</f>
        <v>100</v>
      </c>
      <c r="J193" s="177" t="n">
        <f aca="false">ROUNDUP((H193)/100,0)</f>
        <v>1</v>
      </c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</row>
    <row r="194" s="96" customFormat="true" ht="18" hidden="false" customHeight="true" outlineLevel="0" collapsed="false">
      <c r="A194" s="170" t="n">
        <f aca="false">IF(B194="","",+A193+1)</f>
        <v>22</v>
      </c>
      <c r="B194" s="176" t="str">
        <f aca="false">IF($D$127=5,$O$173,IF($D$127=6,$O$173,IF($D$127=8,$O$175,IF($D$127=10,"",IF($D$127=12,$O$174,IF($D$127=14,"",IF($D$127=18,$O$173,IF($D$127=20,$O$174,IF($D$127=22,"",)))))))))</f>
        <v>5,6,18 mm ยางรองกระจก</v>
      </c>
      <c r="C194" s="176" t="str">
        <f aca="false">IF($D$127=5,$P$173,IF($D$127=6,$P$173,IF($D$127=8,$P$175,IF($D$127=10,"",IF($D$127=12,$P$174,IF($D$127=14,"",IF($D$127=18,$P$173,IF($D$127=20,$P$174,IF($D$127=22,"",)))))))))</f>
        <v>5,6,18 mm CAPTIVE WEDGE</v>
      </c>
      <c r="D194" s="176" t="str">
        <f aca="false">IF($D$127=5,$Q$173,IF($D$127=6,$Q$173,IF($D$127=8,$Q$175,IF($D$127=10,"",IF($D$127=12,$Q$174,IF($D$127=14,"",IF($D$127=18,$Q$173,IF($D$127=20,$Q$174,IF($D$127=22,"",)))))))))</f>
        <v>02-022</v>
      </c>
      <c r="E194" s="176" t="n">
        <f aca="false">IF($D$127=5,R178,IF($D$127=6,R178,IF($D$127=8,R180,IF($D$127=10,"",IF($D$127=12,R179,IF($D$127=14,"",IF($D$127=18,R178,IF($D$127=20,R179,IF($D$127=22,"",)))))))))</f>
        <v>0</v>
      </c>
      <c r="F194" s="167" t="str">
        <f aca="false">IF($D$127=5,$S$173,IF($D$127=6,$S$173,IF($D$127=8,$S$175,IF($D$127=10,"",IF($D$127=12,$S$174,IF($D$127=14,"",IF($D$127=18,$S$173,IF($D$127=20,$S$174,IF($D$127=22,"",)))))))))</f>
        <v>02-022</v>
      </c>
      <c r="G194" s="167" t="str">
        <f aca="false">IF($D$127=5,$T$173,IF($D$127=6,$T$173,IF($D$127=8,$T$175,IF($D$127=10,"",IF($D$127=12,$T$174,IF($D$127=14,"",IF($D$127=18,$T$173,IF($D$127=20,$T$174,IF($D$127=22,"",)))))))))</f>
        <v>M</v>
      </c>
      <c r="H194" s="173" t="n">
        <f aca="false">IF($D$127=5,$U$173,IF($D$127=6,$U$173,IF($D$127=8,$U$175,IF($D$127=10,"",IF($D$127=12,$U$174,IF($D$127=14,"",IF($D$127=18,$U$173,IF($D$127=20,$U$174,IF($D$127=22,"")))))))))</f>
        <v>56.76</v>
      </c>
      <c r="I194" s="174" t="n">
        <f aca="false">IF($D$127=5,$V$173,IF($D$127=6,$V$173,IF($D$127=8,$V$175,IF($D$127=10,"",IF($D$127=12,$V$174,IF($D$127=14,"",IF($D$127=18,$V$173,IF($D$127=20,$V$174,IF($D$127=22,"",)))))))))</f>
        <v>100</v>
      </c>
      <c r="J194" s="177" t="n">
        <f aca="false">ROUNDUP((H194)/100,0)</f>
        <v>1</v>
      </c>
    </row>
    <row r="195" s="96" customFormat="true" ht="18" hidden="false" customHeight="true" outlineLevel="0" collapsed="false">
      <c r="A195" s="170" t="str">
        <f aca="false">IF(B195="","",+A194+1)</f>
        <v/>
      </c>
      <c r="B195" s="131"/>
      <c r="C195" s="131"/>
      <c r="D195" s="132"/>
      <c r="E195" s="130"/>
      <c r="F195" s="130"/>
      <c r="G195" s="130"/>
      <c r="H195" s="130"/>
      <c r="I195" s="133"/>
      <c r="J195" s="134"/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330"/>
      <c r="E196" s="130"/>
      <c r="F196" s="130"/>
      <c r="G196" s="130"/>
      <c r="H196" s="130"/>
      <c r="I196" s="142"/>
      <c r="J196" s="134"/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330"/>
      <c r="E197" s="130"/>
      <c r="F197" s="130"/>
      <c r="G197" s="130"/>
      <c r="H197" s="130"/>
      <c r="I197" s="142"/>
      <c r="J197" s="134"/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$J$120*H198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/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9" t="str">
        <f aca="false">IF(B204="","",+A203+1)</f>
        <v/>
      </c>
      <c r="B204" s="135"/>
      <c r="C204" s="135"/>
      <c r="D204" s="139"/>
      <c r="E204" s="136"/>
      <c r="F204" s="136"/>
      <c r="G204" s="136"/>
      <c r="H204" s="136"/>
      <c r="I204" s="140"/>
      <c r="J204" s="137" t="n">
        <f aca="false">$J$120*H204</f>
        <v>0</v>
      </c>
    </row>
    <row r="205" s="96" customFormat="true" ht="18" hidden="false" customHeight="true" outlineLevel="0" collapsed="false">
      <c r="A205" s="200"/>
      <c r="B205" s="98"/>
      <c r="D205" s="98"/>
      <c r="E205" s="97"/>
      <c r="F205" s="98"/>
      <c r="G205" s="98"/>
      <c r="H205" s="98"/>
      <c r="I205" s="196"/>
      <c r="J205" s="196"/>
    </row>
    <row r="206" customFormat="false" ht="18" hidden="false" customHeight="true" outlineLevel="0" collapsed="false">
      <c r="A206" s="97"/>
      <c r="J206" s="92" t="str">
        <f aca="false">LEFT($J$111,14)&amp;"-02"</f>
        <v>FG-240-11P5L6R-02</v>
      </c>
    </row>
    <row r="207" customFormat="false" ht="12.75" hidden="false" customHeight="true" outlineLevel="0" collapsed="false">
      <c r="B207" s="96"/>
      <c r="C207" s="96"/>
      <c r="D207" s="98"/>
      <c r="E207" s="97"/>
      <c r="F207" s="97"/>
      <c r="G207" s="97"/>
      <c r="H207" s="97"/>
      <c r="K207" s="78"/>
      <c r="L207" s="78"/>
      <c r="M207" s="79"/>
      <c r="N207" s="79"/>
    </row>
    <row r="208" customFormat="false" ht="30" hidden="false" customHeight="true" outlineLevel="0" collapsed="false">
      <c r="I208" s="76"/>
      <c r="J208" s="77" t="str">
        <f aca="false">$J$2</f>
        <v>HOMELIFE</v>
      </c>
      <c r="K208" s="83"/>
      <c r="L208" s="83"/>
      <c r="M208" s="79"/>
      <c r="N208" s="79"/>
    </row>
    <row r="209" customFormat="false" ht="24.75" hidden="false" customHeight="true" outlineLevel="0" collapsed="false">
      <c r="C209" s="75"/>
      <c r="D209" s="76"/>
      <c r="E209" s="76"/>
      <c r="F209" s="76"/>
      <c r="G209" s="76"/>
      <c r="H209" s="76"/>
      <c r="I209" s="82"/>
      <c r="J209" s="80" t="str">
        <f aca="false">$J$3</f>
        <v>Fabricators Guide</v>
      </c>
      <c r="K209" s="83"/>
      <c r="L209" s="83"/>
      <c r="M209" s="79"/>
      <c r="N209" s="79"/>
    </row>
    <row r="210" customFormat="false" ht="24.75" hidden="false" customHeight="true" outlineLevel="0" collapsed="false">
      <c r="C210" s="82"/>
      <c r="D210" s="82"/>
      <c r="E210" s="82"/>
      <c r="F210" s="82"/>
      <c r="G210" s="82"/>
      <c r="H210" s="82"/>
      <c r="I210" s="82"/>
      <c r="J210" s="80" t="str">
        <f aca="false">$J$4</f>
        <v>240 Series Bi Fold Door </v>
      </c>
      <c r="M210" s="87"/>
      <c r="N210" s="87"/>
    </row>
    <row r="211" s="96" customFormat="true" ht="15" hidden="false" customHeight="true" outlineLevel="0" collapsed="false">
      <c r="A211" s="84"/>
      <c r="B211" s="81"/>
      <c r="C211" s="82"/>
      <c r="D211" s="82"/>
      <c r="E211" s="82"/>
      <c r="F211" s="82"/>
      <c r="G211" s="82"/>
      <c r="H211" s="82"/>
      <c r="I211" s="84"/>
      <c r="J211" s="94"/>
      <c r="K211" s="87"/>
      <c r="L211" s="87"/>
      <c r="M211" s="87"/>
      <c r="N211" s="87"/>
    </row>
    <row r="212" s="96" customFormat="true" ht="24.75" hidden="false" customHeight="true" outlineLevel="0" collapsed="false">
      <c r="A212" s="88" t="s">
        <v>457</v>
      </c>
      <c r="B212" s="88"/>
      <c r="C212" s="88"/>
      <c r="D212" s="88"/>
      <c r="E212" s="88"/>
      <c r="F212" s="88"/>
      <c r="G212" s="88"/>
      <c r="H212" s="88"/>
      <c r="I212" s="88"/>
      <c r="J212" s="88"/>
    </row>
    <row r="214" s="96" customFormat="true" ht="15" hidden="false" customHeight="true" outlineLevel="0" collapsed="false">
      <c r="A214" s="182"/>
      <c r="D214" s="73"/>
      <c r="I214" s="183"/>
      <c r="J214" s="99"/>
    </row>
    <row r="215" s="96" customFormat="true" ht="15" hidden="false" customHeight="true" outlineLevel="0" collapsed="false">
      <c r="A215" s="97"/>
      <c r="B215" s="182"/>
      <c r="D215" s="98"/>
      <c r="E215" s="83"/>
      <c r="F215" s="183"/>
      <c r="G215" s="183"/>
      <c r="H215" s="183"/>
      <c r="J215" s="97"/>
    </row>
    <row r="216" s="96" customFormat="true" ht="15" hidden="false" customHeight="true" outlineLevel="0" collapsed="false">
      <c r="A216" s="97"/>
      <c r="C216" s="181"/>
      <c r="D216" s="98"/>
      <c r="E216" s="83"/>
      <c r="F216" s="98"/>
      <c r="J216" s="97"/>
    </row>
    <row r="217" s="96" customFormat="true" ht="15" hidden="false" customHeight="true" outlineLevel="0" collapsed="false">
      <c r="A217" s="97"/>
      <c r="C217" s="181"/>
      <c r="D217" s="98"/>
      <c r="E217" s="97"/>
      <c r="F217" s="98"/>
      <c r="H217" s="181"/>
      <c r="J217" s="97"/>
    </row>
    <row r="218" s="96" customFormat="true" ht="15" hidden="false" customHeight="true" outlineLevel="0" collapsed="false">
      <c r="A218" s="182"/>
      <c r="B218" s="182"/>
      <c r="D218" s="98"/>
      <c r="E218" s="83"/>
      <c r="F218" s="183"/>
      <c r="H218" s="181"/>
      <c r="I218" s="97"/>
      <c r="J218" s="97"/>
    </row>
    <row r="219" s="96" customFormat="true" ht="15" hidden="false" customHeight="true" outlineLevel="0" collapsed="false">
      <c r="A219" s="97"/>
      <c r="C219" s="184" t="s">
        <v>458</v>
      </c>
      <c r="D219" s="98"/>
      <c r="E219" s="83"/>
      <c r="F219" s="98"/>
      <c r="I219" s="97"/>
      <c r="J219" s="97"/>
    </row>
    <row r="220" s="96" customFormat="true" ht="15" hidden="false" customHeight="true" outlineLevel="0" collapsed="false">
      <c r="A220" s="97"/>
      <c r="C220" s="181" t="s">
        <v>459</v>
      </c>
      <c r="D220" s="98"/>
      <c r="E220" s="83"/>
      <c r="F220" s="98"/>
      <c r="H220" s="184"/>
      <c r="J220" s="97"/>
    </row>
    <row r="221" s="96" customFormat="true" ht="15" hidden="false" customHeight="true" outlineLevel="0" collapsed="false">
      <c r="A221" s="97"/>
      <c r="C221" s="181" t="s">
        <v>460</v>
      </c>
      <c r="D221" s="98"/>
      <c r="E221" s="97"/>
      <c r="F221" s="98"/>
      <c r="J221" s="97"/>
    </row>
    <row r="222" s="96" customFormat="true" ht="15" hidden="false" customHeight="true" outlineLevel="0" collapsed="false">
      <c r="A222" s="97"/>
      <c r="C222" s="185" t="n">
        <f aca="false">$I$133</f>
        <v>1940</v>
      </c>
      <c r="D222" s="98"/>
      <c r="E222" s="83"/>
      <c r="F222" s="98"/>
      <c r="G222" s="186"/>
      <c r="J222" s="97"/>
    </row>
    <row r="223" s="96" customFormat="true" ht="15" hidden="false" customHeight="true" outlineLevel="0" collapsed="false">
      <c r="A223" s="97"/>
      <c r="C223" s="187" t="n">
        <f aca="false">$J$133</f>
        <v>1</v>
      </c>
      <c r="D223" s="98"/>
      <c r="E223" s="83"/>
      <c r="F223" s="98"/>
      <c r="G223" s="110"/>
      <c r="I223" s="97"/>
      <c r="J223" s="97"/>
    </row>
    <row r="224" s="96" customFormat="true" ht="15" hidden="false" customHeight="true" outlineLevel="0" collapsed="false">
      <c r="A224" s="97"/>
      <c r="D224" s="98"/>
      <c r="E224" s="97"/>
      <c r="F224" s="98"/>
      <c r="G224" s="110"/>
      <c r="I224" s="97"/>
      <c r="J224" s="97"/>
    </row>
    <row r="225" s="96" customFormat="true" ht="15.75" hidden="false" customHeight="true" outlineLevel="0" collapsed="false">
      <c r="A225" s="99"/>
      <c r="B225" s="99"/>
      <c r="C225" s="83"/>
      <c r="D225" s="98"/>
      <c r="E225" s="97"/>
      <c r="F225" s="98"/>
      <c r="G225" s="186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H226" s="97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189"/>
      <c r="J227" s="190"/>
    </row>
    <row r="228" s="96" customFormat="true" ht="15.75" hidden="false" customHeight="true" outlineLevel="0" collapsed="false">
      <c r="A228" s="99"/>
      <c r="B228" s="99"/>
      <c r="C228" s="181"/>
      <c r="D228" s="98"/>
      <c r="E228" s="97"/>
      <c r="F228" s="98"/>
      <c r="H228" s="97"/>
      <c r="I228" s="181"/>
      <c r="J228" s="193"/>
    </row>
    <row r="229" s="96" customFormat="true" ht="15.75" hidden="false" customHeight="true" outlineLevel="0" collapsed="false">
      <c r="A229" s="188"/>
      <c r="B229" s="188"/>
      <c r="D229" s="98"/>
      <c r="E229" s="97"/>
      <c r="F229" s="98"/>
      <c r="I229" s="181"/>
      <c r="J229" s="193"/>
    </row>
    <row r="230" s="96" customFormat="true" ht="15.75" hidden="false" customHeight="true" outlineLevel="0" collapsed="false">
      <c r="A230" s="97"/>
      <c r="B230" s="97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81"/>
      <c r="D231" s="98"/>
      <c r="E231" s="97"/>
      <c r="F231" s="97"/>
      <c r="I231" s="181"/>
      <c r="J231" s="193"/>
    </row>
    <row r="232" s="96" customFormat="true" ht="15.75" hidden="false" customHeight="true" outlineLevel="0" collapsed="false">
      <c r="A232" s="191"/>
      <c r="B232" s="191"/>
      <c r="C232" s="184" t="s">
        <v>461</v>
      </c>
      <c r="D232" s="192"/>
      <c r="E232" s="191"/>
      <c r="F232" s="191"/>
      <c r="G232" s="97"/>
      <c r="H232" s="97"/>
      <c r="I232" s="181"/>
      <c r="J232" s="193"/>
    </row>
    <row r="233" s="96" customFormat="true" ht="15.75" hidden="false" customHeight="true" outlineLevel="0" collapsed="false">
      <c r="A233" s="190"/>
      <c r="B233" s="190"/>
      <c r="C233" s="181" t="s">
        <v>462</v>
      </c>
      <c r="D233" s="194"/>
      <c r="E233" s="190"/>
      <c r="F233" s="189"/>
      <c r="G233" s="97"/>
      <c r="H233" s="97"/>
      <c r="J233" s="97"/>
    </row>
    <row r="234" s="96" customFormat="true" ht="15.75" hidden="false" customHeight="true" outlineLevel="0" collapsed="false">
      <c r="A234" s="97"/>
      <c r="C234" s="181" t="s">
        <v>518</v>
      </c>
      <c r="D234" s="98"/>
      <c r="E234" s="97"/>
      <c r="F234" s="98"/>
      <c r="G234" s="97"/>
      <c r="H234" s="97"/>
      <c r="I234" s="97"/>
      <c r="J234" s="196"/>
    </row>
    <row r="235" s="96" customFormat="true" ht="15.75" hidden="false" customHeight="true" outlineLevel="0" collapsed="false">
      <c r="A235" s="97"/>
      <c r="C235" s="185" t="n">
        <f aca="false">$I$134</f>
        <v>1914</v>
      </c>
      <c r="D235" s="98"/>
      <c r="E235" s="97"/>
      <c r="F235" s="98"/>
      <c r="G235" s="97"/>
      <c r="H235" s="97"/>
      <c r="I235" s="196"/>
      <c r="J235" s="196"/>
    </row>
    <row r="236" s="96" customFormat="true" ht="15.75" hidden="false" customHeight="true" outlineLevel="0" collapsed="false">
      <c r="A236" s="97"/>
      <c r="C236" s="187" t="n">
        <f aca="false">$J$134</f>
        <v>1</v>
      </c>
      <c r="D236" s="98"/>
      <c r="E236" s="97"/>
      <c r="F236" s="98"/>
      <c r="G236" s="97"/>
      <c r="H236" s="195"/>
      <c r="I236" s="184"/>
      <c r="J236" s="198"/>
    </row>
    <row r="237" s="96" customFormat="true" ht="15.75" hidden="false" customHeight="true" outlineLevel="0" collapsed="false">
      <c r="A237" s="97"/>
      <c r="C237" s="191"/>
      <c r="D237" s="98"/>
      <c r="E237" s="97"/>
      <c r="F237" s="98"/>
      <c r="G237" s="97"/>
      <c r="H237" s="195"/>
      <c r="I237" s="181"/>
      <c r="J237" s="193"/>
    </row>
    <row r="238" s="96" customFormat="true" ht="15.75" hidden="false" customHeight="true" outlineLevel="0" collapsed="false">
      <c r="A238" s="97"/>
      <c r="D238" s="98"/>
      <c r="E238" s="97"/>
      <c r="F238" s="98"/>
      <c r="G238" s="97"/>
      <c r="H238" s="97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96"/>
      <c r="J239" s="196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1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97"/>
      <c r="I241" s="97"/>
      <c r="J241" s="196"/>
    </row>
    <row r="242" s="96" customFormat="true" ht="15.75" hidden="false" customHeight="true" outlineLevel="0" collapsed="false">
      <c r="A242" s="97"/>
      <c r="C242" s="184" t="s">
        <v>464</v>
      </c>
      <c r="D242" s="98"/>
      <c r="E242" s="97"/>
      <c r="F242" s="98"/>
      <c r="G242" s="97"/>
      <c r="H242" s="97"/>
      <c r="I242" s="196"/>
      <c r="J242" s="196"/>
    </row>
    <row r="243" s="96" customFormat="true" ht="15.75" hidden="false" customHeight="true" outlineLevel="0" collapsed="false">
      <c r="A243" s="97"/>
      <c r="C243" s="181" t="s">
        <v>459</v>
      </c>
      <c r="D243" s="98"/>
      <c r="E243" s="97"/>
      <c r="F243" s="98"/>
      <c r="G243" s="97"/>
      <c r="H243" s="97"/>
      <c r="I243" s="196"/>
      <c r="J243" s="196"/>
    </row>
    <row r="244" s="96" customFormat="true" ht="15" hidden="false" customHeight="true" outlineLevel="0" collapsed="false">
      <c r="A244" s="97"/>
      <c r="C244" s="181" t="s">
        <v>460</v>
      </c>
      <c r="D244" s="98"/>
      <c r="E244" s="97"/>
      <c r="F244" s="98"/>
      <c r="G244" s="97"/>
      <c r="H244" s="97"/>
      <c r="I244" s="196"/>
      <c r="J244" s="196"/>
    </row>
    <row r="245" s="96" customFormat="true" ht="15.75" hidden="false" customHeight="true" outlineLevel="0" collapsed="false">
      <c r="A245" s="97"/>
      <c r="C245" s="185" t="n">
        <f aca="false">$I$135</f>
        <v>1940</v>
      </c>
      <c r="D245" s="98"/>
      <c r="E245" s="97"/>
      <c r="F245" s="98"/>
      <c r="G245" s="97"/>
      <c r="H245" s="97"/>
      <c r="I245" s="191"/>
      <c r="J245" s="199"/>
    </row>
    <row r="246" s="96" customFormat="true" ht="15.75" hidden="false" customHeight="true" outlineLevel="0" collapsed="false">
      <c r="A246" s="97"/>
      <c r="C246" s="187" t="n">
        <f aca="false">$J$135</f>
        <v>1</v>
      </c>
      <c r="D246" s="98"/>
      <c r="E246" s="97"/>
      <c r="F246" s="98"/>
      <c r="G246" s="97"/>
      <c r="H246" s="97"/>
      <c r="I246" s="189"/>
      <c r="J246" s="190"/>
    </row>
    <row r="247" s="96" customFormat="true" ht="15.75" hidden="false" customHeight="true" outlineLevel="0" collapsed="false">
      <c r="A247" s="97"/>
      <c r="C247" s="98"/>
      <c r="D247" s="98"/>
      <c r="E247" s="97"/>
      <c r="F247" s="98"/>
      <c r="G247" s="97"/>
      <c r="H247" s="97"/>
      <c r="J247" s="97"/>
    </row>
    <row r="248" s="96" customFormat="true" ht="15.75" hidden="false" customHeight="true" outlineLevel="0" collapsed="false">
      <c r="A248" s="97"/>
      <c r="D248" s="98"/>
      <c r="E248" s="97"/>
      <c r="F248" s="97"/>
      <c r="G248" s="191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0"/>
      <c r="H250" s="97"/>
      <c r="I250" s="196"/>
      <c r="J250" s="196"/>
    </row>
    <row r="251" s="96" customFormat="true" ht="15.75" hidden="false" customHeight="true" outlineLevel="0" collapsed="false">
      <c r="A251" s="97"/>
      <c r="D251" s="98"/>
      <c r="E251" s="97"/>
      <c r="F251" s="97"/>
      <c r="G251" s="97"/>
      <c r="H251" s="97"/>
      <c r="I251" s="196"/>
      <c r="J251" s="196"/>
    </row>
    <row r="252" s="96" customFormat="true" ht="15.75" hidden="false" customHeight="true" outlineLevel="0" collapsed="false">
      <c r="A252" s="191"/>
      <c r="B252" s="191"/>
      <c r="D252" s="192"/>
      <c r="E252" s="191"/>
      <c r="F252" s="191"/>
      <c r="G252" s="97"/>
      <c r="H252" s="97"/>
      <c r="I252" s="196"/>
      <c r="J252" s="196"/>
    </row>
    <row r="253" s="96" customFormat="true" ht="15.75" hidden="false" customHeight="true" outlineLevel="0" collapsed="false">
      <c r="A253" s="190"/>
      <c r="B253" s="190"/>
      <c r="C253" s="184" t="s">
        <v>465</v>
      </c>
      <c r="D253" s="194"/>
      <c r="E253" s="190"/>
      <c r="F253" s="189"/>
      <c r="G253" s="97"/>
      <c r="I253" s="196"/>
      <c r="J253" s="196"/>
    </row>
    <row r="254" s="96" customFormat="true" ht="15.75" hidden="false" customHeight="true" outlineLevel="0" collapsed="false">
      <c r="A254" s="200"/>
      <c r="C254" s="181" t="s">
        <v>459</v>
      </c>
      <c r="D254" s="98"/>
      <c r="E254" s="97"/>
      <c r="F254" s="97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460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5" t="n">
        <f aca="false">$I$136</f>
        <v>1940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7" t="n">
        <f aca="false">$J$136</f>
        <v>1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C261" s="98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C263" s="184" t="s">
        <v>466</v>
      </c>
      <c r="D263" s="98"/>
      <c r="E263" s="97"/>
      <c r="F263" s="97"/>
      <c r="G263" s="97"/>
      <c r="H263" s="97"/>
      <c r="I263" s="196"/>
      <c r="J263" s="196"/>
    </row>
    <row r="264" s="96" customFormat="true" ht="15.75" hidden="false" customHeight="true" outlineLevel="0" collapsed="false">
      <c r="A264" s="200"/>
      <c r="C264" s="181" t="s">
        <v>467</v>
      </c>
      <c r="D264" s="181"/>
      <c r="E264" s="181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468</v>
      </c>
      <c r="D265" s="181"/>
      <c r="E265" s="181"/>
      <c r="F265" s="97"/>
      <c r="G265" s="97"/>
      <c r="H265" s="97"/>
      <c r="J265" s="97"/>
    </row>
    <row r="266" s="96" customFormat="true" ht="15.75" hidden="false" customHeight="true" outlineLevel="0" collapsed="false">
      <c r="A266" s="200"/>
      <c r="C266" s="185" t="n">
        <f aca="false">$I$137</f>
        <v>2500</v>
      </c>
      <c r="D266" s="98"/>
      <c r="E266" s="97"/>
      <c r="F266" s="97"/>
      <c r="J266" s="97"/>
    </row>
    <row r="267" s="96" customFormat="true" ht="15.75" hidden="false" customHeight="true" outlineLevel="0" collapsed="false">
      <c r="A267" s="200"/>
      <c r="C267" s="187" t="n">
        <f aca="false">$J$137+$J$138</f>
        <v>2</v>
      </c>
      <c r="D267" s="98"/>
      <c r="E267" s="97"/>
      <c r="F267" s="97"/>
      <c r="G267" s="97"/>
      <c r="H267" s="97"/>
      <c r="J267" s="97"/>
    </row>
    <row r="268" s="96" customFormat="true" ht="15.75" hidden="false" customHeight="true" outlineLevel="0" collapsed="false">
      <c r="A268" s="200"/>
      <c r="D268" s="184"/>
      <c r="E268" s="184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1"/>
      <c r="E270" s="181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I271" s="196"/>
      <c r="J271" s="196"/>
    </row>
    <row r="272" s="96" customFormat="true" ht="15.75" hidden="false" customHeight="true" outlineLevel="0" collapsed="false">
      <c r="A272" s="200"/>
      <c r="D272" s="98"/>
      <c r="E272" s="97"/>
      <c r="F272" s="97"/>
      <c r="G272" s="97"/>
      <c r="I272" s="196"/>
      <c r="J272" s="196"/>
    </row>
    <row r="273" s="96" customFormat="true" ht="15.75" hidden="false" customHeight="true" outlineLevel="0" collapsed="false">
      <c r="A273" s="200"/>
      <c r="C273" s="184" t="s">
        <v>469</v>
      </c>
      <c r="D273" s="201"/>
      <c r="E273" s="196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C274" s="181" t="s">
        <v>470</v>
      </c>
      <c r="D274" s="181"/>
      <c r="E274" s="181"/>
      <c r="F274" s="97"/>
      <c r="G274" s="97"/>
      <c r="I274" s="97"/>
      <c r="J274" s="196"/>
    </row>
    <row r="275" s="96" customFormat="true" ht="15.75" hidden="false" customHeight="true" outlineLevel="0" collapsed="false">
      <c r="A275" s="200"/>
      <c r="C275" s="181" t="s">
        <v>471</v>
      </c>
      <c r="D275" s="181"/>
      <c r="E275" s="181"/>
      <c r="F275" s="97"/>
      <c r="G275" s="97"/>
      <c r="I275" s="97"/>
      <c r="J275" s="196"/>
    </row>
    <row r="276" s="96" customFormat="true" ht="15.75" hidden="false" customHeight="true" outlineLevel="0" collapsed="false">
      <c r="A276" s="200"/>
      <c r="C276" s="185" t="n">
        <f aca="false">$I$139</f>
        <v>2404</v>
      </c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7" t="n">
        <f aca="false">$J$139+$J$140</f>
        <v>2</v>
      </c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F278" s="97"/>
      <c r="G278" s="97"/>
      <c r="H278" s="97"/>
      <c r="J278" s="97"/>
    </row>
    <row r="279" s="96" customFormat="true" ht="15.75" hidden="false" customHeight="true" outlineLevel="0" collapsed="false">
      <c r="A279" s="200"/>
      <c r="D279" s="98"/>
      <c r="E279" s="97"/>
      <c r="F279" s="97"/>
      <c r="G279" s="97"/>
      <c r="H279" s="97"/>
      <c r="J279" s="97"/>
    </row>
    <row r="280" s="96" customFormat="true" ht="15.75" hidden="false" customHeight="true" outlineLevel="0" collapsed="false">
      <c r="A280" s="200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F281" s="97"/>
      <c r="G281" s="97"/>
      <c r="H281" s="97"/>
      <c r="I281" s="201"/>
      <c r="J281" s="196"/>
    </row>
    <row r="282" s="96" customFormat="true" ht="15.75" hidden="false" customHeight="true" outlineLevel="0" collapsed="false">
      <c r="A282" s="200"/>
      <c r="C282" s="184" t="s">
        <v>472</v>
      </c>
      <c r="F282" s="97"/>
      <c r="G282" s="97"/>
      <c r="H282" s="97"/>
      <c r="I282" s="97"/>
      <c r="J282" s="196"/>
    </row>
    <row r="283" s="96" customFormat="true" ht="15.75" hidden="false" customHeight="true" outlineLevel="0" collapsed="false">
      <c r="A283" s="200"/>
      <c r="C283" s="83" t="s">
        <v>793</v>
      </c>
      <c r="D283" s="98"/>
      <c r="E283" s="97"/>
      <c r="F283" s="97"/>
      <c r="G283" s="97"/>
      <c r="H283" s="97"/>
      <c r="I283" s="196"/>
      <c r="J283" s="196"/>
    </row>
    <row r="284" s="96" customFormat="true" ht="15.75" hidden="false" customHeight="true" outlineLevel="0" collapsed="false">
      <c r="A284" s="200"/>
      <c r="C284" s="181" t="s">
        <v>794</v>
      </c>
      <c r="D284" s="98"/>
      <c r="E284" s="97"/>
      <c r="F284" s="97"/>
      <c r="G284" s="97"/>
      <c r="H284" s="97"/>
      <c r="I284" s="196"/>
      <c r="J284" s="196"/>
    </row>
    <row r="285" s="96" customFormat="true" ht="15.75" hidden="false" customHeight="true" outlineLevel="0" collapsed="false">
      <c r="A285" s="200"/>
      <c r="C285" s="181" t="s">
        <v>475</v>
      </c>
      <c r="D285" s="181"/>
      <c r="E285" s="181"/>
      <c r="F285" s="97"/>
      <c r="G285" s="97"/>
      <c r="I285" s="196"/>
      <c r="J285" s="196"/>
    </row>
    <row r="286" s="202" customFormat="true" ht="15.75" hidden="false" customHeight="true" outlineLevel="0" collapsed="false">
      <c r="A286" s="200"/>
      <c r="B286" s="96"/>
      <c r="C286" s="181" t="s">
        <v>476</v>
      </c>
      <c r="D286" s="181"/>
      <c r="E286" s="181"/>
      <c r="F286" s="97"/>
      <c r="G286" s="97"/>
      <c r="H286" s="96"/>
      <c r="I286" s="97"/>
      <c r="J286" s="97"/>
    </row>
    <row r="287" s="96" customFormat="true" ht="15.75" hidden="false" customHeight="true" outlineLevel="0" collapsed="false">
      <c r="A287" s="200"/>
      <c r="C287" s="185" t="n">
        <f aca="false">$I$141</f>
        <v>172</v>
      </c>
      <c r="F287" s="97"/>
      <c r="G287" s="97"/>
      <c r="I287" s="191"/>
      <c r="J287" s="199"/>
    </row>
    <row r="288" s="96" customFormat="true" ht="15.75" hidden="false" customHeight="true" outlineLevel="0" collapsed="false">
      <c r="A288" s="200"/>
      <c r="C288" s="187" t="n">
        <f aca="false">$J$141+$J$142</f>
        <v>22</v>
      </c>
      <c r="D288" s="98"/>
      <c r="E288" s="97"/>
      <c r="F288" s="97"/>
      <c r="G288" s="97"/>
      <c r="H288" s="98"/>
      <c r="I288" s="189"/>
      <c r="J288" s="190"/>
    </row>
    <row r="289" s="96" customFormat="true" ht="15.75" hidden="false" customHeight="true" outlineLevel="0" collapsed="false">
      <c r="A289" s="200"/>
      <c r="C289" s="185" t="n">
        <f aca="false">$I$143</f>
        <v>2408</v>
      </c>
      <c r="D289" s="98"/>
      <c r="E289" s="97"/>
      <c r="F289" s="97"/>
      <c r="G289" s="97"/>
      <c r="H289" s="97"/>
      <c r="I289" s="196"/>
      <c r="J289" s="196"/>
    </row>
    <row r="290" s="96" customFormat="true" ht="15.75" hidden="false" customHeight="true" outlineLevel="0" collapsed="false">
      <c r="A290" s="200"/>
      <c r="C290" s="187" t="n">
        <f aca="false">$J$143+$J$144+$J$145+$J$146</f>
        <v>22</v>
      </c>
      <c r="D290" s="98"/>
      <c r="E290" s="97"/>
      <c r="F290" s="97"/>
      <c r="G290" s="97"/>
      <c r="H290" s="97"/>
      <c r="I290" s="196"/>
      <c r="J290" s="196"/>
    </row>
    <row r="291" s="96" customFormat="true" ht="15.75" hidden="false" customHeight="true" outlineLevel="0" collapsed="false">
      <c r="A291" s="200"/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D292" s="98"/>
      <c r="E292" s="97"/>
      <c r="F292" s="97"/>
      <c r="G292" s="97"/>
      <c r="H292" s="97"/>
      <c r="I292" s="97"/>
      <c r="J292" s="196"/>
    </row>
    <row r="293" s="96" customFormat="true" ht="15.75" hidden="false" customHeight="true" outlineLevel="0" collapsed="false">
      <c r="A293" s="200"/>
      <c r="C293" s="202"/>
      <c r="D293" s="98"/>
      <c r="E293" s="97"/>
      <c r="F293" s="97"/>
      <c r="G293" s="97"/>
      <c r="H293" s="97"/>
      <c r="I293" s="97"/>
      <c r="J293" s="196"/>
    </row>
    <row r="294" s="96" customFormat="true" ht="15.75" hidden="false" customHeight="true" outlineLevel="0" collapsed="false">
      <c r="A294" s="200"/>
      <c r="C294" s="184" t="s">
        <v>477</v>
      </c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83" t="s">
        <v>793</v>
      </c>
      <c r="D295" s="98"/>
      <c r="E295" s="97"/>
      <c r="F295" s="97"/>
      <c r="G295" s="191"/>
      <c r="H295" s="191"/>
      <c r="I295" s="97"/>
      <c r="J295" s="196"/>
    </row>
    <row r="296" s="96" customFormat="true" ht="15.75" hidden="false" customHeight="true" outlineLevel="0" collapsed="false">
      <c r="A296" s="200"/>
      <c r="C296" s="181" t="s">
        <v>795</v>
      </c>
      <c r="D296" s="181"/>
      <c r="E296" s="181"/>
      <c r="F296" s="97"/>
      <c r="G296" s="190"/>
      <c r="H296" s="189"/>
      <c r="I296" s="97"/>
      <c r="J296" s="196"/>
    </row>
    <row r="297" s="96" customFormat="true" ht="15.75" hidden="false" customHeight="true" outlineLevel="0" collapsed="false">
      <c r="A297" s="107"/>
      <c r="C297" s="181" t="s">
        <v>478</v>
      </c>
      <c r="D297" s="181"/>
      <c r="E297" s="181"/>
      <c r="F297" s="97"/>
      <c r="G297" s="97"/>
      <c r="H297" s="97"/>
      <c r="I297" s="97"/>
      <c r="J297" s="196"/>
    </row>
    <row r="298" s="96" customFormat="true" ht="15.75" hidden="false" customHeight="true" outlineLevel="0" collapsed="false">
      <c r="A298" s="191"/>
      <c r="B298" s="191"/>
      <c r="C298" s="181" t="s">
        <v>479</v>
      </c>
      <c r="D298" s="203"/>
      <c r="E298" s="204"/>
      <c r="F298" s="191"/>
      <c r="G298" s="97"/>
      <c r="H298" s="97"/>
      <c r="I298" s="97"/>
      <c r="J298" s="196"/>
    </row>
    <row r="299" s="96" customFormat="true" ht="15.75" hidden="false" customHeight="true" outlineLevel="0" collapsed="false">
      <c r="A299" s="190"/>
      <c r="B299" s="190"/>
      <c r="C299" s="185" t="n">
        <f aca="false">$I$147</f>
        <v>62.0454545454546</v>
      </c>
      <c r="D299" s="205"/>
      <c r="E299" s="206"/>
      <c r="F299" s="189"/>
      <c r="G299" s="97"/>
      <c r="H299" s="97"/>
      <c r="I299" s="97"/>
      <c r="J299" s="196"/>
    </row>
    <row r="300" s="96" customFormat="true" ht="15.75" hidden="false" customHeight="true" outlineLevel="0" collapsed="false">
      <c r="A300" s="97"/>
      <c r="C300" s="187" t="n">
        <f aca="false">$J$147</f>
        <v>22</v>
      </c>
      <c r="D300" s="98"/>
      <c r="F300" s="97"/>
      <c r="G300" s="97"/>
      <c r="H300" s="97"/>
      <c r="I300" s="97"/>
      <c r="J300" s="196"/>
    </row>
    <row r="301" s="96" customFormat="true" ht="15.75" hidden="false" customHeight="true" outlineLevel="0" collapsed="false">
      <c r="A301" s="97"/>
      <c r="C301" s="185" t="n">
        <f aca="false">$I$148</f>
        <v>2258</v>
      </c>
      <c r="D301" s="98"/>
      <c r="F301" s="97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7" t="n">
        <f aca="false">$J$148</f>
        <v>22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C305" s="184" t="s">
        <v>744</v>
      </c>
      <c r="D305" s="98"/>
      <c r="E305" s="97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C306" s="181" t="s">
        <v>475</v>
      </c>
      <c r="D306" s="181"/>
      <c r="E306" s="181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249" t="s">
        <v>476</v>
      </c>
      <c r="D307" s="249"/>
      <c r="E307" s="249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185" t="n">
        <f aca="false">$I$149</f>
        <v>2408</v>
      </c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7" t="n">
        <f aca="false">$J$149+$J$150</f>
        <v>2</v>
      </c>
      <c r="D309" s="181"/>
      <c r="E309" s="181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D310" s="98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D311" s="98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200"/>
      <c r="D313" s="201"/>
      <c r="E313" s="196"/>
      <c r="F313" s="97"/>
      <c r="G313" s="97"/>
      <c r="H313" s="97"/>
      <c r="I313" s="200"/>
      <c r="J313" s="92" t="str">
        <f aca="false">LEFT($J$111,14)&amp;"-03"</f>
        <v>FG-240-11P5L6R-03</v>
      </c>
    </row>
    <row r="314" customFormat="false" ht="12.75" hidden="false" customHeight="true" outlineLevel="0" collapsed="false">
      <c r="A314" s="97"/>
      <c r="B314" s="49"/>
      <c r="C314" s="49"/>
      <c r="D314" s="207"/>
      <c r="E314" s="200"/>
      <c r="F314" s="200"/>
      <c r="G314" s="200"/>
      <c r="H314" s="200"/>
      <c r="I314" s="208"/>
      <c r="J314" s="208"/>
    </row>
    <row r="315" customFormat="false" ht="30" hidden="false" customHeight="true" outlineLevel="0" collapsed="false">
      <c r="I315" s="76"/>
      <c r="J315" s="77" t="str">
        <f aca="false">$J$2</f>
        <v>HOMELIFE</v>
      </c>
      <c r="K315" s="83"/>
      <c r="L315" s="83"/>
      <c r="M315" s="79"/>
      <c r="N315" s="79"/>
    </row>
    <row r="316" customFormat="false" ht="24.75" hidden="false" customHeight="true" outlineLevel="0" collapsed="false">
      <c r="C316" s="75"/>
      <c r="D316" s="76"/>
      <c r="E316" s="76"/>
      <c r="F316" s="76"/>
      <c r="G316" s="76"/>
      <c r="H316" s="76"/>
      <c r="I316" s="82"/>
      <c r="J316" s="80" t="str">
        <f aca="false">$J$3</f>
        <v>Fabricators Guide</v>
      </c>
      <c r="K316" s="83"/>
      <c r="L316" s="83"/>
      <c r="M316" s="79"/>
      <c r="N316" s="79"/>
    </row>
    <row r="317" customFormat="false" ht="24.75" hidden="false" customHeight="true" outlineLevel="0" collapsed="false">
      <c r="C317" s="82"/>
      <c r="D317" s="82"/>
      <c r="E317" s="82"/>
      <c r="F317" s="82"/>
      <c r="G317" s="82"/>
      <c r="H317" s="82"/>
      <c r="I317" s="82"/>
      <c r="J317" s="80" t="str">
        <f aca="false">$J$4</f>
        <v>240 Series Bi Fold Door </v>
      </c>
      <c r="M317" s="87"/>
      <c r="N317" s="87"/>
    </row>
    <row r="318" s="96" customFormat="true" ht="15" hidden="false" customHeight="true" outlineLevel="0" collapsed="false">
      <c r="A318" s="84"/>
      <c r="B318" s="81"/>
      <c r="C318" s="82"/>
      <c r="D318" s="82"/>
      <c r="E318" s="82"/>
      <c r="F318" s="82"/>
      <c r="G318" s="82"/>
      <c r="H318" s="82"/>
      <c r="I318" s="84"/>
      <c r="J318" s="94"/>
      <c r="K318" s="87"/>
      <c r="L318" s="87"/>
      <c r="M318" s="87"/>
      <c r="N318" s="87"/>
    </row>
    <row r="319" customFormat="false" ht="24.75" hidden="false" customHeight="true" outlineLevel="0" collapsed="false">
      <c r="A319" s="88" t="s">
        <v>480</v>
      </c>
      <c r="B319" s="88"/>
      <c r="C319" s="88"/>
      <c r="D319" s="88"/>
      <c r="E319" s="88"/>
      <c r="F319" s="88"/>
      <c r="G319" s="88"/>
      <c r="H319" s="88"/>
      <c r="I319" s="88"/>
      <c r="J319" s="88"/>
      <c r="K319" s="87"/>
      <c r="L319" s="87"/>
      <c r="M319" s="87"/>
      <c r="N319" s="87"/>
    </row>
    <row r="321" s="96" customFormat="true" ht="15" hidden="false" customHeight="true" outlineLevel="0" collapsed="false">
      <c r="A321" s="188"/>
      <c r="D321" s="73"/>
      <c r="I321" s="183"/>
      <c r="J321" s="99"/>
    </row>
    <row r="322" s="96" customFormat="true" ht="15" hidden="false" customHeight="true" outlineLevel="0" collapsed="false">
      <c r="A322" s="97"/>
      <c r="B322" s="81"/>
      <c r="D322" s="98"/>
      <c r="E322" s="83"/>
      <c r="F322" s="183"/>
      <c r="G322" s="183"/>
      <c r="H322" s="183"/>
      <c r="I322" s="83"/>
      <c r="J322" s="97"/>
    </row>
    <row r="323" s="96" customFormat="true" ht="15" hidden="false" customHeight="true" outlineLevel="0" collapsed="false">
      <c r="A323" s="97"/>
      <c r="D323" s="98"/>
      <c r="E323" s="83"/>
      <c r="F323" s="98"/>
      <c r="G323" s="83"/>
      <c r="H323" s="83"/>
      <c r="I323" s="97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C325" s="98"/>
      <c r="D325" s="98"/>
      <c r="E325" s="83"/>
      <c r="F325" s="98"/>
      <c r="G325" s="97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97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83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182"/>
      <c r="J328" s="97"/>
    </row>
    <row r="329" s="96" customFormat="true" ht="15" hidden="false" customHeight="true" outlineLevel="0" collapsed="false">
      <c r="A329" s="81"/>
      <c r="C329" s="182"/>
      <c r="D329" s="98"/>
      <c r="E329" s="97"/>
      <c r="F329" s="209"/>
      <c r="G329" s="209"/>
      <c r="H329" s="110"/>
      <c r="I329" s="98"/>
      <c r="J329" s="97"/>
    </row>
    <row r="330" s="96" customFormat="true" ht="15" hidden="false" customHeight="true" outlineLevel="0" collapsed="false">
      <c r="A330" s="99"/>
      <c r="B330" s="81"/>
      <c r="C330" s="98"/>
      <c r="D330" s="98"/>
      <c r="E330" s="97"/>
      <c r="F330" s="210"/>
      <c r="G330" s="210"/>
      <c r="H330" s="110"/>
      <c r="I330" s="98"/>
      <c r="J330" s="97"/>
    </row>
    <row r="331" s="96" customFormat="true" ht="15" hidden="false" customHeight="true" outlineLevel="0" collapsed="false">
      <c r="A331" s="211" t="str">
        <f aca="false">A18</f>
        <v>240-11 Panel (5L6R)</v>
      </c>
      <c r="B331" s="99"/>
      <c r="C331" s="98"/>
      <c r="D331" s="98"/>
      <c r="E331" s="97"/>
      <c r="F331" s="110"/>
      <c r="G331" s="110"/>
      <c r="H331" s="110"/>
      <c r="I331" s="97"/>
      <c r="J331" s="97"/>
    </row>
    <row r="332" s="96" customFormat="true" ht="15" hidden="false" customHeight="true" outlineLevel="0" collapsed="false">
      <c r="A332" s="90" t="str">
        <f aca="false">A19</f>
        <v>Outside Bi Fold Door 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.75" hidden="false" customHeight="true" outlineLevel="0" collapsed="false">
      <c r="A333" s="97"/>
      <c r="B333" s="188"/>
      <c r="C333" s="182"/>
      <c r="D333" s="98"/>
      <c r="E333" s="97"/>
      <c r="F333" s="210"/>
      <c r="G333" s="210"/>
      <c r="H333" s="110"/>
      <c r="I333" s="97"/>
      <c r="J333" s="97"/>
    </row>
    <row r="334" s="96" customFormat="true" ht="15.75" hidden="false" customHeight="true" outlineLevel="0" collapsed="false">
      <c r="A334" s="81"/>
      <c r="B334" s="97"/>
      <c r="C334" s="98"/>
      <c r="D334" s="98"/>
      <c r="E334" s="97"/>
      <c r="F334" s="78"/>
      <c r="H334" s="97"/>
      <c r="I334" s="97"/>
      <c r="J334" s="97"/>
    </row>
    <row r="335" s="96" customFormat="true" ht="15.75" hidden="false" customHeight="true" outlineLevel="0" collapsed="false">
      <c r="A335" s="191"/>
      <c r="C335" s="212"/>
      <c r="D335" s="98"/>
      <c r="E335" s="97"/>
      <c r="F335" s="97"/>
      <c r="G335" s="97"/>
      <c r="H335" s="97"/>
      <c r="I335" s="191"/>
      <c r="J335" s="199"/>
    </row>
    <row r="336" s="96" customFormat="true" ht="15.75" hidden="false" customHeight="true" outlineLevel="0" collapsed="false">
      <c r="A336" s="190"/>
      <c r="C336" s="191"/>
      <c r="D336" s="192"/>
      <c r="E336" s="191"/>
      <c r="F336" s="191"/>
      <c r="G336" s="191"/>
      <c r="H336" s="191"/>
      <c r="I336" s="189"/>
      <c r="J336" s="190"/>
    </row>
    <row r="337" s="96" customFormat="true" ht="15.75" hidden="false" customHeight="true" outlineLevel="0" collapsed="false">
      <c r="A337" s="97"/>
      <c r="C337" s="98"/>
      <c r="D337" s="194"/>
      <c r="E337" s="190"/>
      <c r="F337" s="189"/>
      <c r="G337" s="190"/>
      <c r="H337" s="189"/>
      <c r="I337" s="196"/>
      <c r="J337" s="196"/>
    </row>
    <row r="338" s="96" customFormat="true" ht="15.75" hidden="false" customHeight="true" outlineLevel="0" collapsed="false">
      <c r="A338" s="97"/>
      <c r="C338" s="98"/>
      <c r="D338" s="98"/>
      <c r="E338" s="97"/>
      <c r="F338" s="98"/>
      <c r="G338" s="97"/>
      <c r="H338" s="97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201"/>
      <c r="J339" s="201"/>
    </row>
    <row r="340" s="96" customFormat="true" ht="15.75" hidden="false" customHeight="true" outlineLevel="0" collapsed="false">
      <c r="A340" s="97"/>
      <c r="C340" s="191"/>
      <c r="D340" s="98"/>
      <c r="E340" s="97"/>
      <c r="F340" s="98"/>
      <c r="G340" s="97"/>
      <c r="H340" s="201"/>
      <c r="I340" s="98"/>
      <c r="J340" s="98"/>
    </row>
    <row r="341" s="96" customFormat="true" ht="15.75" hidden="false" customHeight="true" outlineLevel="0" collapsed="false">
      <c r="A341" s="97"/>
      <c r="C341" s="182"/>
      <c r="D341" s="98"/>
      <c r="E341" s="97"/>
      <c r="F341" s="98"/>
      <c r="G341" s="97"/>
      <c r="H341" s="98"/>
      <c r="I341" s="98"/>
      <c r="J341" s="98"/>
    </row>
    <row r="342" s="96" customFormat="true" ht="15.75" hidden="false" customHeight="true" outlineLevel="0" collapsed="false">
      <c r="A342" s="97"/>
      <c r="C342" s="98"/>
      <c r="D342" s="98"/>
      <c r="E342" s="97"/>
      <c r="F342" s="98"/>
      <c r="G342" s="97"/>
      <c r="H342" s="98"/>
      <c r="I342" s="97"/>
      <c r="J342" s="196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7"/>
      <c r="I343" s="196"/>
      <c r="J343" s="196"/>
    </row>
    <row r="344" s="96" customFormat="true" ht="15.75" hidden="false" customHeight="true" outlineLevel="0" collapsed="false">
      <c r="A344" s="97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C347" s="191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98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97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196"/>
      <c r="J350" s="196"/>
    </row>
    <row r="351" s="96" customFormat="true" ht="15.75" hidden="false" customHeight="true" outlineLevel="0" collapsed="false">
      <c r="A351" s="97"/>
      <c r="D351" s="98"/>
      <c r="E351" s="97"/>
      <c r="F351" s="97"/>
      <c r="G351" s="97"/>
      <c r="H351" s="97"/>
      <c r="I351" s="196"/>
      <c r="J351" s="196"/>
    </row>
    <row r="352" s="96" customFormat="true" ht="15" hidden="false" customHeight="true" outlineLevel="0" collapsed="false">
      <c r="A352" s="97"/>
      <c r="D352" s="98"/>
      <c r="E352" s="97"/>
      <c r="F352" s="97"/>
      <c r="G352" s="97"/>
      <c r="H352" s="195"/>
      <c r="I352" s="196"/>
      <c r="J352" s="196"/>
    </row>
    <row r="353" s="202" customFormat="true" ht="15.75" hidden="false" customHeight="true" outlineLevel="0" collapsed="false">
      <c r="A353" s="97"/>
      <c r="B353" s="96"/>
      <c r="C353" s="96"/>
      <c r="D353" s="98"/>
      <c r="E353" s="97"/>
      <c r="F353" s="97"/>
      <c r="G353" s="97"/>
      <c r="H353" s="97"/>
      <c r="I353" s="97"/>
      <c r="J353" s="97"/>
    </row>
    <row r="354" s="96" customFormat="true" ht="15.75" hidden="false" customHeight="true" outlineLevel="0" collapsed="false">
      <c r="A354" s="191"/>
      <c r="D354" s="98"/>
      <c r="E354" s="97"/>
      <c r="F354" s="97"/>
      <c r="G354" s="97"/>
      <c r="H354" s="97"/>
      <c r="I354" s="191"/>
      <c r="J354" s="199"/>
    </row>
    <row r="355" s="96" customFormat="true" ht="15.75" hidden="false" customHeight="true" outlineLevel="0" collapsed="false">
      <c r="A355" s="190"/>
      <c r="B355" s="191"/>
      <c r="C355" s="191"/>
      <c r="D355" s="192"/>
      <c r="E355" s="191"/>
      <c r="F355" s="191"/>
      <c r="G355" s="191"/>
      <c r="H355" s="191"/>
      <c r="I355" s="189"/>
      <c r="J355" s="190"/>
    </row>
    <row r="356" s="96" customFormat="true" ht="15.75" hidden="false" customHeight="true" outlineLevel="0" collapsed="false">
      <c r="A356" s="200"/>
      <c r="B356" s="190"/>
      <c r="C356" s="191"/>
      <c r="D356" s="194"/>
      <c r="E356" s="190"/>
      <c r="F356" s="189"/>
      <c r="G356" s="190"/>
      <c r="H356" s="189"/>
      <c r="I356" s="196"/>
      <c r="J356" s="196"/>
    </row>
    <row r="357" s="96" customFormat="true" ht="15.75" hidden="false" customHeight="true" outlineLevel="0" collapsed="false">
      <c r="A357" s="200"/>
      <c r="C357" s="182"/>
      <c r="D357" s="98"/>
      <c r="E357" s="97"/>
      <c r="F357" s="97"/>
      <c r="G357" s="97"/>
      <c r="H357" s="182"/>
      <c r="I357" s="98"/>
      <c r="J357" s="98"/>
    </row>
    <row r="358" s="96" customFormat="true" ht="15.75" hidden="false" customHeight="true" outlineLevel="0" collapsed="false">
      <c r="A358" s="200"/>
      <c r="C358" s="98"/>
      <c r="D358" s="98"/>
      <c r="E358" s="97"/>
      <c r="F358" s="97"/>
      <c r="G358" s="97"/>
      <c r="H358" s="98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196"/>
      <c r="J359" s="196"/>
    </row>
    <row r="360" s="96" customFormat="true" ht="15.75" hidden="false" customHeight="true" outlineLevel="0" collapsed="false">
      <c r="A360" s="200"/>
      <c r="D360" s="98"/>
      <c r="E360" s="97"/>
      <c r="F360" s="97"/>
      <c r="G360" s="97"/>
      <c r="H360" s="97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C363" s="98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G372" s="97"/>
      <c r="H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182"/>
      <c r="I375" s="98"/>
      <c r="J375" s="98"/>
    </row>
    <row r="376" s="96" customFormat="true" ht="15.75" hidden="false" customHeight="true" outlineLevel="0" collapsed="false">
      <c r="A376" s="200"/>
      <c r="C376" s="188"/>
      <c r="D376" s="98"/>
      <c r="E376" s="97"/>
      <c r="F376" s="97"/>
      <c r="G376" s="97"/>
      <c r="H376" s="98"/>
      <c r="I376" s="98"/>
      <c r="J376" s="98"/>
    </row>
    <row r="377" s="96" customFormat="true" ht="15.75" hidden="false" customHeight="true" outlineLevel="0" collapsed="false">
      <c r="A377" s="200"/>
      <c r="D377" s="98"/>
      <c r="E377" s="97"/>
      <c r="F377" s="97"/>
      <c r="G377" s="97"/>
      <c r="H377" s="98"/>
      <c r="I377" s="196"/>
      <c r="J377" s="196"/>
    </row>
    <row r="378" s="96" customFormat="true" ht="15.75" hidden="false" customHeight="true" outlineLevel="0" collapsed="false">
      <c r="A378" s="200"/>
      <c r="C378" s="98"/>
      <c r="D378" s="98"/>
      <c r="E378" s="97"/>
      <c r="F378" s="97"/>
      <c r="G378" s="97"/>
      <c r="H378" s="182"/>
      <c r="I378" s="98"/>
      <c r="J378" s="98"/>
    </row>
    <row r="379" s="96" customFormat="true" ht="15.75" hidden="false" customHeight="true" outlineLevel="0" collapsed="false">
      <c r="A379" s="200"/>
      <c r="D379" s="98"/>
      <c r="E379" s="97"/>
      <c r="F379" s="97"/>
      <c r="G379" s="97"/>
      <c r="H379" s="98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196"/>
      <c r="J380" s="196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7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97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213"/>
      <c r="J387" s="213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213"/>
      <c r="I388" s="97"/>
      <c r="J388" s="97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97"/>
      <c r="I389" s="98"/>
      <c r="J389" s="98"/>
    </row>
    <row r="390" s="96" customFormat="true" ht="15.75" hidden="false" customHeight="true" outlineLevel="0" collapsed="false">
      <c r="A390" s="200"/>
      <c r="C390" s="188"/>
      <c r="D390" s="98"/>
      <c r="E390" s="97"/>
      <c r="F390" s="97"/>
      <c r="G390" s="97"/>
      <c r="H390" s="98"/>
      <c r="I390" s="196"/>
      <c r="J390" s="196"/>
    </row>
    <row r="391" s="96" customFormat="true" ht="15.75" hidden="false" customHeight="true" outlineLevel="0" collapsed="false">
      <c r="A391" s="200"/>
      <c r="D391" s="98"/>
      <c r="E391" s="97"/>
      <c r="F391" s="97"/>
      <c r="G391" s="97"/>
      <c r="H391" s="97"/>
      <c r="I391" s="97"/>
      <c r="J391" s="196"/>
    </row>
    <row r="392" s="96" customFormat="true" ht="15.75" hidden="false" customHeight="true" outlineLevel="0" collapsed="false">
      <c r="A392" s="200"/>
      <c r="C392" s="98"/>
      <c r="D392" s="98"/>
      <c r="E392" s="97"/>
      <c r="F392" s="97"/>
      <c r="G392" s="97"/>
      <c r="H392" s="97"/>
      <c r="I392" s="196"/>
      <c r="J392" s="196"/>
    </row>
    <row r="393" s="96" customFormat="true" ht="15.75" hidden="false" customHeight="true" outlineLevel="0" collapsed="false">
      <c r="A393" s="200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107"/>
      <c r="D395" s="98"/>
      <c r="E395" s="97"/>
      <c r="F395" s="97"/>
      <c r="G395" s="97"/>
      <c r="H395" s="97"/>
      <c r="I395" s="97"/>
      <c r="J395" s="97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202" customFormat="true" ht="15.75" hidden="false" customHeight="true" outlineLevel="0" collapsed="false">
      <c r="A403" s="107"/>
      <c r="B403" s="96"/>
      <c r="C403" s="96"/>
      <c r="D403" s="98"/>
      <c r="E403" s="97"/>
      <c r="F403" s="97"/>
      <c r="G403" s="97"/>
      <c r="H403" s="97"/>
      <c r="I403" s="97"/>
      <c r="J403" s="97"/>
    </row>
    <row r="404" s="96" customFormat="true" ht="15.75" hidden="false" customHeight="true" outlineLevel="0" collapsed="false">
      <c r="A404" s="191"/>
      <c r="D404" s="98"/>
      <c r="E404" s="97"/>
      <c r="F404" s="97"/>
      <c r="G404" s="97"/>
      <c r="H404" s="97"/>
      <c r="I404" s="191"/>
      <c r="J404" s="199"/>
    </row>
    <row r="405" s="96" customFormat="true" ht="15.75" hidden="false" customHeight="true" outlineLevel="0" collapsed="false">
      <c r="A405" s="191"/>
      <c r="B405" s="191"/>
      <c r="C405" s="191"/>
      <c r="D405" s="192"/>
      <c r="E405" s="191"/>
      <c r="F405" s="191"/>
      <c r="G405" s="191"/>
      <c r="H405" s="191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97"/>
      <c r="B418" s="191"/>
      <c r="C418" s="191"/>
      <c r="D418" s="192"/>
      <c r="E418" s="191"/>
      <c r="F418" s="191"/>
      <c r="G418" s="191"/>
      <c r="H418" s="191"/>
      <c r="I418" s="196"/>
      <c r="J418" s="196"/>
      <c r="K418" s="214"/>
    </row>
    <row r="419" s="96" customFormat="true" ht="15.75" hidden="false" customHeight="true" outlineLevel="0" collapsed="false">
      <c r="A419" s="97"/>
      <c r="D419" s="98"/>
      <c r="E419" s="97"/>
      <c r="F419" s="97"/>
      <c r="G419" s="97"/>
      <c r="H419" s="97"/>
      <c r="I419" s="196"/>
    </row>
    <row r="420" customFormat="false" ht="18" hidden="false" customHeight="true" outlineLevel="0" collapsed="false">
      <c r="A420" s="97"/>
      <c r="B420" s="96"/>
      <c r="C420" s="96"/>
      <c r="D420" s="98"/>
      <c r="E420" s="97"/>
      <c r="F420" s="97"/>
      <c r="G420" s="97"/>
      <c r="H420" s="97"/>
      <c r="I420" s="97"/>
      <c r="J420" s="92" t="str">
        <f aca="false">LEFT($J$111,14)&amp;"-04"</f>
        <v>FG-240-11P5L6R-04</v>
      </c>
      <c r="K420" s="78"/>
      <c r="L420" s="78"/>
      <c r="M420" s="79"/>
      <c r="N420" s="79"/>
    </row>
    <row r="421" customFormat="false" ht="12.75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215"/>
      <c r="K421" s="78"/>
      <c r="L421" s="78"/>
      <c r="M421" s="79"/>
      <c r="N421" s="79"/>
    </row>
    <row r="422" customFormat="false" ht="30" hidden="false" customHeight="true" outlineLevel="0" collapsed="false">
      <c r="B422" s="96"/>
      <c r="C422" s="96"/>
      <c r="D422" s="98"/>
      <c r="E422" s="97"/>
      <c r="F422" s="97"/>
      <c r="G422" s="97"/>
      <c r="H422" s="97"/>
      <c r="I422" s="76"/>
      <c r="J422" s="77" t="str">
        <f aca="false">J2</f>
        <v>HOMELIFE</v>
      </c>
      <c r="K422" s="83"/>
      <c r="L422" s="83"/>
      <c r="M422" s="79"/>
      <c r="N422" s="79"/>
    </row>
    <row r="423" customFormat="false" ht="24.75" hidden="false" customHeight="true" outlineLevel="0" collapsed="false">
      <c r="C423" s="75"/>
      <c r="D423" s="76"/>
      <c r="E423" s="76"/>
      <c r="F423" s="76"/>
      <c r="G423" s="76"/>
      <c r="H423" s="76"/>
      <c r="I423" s="82"/>
      <c r="J423" s="80" t="str">
        <f aca="false">J3</f>
        <v>Fabricators Guide</v>
      </c>
      <c r="K423" s="83"/>
      <c r="L423" s="83"/>
      <c r="M423" s="79"/>
      <c r="N423" s="79"/>
    </row>
    <row r="424" customFormat="false" ht="24.75" hidden="false" customHeight="true" outlineLevel="0" collapsed="false">
      <c r="C424" s="82"/>
      <c r="D424" s="82"/>
      <c r="E424" s="82"/>
      <c r="F424" s="82"/>
      <c r="G424" s="82"/>
      <c r="H424" s="82"/>
      <c r="I424" s="82"/>
      <c r="J424" s="80" t="str">
        <f aca="false">J4</f>
        <v>240 Series Bi Fold Door </v>
      </c>
      <c r="M424" s="87"/>
      <c r="N424" s="87"/>
    </row>
    <row r="425" s="96" customFormat="true" ht="15" hidden="false" customHeight="true" outlineLevel="0" collapsed="false">
      <c r="A425" s="84"/>
      <c r="B425" s="81"/>
      <c r="C425" s="82"/>
      <c r="D425" s="82"/>
      <c r="E425" s="82"/>
      <c r="F425" s="82"/>
      <c r="G425" s="82"/>
      <c r="H425" s="82"/>
      <c r="I425" s="84"/>
      <c r="J425" s="86"/>
      <c r="K425" s="87"/>
      <c r="L425" s="87"/>
      <c r="M425" s="87"/>
      <c r="N425" s="87"/>
    </row>
    <row r="426" s="96" customFormat="true" ht="24.75" hidden="false" customHeight="true" outlineLevel="0" collapsed="false">
      <c r="A426" s="88" t="s">
        <v>481</v>
      </c>
      <c r="B426" s="88"/>
      <c r="C426" s="88"/>
      <c r="D426" s="88"/>
      <c r="E426" s="88"/>
      <c r="F426" s="88"/>
      <c r="G426" s="88"/>
      <c r="H426" s="88"/>
      <c r="I426" s="88"/>
      <c r="J426" s="88"/>
      <c r="K426" s="87"/>
      <c r="L426" s="87"/>
      <c r="M426" s="87"/>
      <c r="N426" s="87"/>
    </row>
    <row r="427" s="96" customFormat="true" ht="15" hidden="false" customHeight="true" outlineLevel="0" collapsed="false">
      <c r="B427" s="268"/>
      <c r="C427" s="268"/>
      <c r="D427" s="268"/>
      <c r="E427" s="268"/>
      <c r="F427" s="268"/>
      <c r="G427" s="268"/>
      <c r="H427" s="268"/>
    </row>
    <row r="428" s="96" customFormat="true" ht="15" hidden="false" customHeight="true" outlineLevel="0" collapsed="false">
      <c r="A428" s="188"/>
      <c r="I428" s="191"/>
      <c r="J428" s="199"/>
    </row>
    <row r="429" s="96" customFormat="true" ht="15" hidden="false" customHeight="true" outlineLevel="0" collapsed="false">
      <c r="A429" s="97"/>
      <c r="B429" s="81"/>
      <c r="D429" s="98"/>
      <c r="E429" s="83"/>
      <c r="F429" s="81"/>
      <c r="H429" s="191"/>
      <c r="I429" s="191"/>
      <c r="J429" s="199"/>
    </row>
    <row r="430" s="96" customFormat="true" ht="15" hidden="false" customHeight="true" outlineLevel="0" collapsed="false">
      <c r="A430" s="97"/>
      <c r="D430" s="98"/>
      <c r="E430" s="83"/>
      <c r="F430" s="98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C432" s="98"/>
      <c r="D432" s="98"/>
      <c r="E432" s="97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83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81"/>
      <c r="C435" s="182"/>
      <c r="D435" s="98"/>
      <c r="E435" s="97"/>
      <c r="F435" s="216"/>
      <c r="H435" s="191"/>
      <c r="I435" s="191"/>
      <c r="J435" s="199"/>
    </row>
    <row r="436" s="96" customFormat="true" ht="15" hidden="false" customHeight="true" outlineLevel="0" collapsed="false">
      <c r="A436" s="99"/>
      <c r="B436" s="81"/>
      <c r="C436" s="98"/>
      <c r="D436" s="98"/>
      <c r="E436" s="97"/>
      <c r="F436" s="186"/>
      <c r="H436" s="191"/>
      <c r="I436" s="191"/>
      <c r="J436" s="199"/>
    </row>
    <row r="437" s="96" customFormat="true" ht="15" hidden="false" customHeight="true" outlineLevel="0" collapsed="false">
      <c r="B437" s="99"/>
      <c r="C437" s="98"/>
      <c r="D437" s="98"/>
      <c r="E437" s="97"/>
      <c r="F437" s="110"/>
      <c r="H437" s="191"/>
      <c r="I437" s="191"/>
      <c r="J437" s="199"/>
    </row>
    <row r="438" s="96" customFormat="true" ht="15" hidden="false" customHeight="true" outlineLevel="0" collapsed="false">
      <c r="A438" s="211" t="str">
        <f aca="false">A18</f>
        <v>240-11 Panel (5L6R)</v>
      </c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.75" hidden="false" customHeight="true" outlineLevel="0" collapsed="false">
      <c r="A439" s="90" t="str">
        <f aca="false">A19</f>
        <v>Outside Bi Fold Door </v>
      </c>
      <c r="C439" s="182"/>
      <c r="D439" s="98"/>
      <c r="E439" s="97"/>
      <c r="F439" s="186"/>
      <c r="H439" s="191"/>
      <c r="I439" s="191"/>
      <c r="J439" s="199"/>
    </row>
    <row r="440" s="96" customFormat="true" ht="15.75" hidden="false" customHeight="true" outlineLevel="0" collapsed="false">
      <c r="A440" s="81"/>
      <c r="C440" s="98"/>
      <c r="D440" s="98"/>
      <c r="E440" s="97"/>
      <c r="F440" s="78"/>
      <c r="H440" s="191"/>
      <c r="I440" s="191"/>
      <c r="J440" s="199"/>
    </row>
    <row r="441" s="96" customFormat="true" ht="15.75" hidden="false" customHeight="true" outlineLevel="0" collapsed="false">
      <c r="A441" s="191"/>
      <c r="C441" s="212"/>
      <c r="D441" s="98"/>
      <c r="E441" s="97"/>
      <c r="F441" s="97"/>
      <c r="H441" s="191"/>
      <c r="I441" s="191"/>
      <c r="J441" s="199"/>
    </row>
    <row r="442" s="96" customFormat="true" ht="15.75" hidden="false" customHeight="true" outlineLevel="0" collapsed="false">
      <c r="A442" s="190"/>
      <c r="C442" s="191"/>
      <c r="D442" s="192"/>
      <c r="E442" s="191"/>
      <c r="F442" s="191"/>
      <c r="H442" s="191"/>
      <c r="I442" s="191"/>
      <c r="J442" s="199"/>
    </row>
    <row r="443" s="96" customFormat="true" ht="34.5" hidden="false" customHeight="true" outlineLevel="0" collapsed="false">
      <c r="A443" s="97"/>
      <c r="C443" s="98"/>
      <c r="D443" s="194"/>
      <c r="E443" s="190"/>
      <c r="F443" s="189"/>
      <c r="H443" s="191"/>
      <c r="I443" s="196"/>
      <c r="J443" s="196"/>
    </row>
    <row r="444" customFormat="false" ht="15" hidden="false" customHeight="true" outlineLevel="0" collapsed="false">
      <c r="B444" s="211"/>
      <c r="C444" s="98"/>
      <c r="D444" s="98"/>
      <c r="E444" s="97"/>
      <c r="F444" s="98"/>
      <c r="G444" s="97"/>
      <c r="H444" s="97"/>
    </row>
    <row r="449" s="96" customFormat="true" ht="15.75" hidden="false" customHeight="true" outlineLevel="0" collapsed="false">
      <c r="A449" s="97"/>
      <c r="D449" s="73"/>
      <c r="I449" s="196"/>
      <c r="J449" s="196"/>
    </row>
    <row r="450" s="96" customFormat="true" ht="15.75" hidden="false" customHeight="true" outlineLevel="0" collapsed="false">
      <c r="A450" s="97"/>
      <c r="D450" s="98"/>
      <c r="E450" s="97"/>
      <c r="F450" s="98"/>
      <c r="G450" s="97"/>
      <c r="H450" s="97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C453" s="191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98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97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196"/>
      <c r="J456" s="196"/>
    </row>
    <row r="457" s="96" customFormat="true" ht="15.75" hidden="false" customHeight="true" outlineLevel="0" collapsed="false">
      <c r="A457" s="97"/>
      <c r="D457" s="98"/>
      <c r="E457" s="97"/>
      <c r="F457" s="97"/>
      <c r="G457" s="97"/>
      <c r="H457" s="97"/>
      <c r="I457" s="196"/>
      <c r="J457" s="196"/>
    </row>
    <row r="458" s="96" customFormat="true" ht="15" hidden="false" customHeight="true" outlineLevel="0" collapsed="false">
      <c r="A458" s="97"/>
      <c r="D458" s="98"/>
      <c r="E458" s="97"/>
      <c r="F458" s="97"/>
      <c r="G458" s="97"/>
      <c r="H458" s="195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97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202" customFormat="true" ht="15.75" hidden="false" customHeight="true" outlineLevel="0" collapsed="false">
      <c r="A476" s="97"/>
      <c r="B476" s="96"/>
      <c r="C476" s="96"/>
      <c r="D476" s="98"/>
      <c r="E476" s="97"/>
      <c r="F476" s="97"/>
      <c r="G476" s="97"/>
      <c r="H476" s="97"/>
      <c r="I476" s="97"/>
      <c r="J476" s="97"/>
    </row>
    <row r="477" s="96" customFormat="true" ht="15.75" hidden="false" customHeight="true" outlineLevel="0" collapsed="false">
      <c r="A477" s="191"/>
      <c r="D477" s="98"/>
      <c r="E477" s="97"/>
      <c r="F477" s="97"/>
      <c r="G477" s="97"/>
      <c r="H477" s="97"/>
      <c r="I477" s="191"/>
      <c r="J477" s="199"/>
    </row>
    <row r="478" s="96" customFormat="true" ht="15.75" hidden="false" customHeight="true" outlineLevel="0" collapsed="false">
      <c r="A478" s="190"/>
      <c r="B478" s="191"/>
      <c r="C478" s="191"/>
      <c r="D478" s="192"/>
      <c r="E478" s="191"/>
      <c r="F478" s="191"/>
      <c r="G478" s="191"/>
      <c r="H478" s="191"/>
      <c r="I478" s="189"/>
      <c r="J478" s="190"/>
    </row>
    <row r="479" s="96" customFormat="true" ht="15.75" hidden="false" customHeight="true" outlineLevel="0" collapsed="false">
      <c r="A479" s="200"/>
      <c r="B479" s="190"/>
      <c r="C479" s="191"/>
      <c r="D479" s="194"/>
      <c r="E479" s="190"/>
      <c r="F479" s="189"/>
      <c r="G479" s="190"/>
      <c r="H479" s="189"/>
      <c r="I479" s="196"/>
      <c r="J479" s="196"/>
    </row>
    <row r="480" s="96" customFormat="true" ht="15.75" hidden="false" customHeight="true" outlineLevel="0" collapsed="false">
      <c r="A480" s="200"/>
      <c r="C480" s="182"/>
      <c r="D480" s="98"/>
      <c r="E480" s="97"/>
      <c r="F480" s="97"/>
      <c r="G480" s="97"/>
      <c r="H480" s="182"/>
      <c r="J480" s="97"/>
    </row>
    <row r="481" s="96" customFormat="true" ht="15.75" hidden="false" customHeight="true" outlineLevel="0" collapsed="false">
      <c r="A481" s="200"/>
      <c r="C481" s="98"/>
      <c r="D481" s="98"/>
      <c r="E481" s="97"/>
      <c r="F481" s="97"/>
      <c r="G481" s="97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I482" s="196"/>
      <c r="J482" s="196"/>
    </row>
    <row r="483" s="96" customFormat="true" ht="15.75" hidden="false" customHeight="true" outlineLevel="0" collapsed="false">
      <c r="A483" s="200"/>
      <c r="D483" s="98"/>
      <c r="E483" s="97"/>
      <c r="F483" s="97"/>
      <c r="G483" s="97"/>
      <c r="H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C486" s="98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G495" s="97"/>
      <c r="H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182"/>
      <c r="J498" s="97"/>
    </row>
    <row r="499" s="96" customFormat="true" ht="15.75" hidden="false" customHeight="true" outlineLevel="0" collapsed="false">
      <c r="A499" s="200"/>
      <c r="C499" s="188"/>
      <c r="D499" s="98"/>
      <c r="E499" s="97"/>
      <c r="F499" s="97"/>
      <c r="G499" s="97"/>
      <c r="J499" s="97"/>
    </row>
    <row r="500" s="96" customFormat="true" ht="15.75" hidden="false" customHeight="true" outlineLevel="0" collapsed="false">
      <c r="A500" s="200"/>
      <c r="D500" s="98"/>
      <c r="E500" s="97"/>
      <c r="F500" s="97"/>
      <c r="G500" s="97"/>
      <c r="I500" s="196"/>
      <c r="J500" s="196"/>
    </row>
    <row r="501" s="96" customFormat="true" ht="15.75" hidden="false" customHeight="true" outlineLevel="0" collapsed="false">
      <c r="A501" s="200"/>
      <c r="C501" s="98"/>
      <c r="D501" s="98"/>
      <c r="E501" s="97"/>
      <c r="F501" s="97"/>
      <c r="G501" s="97"/>
      <c r="H501" s="182"/>
      <c r="J501" s="97"/>
    </row>
    <row r="502" s="96" customFormat="true" ht="15.75" hidden="false" customHeight="true" outlineLevel="0" collapsed="false">
      <c r="A502" s="200"/>
      <c r="D502" s="98"/>
      <c r="E502" s="97"/>
      <c r="F502" s="97"/>
      <c r="G502" s="97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I503" s="196"/>
      <c r="J503" s="196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H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97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191"/>
      <c r="D512" s="98"/>
      <c r="E512" s="97"/>
      <c r="F512" s="97"/>
      <c r="G512" s="97"/>
      <c r="I512" s="191"/>
      <c r="J512" s="199"/>
    </row>
    <row r="513" s="96" customFormat="true" ht="15.75" hidden="false" customHeight="true" outlineLevel="0" collapsed="false">
      <c r="A513" s="191"/>
      <c r="B513" s="191"/>
      <c r="C513" s="191"/>
      <c r="D513" s="192"/>
      <c r="E513" s="191"/>
      <c r="F513" s="191"/>
      <c r="G513" s="191"/>
      <c r="H513" s="191"/>
      <c r="I513" s="191"/>
      <c r="J513" s="199"/>
    </row>
    <row r="514" s="96" customFormat="true" ht="15.75" hidden="false" customHeight="true" outlineLevel="0" collapsed="false">
      <c r="A514" s="191"/>
      <c r="B514" s="191"/>
      <c r="C514" s="191"/>
      <c r="D514" s="192"/>
      <c r="E514" s="191"/>
      <c r="F514" s="191"/>
      <c r="G514" s="191"/>
      <c r="H514" s="191"/>
      <c r="I514" s="191"/>
      <c r="J514" s="199"/>
    </row>
    <row r="515" s="96" customFormat="true" ht="15.75" hidden="false" customHeight="true" outlineLevel="0" collapsed="false">
      <c r="B515" s="191"/>
      <c r="C515" s="191"/>
      <c r="D515" s="192"/>
      <c r="E515" s="191"/>
      <c r="F515" s="191"/>
      <c r="G515" s="191"/>
      <c r="H515" s="191"/>
    </row>
    <row r="516" s="96" customFormat="true" ht="15.75" hidden="false" customHeight="true" outlineLevel="0" collapsed="false"/>
    <row r="517" s="96" customFormat="true" ht="24.75" hidden="false" customHeight="true" outlineLevel="0" collapsed="false">
      <c r="A517" s="88" t="s">
        <v>482</v>
      </c>
      <c r="B517" s="88"/>
      <c r="C517" s="88"/>
      <c r="D517" s="88"/>
      <c r="E517" s="88"/>
      <c r="F517" s="88"/>
      <c r="G517" s="88"/>
      <c r="H517" s="88"/>
      <c r="I517" s="88"/>
      <c r="J517" s="88"/>
    </row>
    <row r="518" s="96" customFormat="true" ht="34.5" hidden="false" customHeight="true" outlineLevel="0" collapsed="false">
      <c r="A518" s="322" t="s">
        <v>319</v>
      </c>
      <c r="B518" s="323" t="s">
        <v>168</v>
      </c>
      <c r="C518" s="115" t="s">
        <v>168</v>
      </c>
      <c r="D518" s="116" t="s">
        <v>483</v>
      </c>
      <c r="E518" s="115" t="s">
        <v>321</v>
      </c>
      <c r="F518" s="239" t="s">
        <v>484</v>
      </c>
      <c r="G518" s="240"/>
      <c r="H518" s="116" t="s">
        <v>484</v>
      </c>
      <c r="I518" s="116" t="s">
        <v>485</v>
      </c>
      <c r="J518" s="117" t="s">
        <v>323</v>
      </c>
      <c r="N518" s="118" t="s">
        <v>168</v>
      </c>
      <c r="O518" s="118" t="s">
        <v>168</v>
      </c>
    </row>
    <row r="519" s="96" customFormat="true" ht="15.75" hidden="false" customHeight="true" outlineLevel="0" collapsed="false">
      <c r="A519" s="324" t="n">
        <f aca="false">IF(C519="","",1)</f>
        <v>1</v>
      </c>
      <c r="B519" s="121" t="str">
        <f aca="false">IF($D$127=5,N519,IF($D$127=6,N520,IF($D$127=8,N521,IF($D$127=10,N522,IF($D$127=12,N523,IF($D$127=14,N524,IF($D$127=18,N525,IF($D$127=20,N526,IF($D$127=22,N527,)))))))))</f>
        <v>กระจก 5 mm (สูง) (กว้าง)</v>
      </c>
      <c r="C519" s="121" t="str">
        <f aca="false">IF($D$127=5,O519,IF($D$127=6,O520,IF($D$127=8,O521,IF($D$127=10,O522,IF($D$127=12,O523,IF($D$127=14,O524,IF($D$127=18,O525,IF($D$127=20,O526,IF($D$127=22,O527,)))))))))</f>
        <v>GLASS thk.5 mm (H) (W)</v>
      </c>
      <c r="D519" s="123" t="n">
        <f aca="false">$J$123-215</f>
        <v>2285</v>
      </c>
      <c r="E519" s="120" t="s">
        <v>486</v>
      </c>
      <c r="F519" s="224" t="s">
        <v>487</v>
      </c>
      <c r="G519" s="224"/>
      <c r="H519" s="120" t="s">
        <v>796</v>
      </c>
      <c r="I519" s="225" t="n">
        <f aca="false">(($J$126-185-(113.25*10))/11)-13</f>
        <v>49.0454545454546</v>
      </c>
      <c r="J519" s="232" t="n">
        <f aca="false">$J$120*11</f>
        <v>11</v>
      </c>
      <c r="N519" s="62" t="s">
        <v>489</v>
      </c>
      <c r="O519" s="62" t="s">
        <v>490</v>
      </c>
    </row>
    <row r="520" s="96" customFormat="true" ht="15.75" hidden="false" customHeight="true" outlineLevel="0" collapsed="false">
      <c r="A520" s="227"/>
      <c r="B520" s="131"/>
      <c r="C520" s="131"/>
      <c r="D520" s="132" t="s">
        <v>208</v>
      </c>
      <c r="E520" s="130"/>
      <c r="F520" s="233"/>
      <c r="G520" s="234"/>
      <c r="H520" s="131"/>
      <c r="I520" s="133"/>
      <c r="J520" s="235"/>
      <c r="N520" s="62" t="s">
        <v>491</v>
      </c>
      <c r="O520" s="62" t="s">
        <v>492</v>
      </c>
    </row>
    <row r="521" s="96" customFormat="true" ht="15.75" hidden="false" customHeight="true" outlineLevel="0" collapsed="false">
      <c r="A521" s="227"/>
      <c r="B521" s="131"/>
      <c r="C521" s="131"/>
      <c r="D521" s="132"/>
      <c r="E521" s="130"/>
      <c r="F521" s="233"/>
      <c r="G521" s="234"/>
      <c r="H521" s="130"/>
      <c r="I521" s="133"/>
      <c r="J521" s="235"/>
      <c r="N521" s="62" t="s">
        <v>493</v>
      </c>
      <c r="O521" s="62" t="s">
        <v>494</v>
      </c>
    </row>
    <row r="522" s="96" customFormat="true" ht="15.75" hidden="false" customHeight="true" outlineLevel="0" collapsed="false">
      <c r="A522" s="130" t="str">
        <f aca="false">IF(B522="","",+A520+1)</f>
        <v/>
      </c>
      <c r="B522" s="131"/>
      <c r="C522" s="131"/>
      <c r="D522" s="132"/>
      <c r="E522" s="130"/>
      <c r="F522" s="233"/>
      <c r="G522" s="270"/>
      <c r="H522" s="130"/>
      <c r="I522" s="142"/>
      <c r="J522" s="133"/>
      <c r="N522" s="62" t="s">
        <v>495</v>
      </c>
      <c r="O522" s="62" t="s">
        <v>496</v>
      </c>
    </row>
    <row r="523" s="96" customFormat="true" ht="15.75" hidden="false" customHeight="true" outlineLevel="0" collapsed="false">
      <c r="A523" s="136" t="str">
        <f aca="false">IF(B523="","",+A522+1)</f>
        <v/>
      </c>
      <c r="B523" s="135"/>
      <c r="C523" s="135"/>
      <c r="D523" s="139"/>
      <c r="E523" s="136"/>
      <c r="F523" s="236"/>
      <c r="G523" s="237"/>
      <c r="H523" s="136"/>
      <c r="I523" s="180"/>
      <c r="J523" s="140"/>
      <c r="N523" s="62" t="s">
        <v>497</v>
      </c>
      <c r="O523" s="62" t="s">
        <v>498</v>
      </c>
    </row>
    <row r="524" s="96" customFormat="true" ht="15.75" hidden="false" customHeight="true" outlineLevel="0" collapsed="false">
      <c r="A524" s="97"/>
      <c r="D524" s="98"/>
      <c r="E524" s="97"/>
      <c r="F524" s="97"/>
      <c r="G524" s="97"/>
      <c r="H524" s="97"/>
      <c r="I524" s="97"/>
      <c r="J524" s="196"/>
      <c r="N524" s="62" t="s">
        <v>499</v>
      </c>
      <c r="O524" s="62" t="s">
        <v>500</v>
      </c>
    </row>
    <row r="525" customFormat="false" ht="14.25" hidden="false" customHeight="false" outlineLevel="0" collapsed="false">
      <c r="J525" s="92" t="str">
        <f aca="false">LEFT($J$111,14)&amp;"-05"</f>
        <v>FG-240-11P5L6R-05</v>
      </c>
      <c r="M525" s="96"/>
      <c r="N525" s="62" t="s">
        <v>501</v>
      </c>
      <c r="O525" s="62" t="s">
        <v>502</v>
      </c>
      <c r="P525" s="96"/>
      <c r="Q525" s="96"/>
      <c r="R525" s="96"/>
      <c r="S525" s="96"/>
      <c r="T525" s="96"/>
      <c r="U525" s="96"/>
      <c r="V525" s="96"/>
      <c r="W525" s="96"/>
    </row>
    <row r="526" customFormat="false" ht="14.25" hidden="false" customHeight="false" outlineLevel="0" collapsed="false">
      <c r="M526" s="96"/>
      <c r="N526" s="62" t="s">
        <v>503</v>
      </c>
      <c r="O526" s="62" t="s">
        <v>504</v>
      </c>
      <c r="P526" s="96"/>
      <c r="Q526" s="96"/>
      <c r="R526" s="96"/>
      <c r="S526" s="96"/>
      <c r="T526" s="96"/>
      <c r="U526" s="96"/>
      <c r="V526" s="96"/>
      <c r="W526" s="96"/>
    </row>
    <row r="527" customFormat="false" ht="14.25" hidden="false" customHeight="false" outlineLevel="0" collapsed="false">
      <c r="N527" s="62" t="s">
        <v>505</v>
      </c>
      <c r="O527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2:J152"/>
    <mergeCell ref="I153:J153"/>
    <mergeCell ref="I154:J154"/>
    <mergeCell ref="I155:J155"/>
    <mergeCell ref="I156:J156"/>
    <mergeCell ref="D157:D158"/>
    <mergeCell ref="H157:H158"/>
    <mergeCell ref="I157:J158"/>
    <mergeCell ref="D159:D160"/>
    <mergeCell ref="H159:H160"/>
    <mergeCell ref="I159:J159"/>
    <mergeCell ref="I160:J163"/>
    <mergeCell ref="D161:D166"/>
    <mergeCell ref="H161:H166"/>
    <mergeCell ref="I164:J165"/>
    <mergeCell ref="I166:J166"/>
    <mergeCell ref="D167:D168"/>
    <mergeCell ref="H167:H168"/>
    <mergeCell ref="D169:D170"/>
    <mergeCell ref="H169:H170"/>
    <mergeCell ref="A171:J171"/>
    <mergeCell ref="A212:J212"/>
    <mergeCell ref="C307:E307"/>
    <mergeCell ref="A319:J319"/>
    <mergeCell ref="F329:G329"/>
    <mergeCell ref="F330:G330"/>
    <mergeCell ref="F333:G333"/>
    <mergeCell ref="A426:J426"/>
    <mergeCell ref="A517:J517"/>
    <mergeCell ref="F519:G519"/>
  </mergeCells>
  <dataValidations count="4">
    <dataValidation allowBlank="true" errorStyle="stop" operator="between" showDropDown="false" showErrorMessage="true" showInputMessage="true" sqref="C205" type="list">
      <formula1>$O$173:$O$191</formula1>
      <formula2>0</formula2>
    </dataValidation>
    <dataValidation allowBlank="true" errorStyle="stop" operator="between" showDropDown="false" showErrorMessage="true" showInputMessage="true" sqref="D123:G123" type="list">
      <formula1>$P$118:$P$127</formula1>
      <formula2>0</formula2>
    </dataValidation>
    <dataValidation allowBlank="true" errorStyle="stop" operator="between" showDropDown="false" showErrorMessage="true" showInputMessage="true" sqref="D127:G127" type="list">
      <formula1>$N$119:$N$127</formula1>
      <formula2>0</formula2>
    </dataValidation>
    <dataValidation allowBlank="true" errorStyle="stop" operator="between" showDropDown="false" showErrorMessage="true" showInputMessage="true" sqref="D129:G129" type="list">
      <formula1>$O$119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6" man="true" max="16383" min="0"/>
    <brk id="313" man="true" max="16383" min="0"/>
    <brk id="420" man="true" max="16383" min="0"/>
  </rowBreaks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528"/>
  <sheetViews>
    <sheetView showFormulas="false" showGridLines="false" showRowColHeaders="true" showZeros="true" rightToLeft="false" tabSelected="false" showOutlineSymbols="true" defaultGridColor="true" view="pageBreakPreview" topLeftCell="A114" colorId="64" zoomScale="75" zoomScaleNormal="75" zoomScalePageLayoutView="75" workbookViewId="0">
      <selection pane="topLeft" activeCell="H119" activeCellId="0" sqref="H119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55.67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9"/>
    <col collapsed="false" customWidth="true" hidden="false" outlineLevel="0" max="9" min="9" style="0" width="15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2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797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>
      <c r="G55" s="91"/>
    </row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798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8" hidden="false" customHeight="true" outlineLevel="0" collapsed="false">
      <c r="A118" s="97"/>
      <c r="C118" s="81"/>
      <c r="D118" s="98"/>
      <c r="E118" s="83"/>
      <c r="J118" s="99"/>
      <c r="K118" s="83"/>
      <c r="N118" s="258" t="s">
        <v>288</v>
      </c>
      <c r="O118" s="97" t="s">
        <v>289</v>
      </c>
      <c r="P118" s="102" t="s">
        <v>290</v>
      </c>
    </row>
    <row r="119" s="96" customFormat="true" ht="15" hidden="false" customHeight="true" outlineLevel="0" collapsed="false">
      <c r="A119" s="97"/>
      <c r="C119" s="100" t="s">
        <v>286</v>
      </c>
      <c r="D119" s="101"/>
      <c r="E119" s="101"/>
      <c r="F119" s="101"/>
      <c r="G119" s="101"/>
      <c r="I119" s="83"/>
      <c r="J119" s="97"/>
      <c r="N119" s="259" t="n">
        <v>5</v>
      </c>
      <c r="O119" s="97" t="s">
        <v>509</v>
      </c>
      <c r="P119" s="106" t="s">
        <v>294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6</v>
      </c>
      <c r="O120" s="97" t="s">
        <v>296</v>
      </c>
      <c r="P120" s="106" t="s">
        <v>297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8</v>
      </c>
      <c r="P121" s="106" t="s">
        <v>299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10</v>
      </c>
      <c r="P122" s="106" t="s">
        <v>303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2500</v>
      </c>
      <c r="N123" s="259" t="n">
        <v>12</v>
      </c>
      <c r="P123" s="106" t="s">
        <v>305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14</v>
      </c>
      <c r="P124" s="106" t="s">
        <v>308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18</v>
      </c>
      <c r="P125" s="106" t="s">
        <v>311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2000</v>
      </c>
      <c r="K126" s="110"/>
      <c r="L126" s="110"/>
      <c r="N126" s="259" t="n">
        <v>20</v>
      </c>
      <c r="P126" s="106" t="s">
        <v>313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5</v>
      </c>
      <c r="E127" s="111"/>
      <c r="F127" s="111"/>
      <c r="G127" s="111"/>
      <c r="H127" s="104"/>
      <c r="I127" s="104"/>
      <c r="J127" s="105"/>
      <c r="N127" s="259" t="n">
        <v>22</v>
      </c>
      <c r="P127" s="106" t="s">
        <v>315</v>
      </c>
    </row>
    <row r="128" s="96" customFormat="true" ht="18.75" hidden="false" customHeight="true" outlineLevel="0" collapsed="false">
      <c r="C128" s="108" t="s">
        <v>314</v>
      </c>
      <c r="I128" s="97"/>
      <c r="J128" s="97"/>
    </row>
    <row r="129" s="96" customFormat="true" ht="15" hidden="false" customHeight="true" outlineLevel="0" collapsed="false">
      <c r="A129" s="89" t="str">
        <f aca="false">A18</f>
        <v>240-11 Panel (6L5R)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1940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22</v>
      </c>
      <c r="U133" s="127" t="s">
        <v>791</v>
      </c>
      <c r="V133" s="247" t="n">
        <f aca="false">($J$126-185-(113.25*10))/11</f>
        <v>62.0454545454546</v>
      </c>
      <c r="W133" s="129" t="n">
        <f aca="false">$J$120*T133</f>
        <v>22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1914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22</v>
      </c>
      <c r="U134" s="130" t="s">
        <v>791</v>
      </c>
      <c r="V134" s="141" t="n">
        <f aca="false">($J$126-185-(113.25*10))/11</f>
        <v>62.0454545454546</v>
      </c>
      <c r="W134" s="134" t="n">
        <f aca="false">$J$120*T134</f>
        <v>22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1940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22</v>
      </c>
      <c r="U135" s="136" t="s">
        <v>791</v>
      </c>
      <c r="V135" s="254" t="n">
        <f aca="false">($J$126-185-(113.25*10))/11</f>
        <v>62.0454545454546</v>
      </c>
      <c r="W135" s="137" t="n">
        <f aca="false">$J$120*T135</f>
        <v>22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1940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22</v>
      </c>
      <c r="U136" s="127" t="s">
        <v>360</v>
      </c>
      <c r="V136" s="138" t="n">
        <f aca="false">$J$123-242</f>
        <v>2258</v>
      </c>
      <c r="W136" s="129" t="n">
        <f aca="false">$J$120*T136</f>
        <v>22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2500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22</v>
      </c>
      <c r="U137" s="130" t="s">
        <v>360</v>
      </c>
      <c r="V137" s="133" t="n">
        <f aca="false">$J$123-242</f>
        <v>2258</v>
      </c>
      <c r="W137" s="134" t="n">
        <f aca="false">$J$120*T137</f>
        <v>22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2500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22</v>
      </c>
      <c r="U138" s="136" t="s">
        <v>360</v>
      </c>
      <c r="V138" s="140" t="n">
        <f aca="false">$J$123-242</f>
        <v>2258</v>
      </c>
      <c r="W138" s="137" t="n">
        <f aca="false">$J$120*T138</f>
        <v>22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2404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2404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11</v>
      </c>
      <c r="H141" s="321" t="s">
        <v>792</v>
      </c>
      <c r="I141" s="141" t="n">
        <f aca="false">($J$126-60-(11+1)*4)/11</f>
        <v>172</v>
      </c>
      <c r="J141" s="134" t="n">
        <f aca="false">$J$120*G141</f>
        <v>11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11</v>
      </c>
      <c r="H142" s="321" t="s">
        <v>792</v>
      </c>
      <c r="I142" s="141" t="n">
        <f aca="false">($J$126-60-(11+1)*4)/11</f>
        <v>172</v>
      </c>
      <c r="J142" s="134" t="n">
        <f aca="false">$J$120*G142</f>
        <v>11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16</v>
      </c>
      <c r="H143" s="130" t="s">
        <v>389</v>
      </c>
      <c r="I143" s="133" t="n">
        <f aca="false">$J$123-92</f>
        <v>2408</v>
      </c>
      <c r="J143" s="134" t="n">
        <f aca="false">$J$120*G143</f>
        <v>16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2</v>
      </c>
      <c r="H144" s="130" t="s">
        <v>389</v>
      </c>
      <c r="I144" s="133" t="n">
        <f aca="false">$J$123-92</f>
        <v>2408</v>
      </c>
      <c r="J144" s="134" t="n">
        <f aca="false">$J$120*G144</f>
        <v>2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390</v>
      </c>
      <c r="C145" s="131" t="s">
        <v>656</v>
      </c>
      <c r="D145" s="132" t="s">
        <v>74</v>
      </c>
      <c r="E145" s="130" t="n">
        <v>1.106</v>
      </c>
      <c r="F145" s="132" t="s">
        <v>563</v>
      </c>
      <c r="G145" s="130" t="n">
        <v>3</v>
      </c>
      <c r="H145" s="130" t="s">
        <v>389</v>
      </c>
      <c r="I145" s="133" t="n">
        <f aca="false">$J$123-92</f>
        <v>2408</v>
      </c>
      <c r="J145" s="134" t="n">
        <f aca="false">$J$120*G145</f>
        <v>3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">
        <v>531</v>
      </c>
      <c r="C146" s="131" t="s">
        <v>532</v>
      </c>
      <c r="D146" s="132" t="s">
        <v>74</v>
      </c>
      <c r="E146" s="130" t="n">
        <v>1.106</v>
      </c>
      <c r="F146" s="132" t="s">
        <v>564</v>
      </c>
      <c r="G146" s="130" t="n">
        <v>1</v>
      </c>
      <c r="H146" s="130" t="s">
        <v>389</v>
      </c>
      <c r="I146" s="133" t="n">
        <f aca="false">$J$123-92</f>
        <v>2408</v>
      </c>
      <c r="J146" s="134" t="n">
        <f aca="false">$J$120*G146</f>
        <v>1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7" s="131" t="str">
        <f aca="false">IF($D$127=5,Q133,IF($D$127=6,Q133,IF($D$127=8,Q134,IF($D$127=10,Q134,IF($D$127=12,Q134,IF($D$127=14,Q135,IF($D$127=18,Q135,IF($D$127=20,Q135,IF($D$127=22,Q135,)))))))))</f>
        <v>B24008</v>
      </c>
      <c r="E147" s="131" t="n">
        <f aca="false">IF($D$127=5,R133,IF($D$127=6,R133,IF($D$127=8,R134,IF($D$127=10,R134,IF($D$127=12,R134,IF($D$127=14,R135,IF($D$127=18,R135,IF($D$127=20,R135,IF($D$127=22,R135,)))))))))</f>
        <v>0.231</v>
      </c>
      <c r="F147" s="131" t="str">
        <f aca="false">IF($D$127=5,S133,IF($D$127=6,S133,IF($D$127=8,S134,IF($D$127=10,S134,IF($D$127=12,S134,IF($D$127=14,S135,IF($D$127=18,S135,IF($D$127=20,S135,IF($D$127=22,S135,)))))))))</f>
        <v>B24008-001</v>
      </c>
      <c r="G147" s="130" t="n">
        <f aca="false">IF($D$127=5,T133,IF($D$127=6,T133,IF($D$127=8,T134,IF($D$127=10,T134,IF($D$127=12,T134,IF($D$127=14,T135,IF($D$127=18,T135,IF($D$127=20,T135,IF($D$127=22,T135,)))))))))</f>
        <v>22</v>
      </c>
      <c r="H147" s="130" t="str">
        <f aca="false">IF($D$127=5,U133,IF($D$127=6,U133,IF($D$127=8,U134,IF($D$127=10,U134,IF($D$127=12,U134,IF($D$127=14,U135,IF($D$127=18,U135,IF($D$127=20,U135,IF($D$127=22,U135,)))))))))</f>
        <v>(W-185-(113.25 × 10))/11</v>
      </c>
      <c r="I147" s="141" t="n">
        <f aca="false">IF($D$127=5,V133,IF($D$127=6,V133,IF($D$127=8,V134,IF($D$127=10,V134,IF($D$127=12,V134,IF($D$127=14,V135,IF($D$127=18,V135,IF($D$127=20,V135,IF($D$127=22,V135,)))))))))</f>
        <v>62.0454545454546</v>
      </c>
      <c r="J147" s="134" t="n">
        <f aca="false">$J$120*G147</f>
        <v>22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8" s="131" t="str">
        <f aca="false">IF($D$127=5,Q136,IF($D$127=6,Q136,IF($D$127=8,Q137,IF($D$127=10,Q137,IF($D$127=12,Q137,IF($D$127=14,Q138,IF($D$127=18,Q138,IF($D$127=20,Q138,IF($D$127=22,Q138,)))))))))</f>
        <v>B24008</v>
      </c>
      <c r="E148" s="131" t="n">
        <f aca="false">IF($D$127=5,R136,IF($D$127=6,R136,IF($D$127=8,R137,IF($D$127=10,R137,IF($D$127=12,R137,IF($D$127=14,R138,IF($D$127=18,R138,IF($D$127=20,R138,IF($D$127=22,R138,)))))))))</f>
        <v>0.231</v>
      </c>
      <c r="F148" s="131" t="str">
        <f aca="false">IF($D$127=5,S136,IF($D$127=6,S136,IF($D$127=8,S137,IF($D$127=10,S137,IF($D$127=12,S137,IF($D$127=14,S138,IF($D$127=18,S138,IF($D$127=20,S138,IF($D$127=22,S138,)))))))))</f>
        <v>B24008-002</v>
      </c>
      <c r="G148" s="130" t="n">
        <f aca="false">IF($D$127=5,T136,IF($D$127=6,T136,IF($D$127=8,T137,IF($D$127=10,T137,IF($D$127=12,T137,IF($D$127=14,T138,IF($D$127=18,T138,IF($D$127=20,T138,IF($D$127=22,T138,)))))))))</f>
        <v>22</v>
      </c>
      <c r="H148" s="130" t="str">
        <f aca="false">IF($D$127=5,U136,IF($D$127=6,U136,IF($D$127=8,U137,IF($D$127=10,U137,IF($D$127=12,U137,IF($D$127=14,U138,IF($D$127=18,U138,IF($D$127=20,U138,IF($D$127=22,U138,)))))))))</f>
        <v>H-242</v>
      </c>
      <c r="I148" s="133" t="n">
        <f aca="false">IF($D$127=5,V136,IF($D$127=6,V136,IF($D$127=8,V137,IF($D$127=10,V137,IF($D$127=12,V137,IF($D$127=14,V138,IF($D$127=18,V138,IF($D$127=20,V138,IF($D$127=22,V138,)))))))))</f>
        <v>2258</v>
      </c>
      <c r="J148" s="134" t="n">
        <f aca="false">$J$120*G148</f>
        <v>22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535</v>
      </c>
      <c r="D149" s="132" t="s">
        <v>536</v>
      </c>
      <c r="E149" s="130"/>
      <c r="F149" s="132" t="s">
        <v>537</v>
      </c>
      <c r="G149" s="130" t="n">
        <v>1</v>
      </c>
      <c r="H149" s="130" t="s">
        <v>389</v>
      </c>
      <c r="I149" s="133" t="n">
        <f aca="false">$J$123-92</f>
        <v>2408</v>
      </c>
      <c r="J149" s="134" t="n">
        <f aca="false">$J$120*G149</f>
        <v>1</v>
      </c>
    </row>
    <row r="150" s="96" customFormat="true" ht="18" hidden="false" customHeight="true" outlineLevel="0" collapsed="false">
      <c r="A150" s="130" t="n">
        <f aca="false">IF(B150="","",+A149+1)</f>
        <v>18</v>
      </c>
      <c r="B150" s="131" t="s">
        <v>534</v>
      </c>
      <c r="C150" s="131" t="s">
        <v>535</v>
      </c>
      <c r="D150" s="132" t="s">
        <v>536</v>
      </c>
      <c r="E150" s="130"/>
      <c r="F150" s="132" t="s">
        <v>539</v>
      </c>
      <c r="G150" s="130" t="n">
        <v>1</v>
      </c>
      <c r="H150" s="130" t="s">
        <v>389</v>
      </c>
      <c r="I150" s="133" t="n">
        <f aca="false">$J$123-92</f>
        <v>2408</v>
      </c>
      <c r="J150" s="134" t="n">
        <f aca="false">$J$120*G150</f>
        <v>1</v>
      </c>
    </row>
    <row r="151" s="96" customFormat="true" ht="18" hidden="false" customHeight="true" outlineLevel="0" collapsed="false">
      <c r="A151" s="130" t="str">
        <f aca="false">IF(B151="","",+A140+1)</f>
        <v/>
      </c>
      <c r="B151" s="143"/>
      <c r="C151" s="143"/>
      <c r="D151" s="144"/>
      <c r="E151" s="145"/>
      <c r="F151" s="144"/>
      <c r="G151" s="145"/>
      <c r="H151" s="145"/>
      <c r="I151" s="146"/>
      <c r="J151" s="147" t="n">
        <f aca="false">$J$120*G151</f>
        <v>0</v>
      </c>
    </row>
    <row r="152" s="96" customFormat="true" ht="27" hidden="false" customHeight="true" outlineLevel="1" collapsed="false">
      <c r="A152" s="148" t="s">
        <v>319</v>
      </c>
      <c r="B152" s="148" t="s">
        <v>320</v>
      </c>
      <c r="C152" s="148" t="s">
        <v>168</v>
      </c>
      <c r="D152" s="148" t="s">
        <v>166</v>
      </c>
      <c r="E152" s="148" t="s">
        <v>321</v>
      </c>
      <c r="F152" s="149" t="s">
        <v>393</v>
      </c>
      <c r="G152" s="148" t="s">
        <v>394</v>
      </c>
      <c r="H152" s="150" t="s">
        <v>395</v>
      </c>
      <c r="I152" s="151"/>
      <c r="J152" s="151"/>
    </row>
    <row r="153" s="96" customFormat="true" ht="15" hidden="false" customHeight="true" outlineLevel="1" collapsed="false">
      <c r="A153" s="152" t="n">
        <f aca="false">IF(B153="","",1)</f>
        <v>1</v>
      </c>
      <c r="B153" s="153" t="str">
        <f aca="false">B133</f>
        <v>เฟรมบน</v>
      </c>
      <c r="C153" s="153" t="str">
        <f aca="false">C133</f>
        <v>HEAD</v>
      </c>
      <c r="D153" s="154" t="str">
        <f aca="false">VLOOKUP(C153,$C$133:$H$151,2,0)</f>
        <v>B24001</v>
      </c>
      <c r="E153" s="155" t="n">
        <f aca="false">VLOOKUP(C153,$C$133:$H$151,3,0)</f>
        <v>1.603</v>
      </c>
      <c r="F153" s="263" t="n">
        <f aca="false">VLOOKUP(C153,$C$133:$J$151,7,0)</f>
        <v>1940</v>
      </c>
      <c r="G153" s="155" t="n">
        <f aca="false">VLOOKUP(C153,$C$133:$J$151,8,0)</f>
        <v>1</v>
      </c>
      <c r="H153" s="264" t="n">
        <f aca="false">ROUNDUP((F153*G153)/6400,0)</f>
        <v>1</v>
      </c>
      <c r="I153" s="265"/>
      <c r="J153" s="265"/>
    </row>
    <row r="154" s="96" customFormat="true" ht="15" hidden="false" customHeight="true" outlineLevel="1" collapsed="false">
      <c r="A154" s="158" t="n">
        <f aca="false">IF(B154="","",+A153+1)</f>
        <v>2</v>
      </c>
      <c r="B154" s="153" t="str">
        <f aca="false">B134</f>
        <v>บังใบบน</v>
      </c>
      <c r="C154" s="153" t="str">
        <f aca="false">C134</f>
        <v>DOOR STOP HEAD</v>
      </c>
      <c r="D154" s="154" t="str">
        <f aca="false">VLOOKUP(C154,$C$133:$H$151,2,0)</f>
        <v>B24002</v>
      </c>
      <c r="E154" s="155" t="n">
        <f aca="false">VLOOKUP(C154,$C$133:$H$151,3,0)</f>
        <v>0.278</v>
      </c>
      <c r="F154" s="263" t="n">
        <f aca="false">VLOOKUP(C154,$C$133:$I$151,7,0)</f>
        <v>1914</v>
      </c>
      <c r="G154" s="155" t="n">
        <f aca="false">VLOOKUP(C154,$C$133:$J$151,8,0)</f>
        <v>1</v>
      </c>
      <c r="H154" s="266" t="n">
        <f aca="false">ROUNDUP((F154*G154)/6400,0)</f>
        <v>1</v>
      </c>
      <c r="I154" s="265"/>
      <c r="J154" s="265"/>
    </row>
    <row r="155" s="96" customFormat="true" ht="15" hidden="false" customHeight="true" outlineLevel="1" collapsed="false">
      <c r="A155" s="158" t="n">
        <f aca="false">IF(B155="","",+A154+1)</f>
        <v>3</v>
      </c>
      <c r="B155" s="153" t="str">
        <f aca="false">B135</f>
        <v>เฟรมล่าง </v>
      </c>
      <c r="C155" s="153" t="str">
        <f aca="false">C135</f>
        <v>SILL</v>
      </c>
      <c r="D155" s="154" t="str">
        <f aca="false">VLOOKUP(C155,$C$133:$H$151,2,0)</f>
        <v>B24003</v>
      </c>
      <c r="E155" s="155" t="n">
        <f aca="false">VLOOKUP(C155,$C$133:$H$151,3,0)</f>
        <v>1.603</v>
      </c>
      <c r="F155" s="263" t="n">
        <f aca="false">VLOOKUP(C155,$C$133:$I$151,7,0)</f>
        <v>1940</v>
      </c>
      <c r="G155" s="155" t="n">
        <f aca="false">VLOOKUP(C155,$C$133:$J$151,8,0)</f>
        <v>1</v>
      </c>
      <c r="H155" s="266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4</v>
      </c>
      <c r="B156" s="153" t="str">
        <f aca="false">B136</f>
        <v>ตัวตับธรณี</v>
      </c>
      <c r="C156" s="153" t="str">
        <f aca="false">C136</f>
        <v>DOOR STOP SILL</v>
      </c>
      <c r="D156" s="154" t="str">
        <f aca="false">VLOOKUP(C156,$C$133:$H$151,2,0)</f>
        <v>B24004</v>
      </c>
      <c r="E156" s="155" t="n">
        <f aca="false">VLOOKUP(C156,$C$133:$H$151,3,0)</f>
        <v>0.516</v>
      </c>
      <c r="F156" s="263" t="n">
        <f aca="false">VLOOKUP(C156,$C$133:$I$151,7,0)</f>
        <v>1940</v>
      </c>
      <c r="G156" s="155" t="n">
        <f aca="false">VLOOKUP(C156,$C$133:$J$151,8,0)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5</v>
      </c>
      <c r="B157" s="153" t="str">
        <f aca="false">B137</f>
        <v>เฟรมข้าง (ซ้าย)</v>
      </c>
      <c r="C157" s="153" t="str">
        <f aca="false">C137</f>
        <v>JAMB (L)</v>
      </c>
      <c r="D157" s="159" t="str">
        <f aca="false">VLOOKUP(C157,$C$133:$H$151,2,0)</f>
        <v>B24005</v>
      </c>
      <c r="E157" s="155" t="n">
        <f aca="false">VLOOKUP(C157,$C$133:$H$151,3,0)</f>
        <v>0.893</v>
      </c>
      <c r="F157" s="263" t="n">
        <f aca="false">VLOOKUP(C157,$C$133:$I$151,7,0)</f>
        <v>2500</v>
      </c>
      <c r="G157" s="155" t="n">
        <f aca="false">VLOOKUP(C157,$C$133:$J$151,8,0)</f>
        <v>1</v>
      </c>
      <c r="H157" s="160" t="n">
        <f aca="false">ROUNDUP(((F157*G157)+(F158*G158))/6400,0)</f>
        <v>1</v>
      </c>
      <c r="I157" s="161"/>
      <c r="J157" s="161"/>
    </row>
    <row r="158" s="96" customFormat="true" ht="15" hidden="false" customHeight="true" outlineLevel="1" collapsed="false">
      <c r="A158" s="158" t="n">
        <f aca="false">IF(B158="","",+A157+1)</f>
        <v>6</v>
      </c>
      <c r="B158" s="153" t="str">
        <f aca="false">B138</f>
        <v>เฟรมข้าง (ขวา)</v>
      </c>
      <c r="C158" s="153" t="str">
        <f aca="false">C138</f>
        <v>JAMB (R)</v>
      </c>
      <c r="D158" s="159"/>
      <c r="E158" s="155" t="n">
        <f aca="false">VLOOKUP(C158,$C$133:$H$151,3,0)</f>
        <v>0.893</v>
      </c>
      <c r="F158" s="263" t="n">
        <f aca="false">VLOOKUP(C158,$C$133:$I$151,7,0)</f>
        <v>2500</v>
      </c>
      <c r="G158" s="155" t="n">
        <f aca="false">VLOOKUP(C158,$C$133:$J$151,8,0)</f>
        <v>1</v>
      </c>
      <c r="H158" s="160"/>
      <c r="I158" s="161"/>
      <c r="J158" s="161"/>
    </row>
    <row r="159" s="96" customFormat="true" ht="15" hidden="false" customHeight="true" outlineLevel="1" collapsed="false">
      <c r="A159" s="158" t="n">
        <f aca="false">IF(B159="","",+A158+1)</f>
        <v>7</v>
      </c>
      <c r="B159" s="153" t="str">
        <f aca="false">B139</f>
        <v>บังใบข้าง (ซ้าย)</v>
      </c>
      <c r="C159" s="153" t="str">
        <f aca="false">C139</f>
        <v>DOOR STOP JAMB (L)</v>
      </c>
      <c r="D159" s="159" t="str">
        <f aca="false">VLOOKUP(C159,$C$133:$H$151,2,0)</f>
        <v>B24006</v>
      </c>
      <c r="E159" s="155" t="n">
        <f aca="false">VLOOKUP(C159,$C$133:$H$151,3,0)</f>
        <v>0.235</v>
      </c>
      <c r="F159" s="263" t="n">
        <f aca="false">VLOOKUP(C159,$C$133:$I$151,7,0)</f>
        <v>2404</v>
      </c>
      <c r="G159" s="155" t="n">
        <f aca="false">VLOOKUP(C159,$C$133:$J$151,8,0)</f>
        <v>1</v>
      </c>
      <c r="H159" s="160" t="n">
        <f aca="false">ROUNDUP(((F159*G159)+(F160*G160))/6400,0)</f>
        <v>1</v>
      </c>
      <c r="I159" s="265"/>
      <c r="J159" s="265"/>
    </row>
    <row r="160" s="96" customFormat="true" ht="15" hidden="false" customHeight="true" outlineLevel="1" collapsed="false">
      <c r="A160" s="158" t="n">
        <f aca="false">IF(B160="","",+A159+1)</f>
        <v>8</v>
      </c>
      <c r="B160" s="153" t="str">
        <f aca="false">B140</f>
        <v>บังใบข้าง (ขวา)</v>
      </c>
      <c r="C160" s="153" t="str">
        <f aca="false">C140</f>
        <v>DOOR STOP JAMB (R)</v>
      </c>
      <c r="D160" s="159"/>
      <c r="E160" s="155" t="n">
        <f aca="false">VLOOKUP(C160,$C$133:$H$151,3,0)</f>
        <v>0.235</v>
      </c>
      <c r="F160" s="263" t="n">
        <f aca="false">VLOOKUP(C160,$C$133:$I$151,7,0)</f>
        <v>2404</v>
      </c>
      <c r="G160" s="155" t="n">
        <f aca="false">VLOOKUP(C160,$C$133:$J$151,8,0)</f>
        <v>1</v>
      </c>
      <c r="H160" s="160"/>
      <c r="I160" s="161"/>
      <c r="J160" s="161"/>
    </row>
    <row r="161" s="96" customFormat="true" ht="13.5" hidden="false" customHeight="true" outlineLevel="1" collapsed="false">
      <c r="A161" s="158" t="n">
        <f aca="false">IF(B161="","",+A160+1)</f>
        <v>9</v>
      </c>
      <c r="B161" s="153" t="str">
        <f aca="false">B141</f>
        <v>ขวางบน</v>
      </c>
      <c r="C161" s="153" t="str">
        <f aca="false">C141</f>
        <v>SASH (Hor) (T)</v>
      </c>
      <c r="D161" s="159" t="str">
        <f aca="false">VLOOKUP(C161,$C$133:$H$151,2,0)</f>
        <v>B24007</v>
      </c>
      <c r="E161" s="155" t="n">
        <f aca="false">VLOOKUP(C161,$C$133:$H$151,3,0)</f>
        <v>1.106</v>
      </c>
      <c r="F161" s="263" t="n">
        <f aca="false">VLOOKUP(C161,$C$133:$I$151,7,0)</f>
        <v>172</v>
      </c>
      <c r="G161" s="155" t="n">
        <f aca="false">VLOOKUP(C161,$C$133:$J$151,8,0)</f>
        <v>11</v>
      </c>
      <c r="H161" s="160" t="n">
        <f aca="false">ROUNDUP(((F161*G161)+(F162*G162)+(F163*G163)+(F164*G164)+(F165*G165)+(F166*G166))/6400,0)</f>
        <v>9</v>
      </c>
      <c r="I161" s="161"/>
      <c r="J161" s="161"/>
    </row>
    <row r="162" s="96" customFormat="true" ht="13.5" hidden="false" customHeight="true" outlineLevel="1" collapsed="false">
      <c r="A162" s="158" t="n">
        <f aca="false">IF(B162="","",+A161+1)</f>
        <v>10</v>
      </c>
      <c r="B162" s="153" t="str">
        <f aca="false">B142</f>
        <v>ขวางล่าง</v>
      </c>
      <c r="C162" s="153" t="str">
        <f aca="false">C142</f>
        <v>SASH (Hor) (B)</v>
      </c>
      <c r="D162" s="159"/>
      <c r="E162" s="155" t="n">
        <f aca="false">VLOOKUP(C162,$C$133:$H$151,3,0)</f>
        <v>1.106</v>
      </c>
      <c r="F162" s="263" t="n">
        <f aca="false">VLOOKUP(C162,$C$133:$I$151,7,0)</f>
        <v>172</v>
      </c>
      <c r="G162" s="155" t="n">
        <f aca="false">VLOOKUP(C162,$C$133:$J$151,8,0)</f>
        <v>11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11</v>
      </c>
      <c r="B163" s="153" t="str">
        <f aca="false">B143</f>
        <v>เสา</v>
      </c>
      <c r="C163" s="153" t="str">
        <f aca="false">C143</f>
        <v>SASH (Ver) </v>
      </c>
      <c r="D163" s="159"/>
      <c r="E163" s="155" t="n">
        <f aca="false">VLOOKUP(C163,$C$133:$H$151,3,0)</f>
        <v>1.106</v>
      </c>
      <c r="F163" s="263" t="n">
        <f aca="false">VLOOKUP(C163,$C$133:$I$151,7,0)</f>
        <v>2408</v>
      </c>
      <c r="G163" s="155" t="n">
        <f aca="false">VLOOKUP(C163,$C$133:$J$151,8,0)</f>
        <v>16</v>
      </c>
      <c r="H163" s="160"/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12</v>
      </c>
      <c r="B164" s="153" t="str">
        <f aca="false">B144</f>
        <v>เสากุญแจ</v>
      </c>
      <c r="C164" s="153" t="str">
        <f aca="false">C144</f>
        <v>SASH (Ver) LOCK </v>
      </c>
      <c r="D164" s="159"/>
      <c r="E164" s="155" t="n">
        <f aca="false">VLOOKUP(C164,$C$133:$H$151,3,0)</f>
        <v>1.106</v>
      </c>
      <c r="F164" s="263" t="n">
        <f aca="false">VLOOKUP(C164,$C$133:$I$151,7,0)</f>
        <v>2408</v>
      </c>
      <c r="G164" s="155" t="n">
        <f aca="false">VLOOKUP(C164,$C$133:$J$151,8,0)</f>
        <v>2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13</v>
      </c>
      <c r="B165" s="153" t="str">
        <f aca="false">B145</f>
        <v>เสากุญแจ</v>
      </c>
      <c r="C165" s="153" t="str">
        <f aca="false">C145</f>
        <v>SASH (Ver) LOCK  </v>
      </c>
      <c r="D165" s="159"/>
      <c r="E165" s="155" t="n">
        <f aca="false">VLOOKUP(C165,$C$133:$H$151,3,0)</f>
        <v>1.106</v>
      </c>
      <c r="F165" s="263" t="n">
        <f aca="false">VLOOKUP(C165,$C$133:$I$151,7,0)</f>
        <v>2408</v>
      </c>
      <c r="G165" s="155" t="n">
        <f aca="false">VLOOKUP(C165,$C$133:$J$151,8,0)</f>
        <v>3</v>
      </c>
      <c r="H165" s="160"/>
      <c r="I165" s="161"/>
      <c r="J165" s="161"/>
    </row>
    <row r="166" s="96" customFormat="true" ht="15" hidden="false" customHeight="true" outlineLevel="1" collapsed="false">
      <c r="A166" s="158" t="n">
        <f aca="false">IF(B166="","",+A165+1)</f>
        <v>14</v>
      </c>
      <c r="B166" s="153" t="str">
        <f aca="false">B146</f>
        <v>เสากุญแจมือจับ</v>
      </c>
      <c r="C166" s="153" t="str">
        <f aca="false">C146</f>
        <v>SASH (Ver) LOCK HANDLE</v>
      </c>
      <c r="D166" s="159"/>
      <c r="E166" s="155" t="n">
        <f aca="false">VLOOKUP(C166,$C$133:$H$151,3,0)</f>
        <v>1.106</v>
      </c>
      <c r="F166" s="263" t="n">
        <f aca="false">VLOOKUP(C166,$C$133:$I$151,7,0)</f>
        <v>2408</v>
      </c>
      <c r="G166" s="155" t="n">
        <f aca="false">VLOOKUP(C166,$C$133:$J$151,8,0)</f>
        <v>1</v>
      </c>
      <c r="H166" s="160"/>
      <c r="I166" s="265"/>
      <c r="J166" s="265"/>
    </row>
    <row r="167" s="96" customFormat="true" ht="15" hidden="false" customHeight="true" outlineLevel="1" collapsed="false">
      <c r="A167" s="158" t="n">
        <f aca="false">IF(B167="","",+A166+1)</f>
        <v>15</v>
      </c>
      <c r="B167" s="153" t="str">
        <f aca="false">B147</f>
        <v>5-6mm คิ้วตบกระจกแนวนอน</v>
      </c>
      <c r="C167" s="153" t="str">
        <f aca="false">C147</f>
        <v>5-6mm GLAZING BEAD HORIZONTAL</v>
      </c>
      <c r="D167" s="159" t="str">
        <f aca="false">VLOOKUP(C167,$C$133:$H$151,2,0)</f>
        <v>B24008</v>
      </c>
      <c r="E167" s="155" t="n">
        <f aca="false">VLOOKUP(C167,$C$133:$H$151,3,0)</f>
        <v>0.231</v>
      </c>
      <c r="F167" s="267" t="n">
        <f aca="false">VLOOKUP(C167,$C$133:$I$151,7,0)</f>
        <v>62.0454545454546</v>
      </c>
      <c r="G167" s="155" t="n">
        <f aca="false">VLOOKUP(C167,$C$133:$J$151,8,0)</f>
        <v>22</v>
      </c>
      <c r="H167" s="160" t="n">
        <f aca="false">ROUNDUP(((F167*G167)+(F168*G168))/6400,0)</f>
        <v>8</v>
      </c>
      <c r="I167" s="196"/>
      <c r="J167" s="196"/>
    </row>
    <row r="168" s="96" customFormat="true" ht="15" hidden="false" customHeight="true" outlineLevel="1" collapsed="false">
      <c r="A168" s="158" t="n">
        <f aca="false">IF(B168="","",+A167+1)</f>
        <v>16</v>
      </c>
      <c r="B168" s="153" t="str">
        <f aca="false">B148</f>
        <v>5-6mm คิ้วตบกระจกแนวตั้ง</v>
      </c>
      <c r="C168" s="153" t="str">
        <f aca="false">C148</f>
        <v>5-6mm GLAZING BEAD VERTICAL</v>
      </c>
      <c r="D168" s="159"/>
      <c r="E168" s="155" t="n">
        <f aca="false">VLOOKUP(C168,$C$133:$H$151,3,0)</f>
        <v>0.231</v>
      </c>
      <c r="F168" s="263" t="n">
        <f aca="false">VLOOKUP(C168,$C$133:$I$151,7,0)</f>
        <v>2258</v>
      </c>
      <c r="G168" s="155" t="n">
        <f aca="false">VLOOKUP(C168,$C$133:$J$151,8,0)</f>
        <v>22</v>
      </c>
      <c r="H168" s="160"/>
      <c r="I168" s="196"/>
      <c r="J168" s="196"/>
    </row>
    <row r="169" s="96" customFormat="true" ht="13.5" hidden="false" customHeight="true" outlineLevel="1" collapsed="false">
      <c r="A169" s="158" t="n">
        <f aca="false">IF(B169="","",+A168+1)</f>
        <v>17</v>
      </c>
      <c r="B169" s="153" t="str">
        <f aca="false">B149</f>
        <v>บังใบ</v>
      </c>
      <c r="C169" s="153" t="str">
        <f aca="false">C149</f>
        <v>SASH STOP</v>
      </c>
      <c r="D169" s="163" t="str">
        <f aca="false">VLOOKUP(C169,$C$133:$H$151,2,0)</f>
        <v>B24009</v>
      </c>
      <c r="E169" s="155" t="n">
        <f aca="false">VLOOKUP(C169,$C$133:$H$151,3,0)</f>
        <v>0</v>
      </c>
      <c r="F169" s="263" t="n">
        <f aca="false">VLOOKUP(C169,$C$133:$I$151,7,0)</f>
        <v>2408</v>
      </c>
      <c r="G169" s="155" t="n">
        <f aca="false">VLOOKUP(C169,$C$133:$J$151,8,0)</f>
        <v>1</v>
      </c>
      <c r="H169" s="160" t="n">
        <f aca="false">ROUNDUP(((F169*G169)+(F170*G170))/6400,0)</f>
        <v>1</v>
      </c>
      <c r="I169" s="196"/>
      <c r="J169" s="196"/>
    </row>
    <row r="170" s="96" customFormat="true" ht="14.25" hidden="false" customHeight="false" outlineLevel="1" collapsed="false">
      <c r="A170" s="158" t="n">
        <f aca="false">IF(B170="","",+A169+1)</f>
        <v>18</v>
      </c>
      <c r="B170" s="153" t="str">
        <f aca="false">B150</f>
        <v>บังใบ</v>
      </c>
      <c r="C170" s="153" t="str">
        <f aca="false">C150</f>
        <v>SASH STOP</v>
      </c>
      <c r="D170" s="163"/>
      <c r="E170" s="155" t="n">
        <f aca="false">VLOOKUP(C170,$C$133:$H$151,3,0)</f>
        <v>0</v>
      </c>
      <c r="F170" s="263" t="n">
        <f aca="false">VLOOKUP(C170,$C$133:$I$151,7,0)</f>
        <v>2408</v>
      </c>
      <c r="G170" s="155" t="n">
        <f aca="false">VLOOKUP(C170,$C$133:$J$151,8,0)</f>
        <v>1</v>
      </c>
      <c r="H170" s="160"/>
      <c r="I170" s="196"/>
      <c r="J170" s="196"/>
    </row>
    <row r="171" s="96" customFormat="true" ht="24.75" hidden="false" customHeight="true" outlineLevel="0" collapsed="false">
      <c r="A171" s="113" t="s">
        <v>396</v>
      </c>
      <c r="B171" s="113"/>
      <c r="C171" s="113"/>
      <c r="D171" s="113"/>
      <c r="E171" s="113"/>
      <c r="F171" s="113"/>
      <c r="G171" s="113"/>
      <c r="H171" s="113"/>
      <c r="I171" s="113"/>
      <c r="J171" s="113"/>
    </row>
    <row r="172" s="96" customFormat="true" ht="34.5" hidden="false" customHeight="true" outlineLevel="0" collapsed="false">
      <c r="A172" s="114" t="s">
        <v>319</v>
      </c>
      <c r="B172" s="115" t="s">
        <v>320</v>
      </c>
      <c r="C172" s="115" t="s">
        <v>168</v>
      </c>
      <c r="D172" s="115" t="s">
        <v>397</v>
      </c>
      <c r="E172" s="115" t="s">
        <v>321</v>
      </c>
      <c r="F172" s="116" t="s">
        <v>398</v>
      </c>
      <c r="G172" s="115" t="s">
        <v>399</v>
      </c>
      <c r="H172" s="116" t="s">
        <v>400</v>
      </c>
      <c r="I172" s="116" t="s">
        <v>401</v>
      </c>
      <c r="J172" s="117" t="s">
        <v>402</v>
      </c>
      <c r="N172" s="107" t="s">
        <v>288</v>
      </c>
      <c r="O172" s="165" t="s">
        <v>320</v>
      </c>
      <c r="P172" s="165" t="s">
        <v>168</v>
      </c>
      <c r="Q172" s="165" t="s">
        <v>397</v>
      </c>
      <c r="R172" s="165" t="s">
        <v>321</v>
      </c>
      <c r="S172" s="165" t="s">
        <v>398</v>
      </c>
      <c r="T172" s="165" t="s">
        <v>399</v>
      </c>
      <c r="U172" s="165" t="s">
        <v>400</v>
      </c>
      <c r="V172" s="165" t="s">
        <v>401</v>
      </c>
      <c r="W172" s="165" t="s">
        <v>402</v>
      </c>
    </row>
    <row r="173" s="96" customFormat="true" ht="18" hidden="false" customHeight="true" outlineLevel="0" collapsed="false">
      <c r="A173" s="166" t="n">
        <f aca="false">IF(B173="","",1)</f>
        <v>1</v>
      </c>
      <c r="B173" s="131" t="s">
        <v>410</v>
      </c>
      <c r="C173" s="131" t="s">
        <v>411</v>
      </c>
      <c r="D173" s="132" t="s">
        <v>267</v>
      </c>
      <c r="E173" s="130"/>
      <c r="F173" s="130" t="s">
        <v>267</v>
      </c>
      <c r="G173" s="130" t="s">
        <v>405</v>
      </c>
      <c r="H173" s="130" t="n">
        <v>22</v>
      </c>
      <c r="I173" s="133"/>
      <c r="J173" s="134" t="n">
        <f aca="false">$J$120*H173</f>
        <v>22</v>
      </c>
      <c r="N173" s="107" t="s">
        <v>406</v>
      </c>
      <c r="O173" s="55" t="s">
        <v>407</v>
      </c>
      <c r="P173" s="62" t="s">
        <v>408</v>
      </c>
      <c r="Q173" s="55" t="s">
        <v>227</v>
      </c>
      <c r="R173" s="158"/>
      <c r="S173" s="158" t="s">
        <v>227</v>
      </c>
      <c r="T173" s="158" t="s">
        <v>409</v>
      </c>
      <c r="U173" s="168" t="n">
        <f aca="false">((($I$141*$G$141)+($I$142*$G$142)+($I$143*$G$143)+($I$144*$G$144)+($I$145*$G$145)+($I$146*$G$146))/1000)*$J$120</f>
        <v>56.76</v>
      </c>
      <c r="V173" s="168" t="n">
        <v>100</v>
      </c>
      <c r="W173" s="169" t="n">
        <f aca="false">ROUNDUP((U173)/100,0)</f>
        <v>1</v>
      </c>
    </row>
    <row r="174" s="96" customFormat="true" ht="18" hidden="false" customHeight="true" outlineLevel="0" collapsed="false">
      <c r="A174" s="170" t="n">
        <f aca="false">IF(B174="","",+A173+1)</f>
        <v>2</v>
      </c>
      <c r="B174" s="131" t="s">
        <v>415</v>
      </c>
      <c r="C174" s="131" t="s">
        <v>416</v>
      </c>
      <c r="D174" s="132" t="s">
        <v>222</v>
      </c>
      <c r="E174" s="130"/>
      <c r="F174" s="130" t="s">
        <v>222</v>
      </c>
      <c r="G174" s="130" t="s">
        <v>405</v>
      </c>
      <c r="H174" s="130" t="n">
        <v>2</v>
      </c>
      <c r="I174" s="133"/>
      <c r="J174" s="134" t="n">
        <f aca="false">$J$120*H174</f>
        <v>2</v>
      </c>
      <c r="N174" s="107" t="s">
        <v>412</v>
      </c>
      <c r="O174" s="55" t="s">
        <v>413</v>
      </c>
      <c r="P174" s="62" t="s">
        <v>414</v>
      </c>
      <c r="Q174" s="55" t="s">
        <v>234</v>
      </c>
      <c r="R174" s="158"/>
      <c r="S174" s="158" t="s">
        <v>234</v>
      </c>
      <c r="T174" s="158" t="s">
        <v>409</v>
      </c>
      <c r="U174" s="168" t="n">
        <f aca="false">((($I$141*$G$141)+($I$142*$G$142)+($I$143*$G$143)+($I$144*$G$144)+($I$145*$G$145)+($I$146*$G$146))/1000)*$J$120</f>
        <v>56.76</v>
      </c>
      <c r="V174" s="168" t="n">
        <v>100</v>
      </c>
      <c r="W174" s="169" t="n">
        <f aca="false">ROUNDUP((U174)/100,0)</f>
        <v>1</v>
      </c>
    </row>
    <row r="175" s="96" customFormat="true" ht="18" hidden="false" customHeight="true" outlineLevel="0" collapsed="false">
      <c r="A175" s="170" t="n">
        <f aca="false">IF(B175="","",+A174+1)</f>
        <v>3</v>
      </c>
      <c r="B175" s="131" t="s">
        <v>420</v>
      </c>
      <c r="C175" s="131" t="s">
        <v>421</v>
      </c>
      <c r="D175" s="132" t="s">
        <v>225</v>
      </c>
      <c r="E175" s="130"/>
      <c r="F175" s="130" t="s">
        <v>225</v>
      </c>
      <c r="G175" s="130" t="s">
        <v>405</v>
      </c>
      <c r="H175" s="130" t="n">
        <v>2</v>
      </c>
      <c r="I175" s="133"/>
      <c r="J175" s="134" t="n">
        <f aca="false">$J$120*H175</f>
        <v>2</v>
      </c>
      <c r="N175" s="107" t="s">
        <v>417</v>
      </c>
      <c r="O175" s="62" t="s">
        <v>418</v>
      </c>
      <c r="P175" s="62" t="s">
        <v>419</v>
      </c>
      <c r="Q175" s="55" t="s">
        <v>236</v>
      </c>
      <c r="R175" s="158"/>
      <c r="S175" s="158" t="s">
        <v>236</v>
      </c>
      <c r="T175" s="158" t="s">
        <v>409</v>
      </c>
      <c r="U175" s="168" t="n">
        <f aca="false">((($I$141*$G$141)+($I$142*$G$142)+($I$143*$G$143)+($I$144*$G$144)+($I$145*$G$145)+($I$146*$G$146))/1000)*$J$120</f>
        <v>56.76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4</v>
      </c>
      <c r="B176" s="131" t="s">
        <v>425</v>
      </c>
      <c r="C176" s="131" t="s">
        <v>426</v>
      </c>
      <c r="D176" s="132" t="n">
        <v>9</v>
      </c>
      <c r="E176" s="130"/>
      <c r="F176" s="130" t="n">
        <v>9</v>
      </c>
      <c r="G176" s="130" t="s">
        <v>405</v>
      </c>
      <c r="H176" s="130" t="n">
        <v>8</v>
      </c>
      <c r="I176" s="133"/>
      <c r="J176" s="134" t="n">
        <f aca="false">$J$120*H176</f>
        <v>8</v>
      </c>
      <c r="N176" s="107" t="s">
        <v>422</v>
      </c>
      <c r="O176" s="62" t="s">
        <v>423</v>
      </c>
      <c r="P176" s="62" t="s">
        <v>424</v>
      </c>
      <c r="Q176" s="55" t="s">
        <v>238</v>
      </c>
      <c r="R176" s="158"/>
      <c r="S176" s="158" t="s">
        <v>238</v>
      </c>
      <c r="T176" s="158" t="s">
        <v>409</v>
      </c>
      <c r="U176" s="168" t="n">
        <f aca="false">((($I$141*$G$141)+($I$142*$G$142)+($I$143*$G$143)+($I$144*$G$144)+($I$145*$G$145)+($I$146*$G$146))/1000)*$J$120</f>
        <v>56.76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5</v>
      </c>
      <c r="B177" s="131" t="s">
        <v>430</v>
      </c>
      <c r="C177" s="131" t="s">
        <v>431</v>
      </c>
      <c r="D177" s="132" t="n">
        <v>9</v>
      </c>
      <c r="E177" s="130"/>
      <c r="F177" s="130" t="n">
        <v>9</v>
      </c>
      <c r="G177" s="130" t="s">
        <v>405</v>
      </c>
      <c r="H177" s="130" t="n">
        <v>110</v>
      </c>
      <c r="I177" s="133"/>
      <c r="J177" s="134" t="n">
        <f aca="false">$J$120*H177</f>
        <v>110</v>
      </c>
      <c r="N177" s="107" t="s">
        <v>427</v>
      </c>
      <c r="O177" s="62" t="s">
        <v>428</v>
      </c>
      <c r="P177" s="62" t="s">
        <v>429</v>
      </c>
      <c r="Q177" s="55" t="s">
        <v>240</v>
      </c>
      <c r="R177" s="158"/>
      <c r="S177" s="158" t="s">
        <v>240</v>
      </c>
      <c r="T177" s="158" t="s">
        <v>409</v>
      </c>
      <c r="U177" s="168" t="n">
        <f aca="false">((($I$141*$G$141)+($I$142*$G$142)+($I$143*$G$143)+($I$144*$G$144)+($I$145*$G$145)+($I$146*$G$146))/1000)*$J$120</f>
        <v>56.76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6</v>
      </c>
      <c r="B178" s="131" t="s">
        <v>603</v>
      </c>
      <c r="C178" s="131" t="s">
        <v>438</v>
      </c>
      <c r="D178" s="132" t="s">
        <v>4</v>
      </c>
      <c r="E178" s="130"/>
      <c r="F178" s="130" t="s">
        <v>4</v>
      </c>
      <c r="G178" s="130" t="s">
        <v>434</v>
      </c>
      <c r="H178" s="130" t="n">
        <v>2</v>
      </c>
      <c r="I178" s="133"/>
      <c r="J178" s="134" t="n">
        <f aca="false">$J$120*H178</f>
        <v>2</v>
      </c>
    </row>
    <row r="179" s="96" customFormat="true" ht="18" hidden="false" customHeight="true" outlineLevel="0" collapsed="false">
      <c r="A179" s="170" t="n">
        <f aca="false">IF(B179="","",+A178+1)</f>
        <v>7</v>
      </c>
      <c r="B179" s="131" t="s">
        <v>556</v>
      </c>
      <c r="C179" s="131" t="s">
        <v>557</v>
      </c>
      <c r="D179" s="132" t="s">
        <v>5</v>
      </c>
      <c r="E179" s="130"/>
      <c r="F179" s="130" t="s">
        <v>5</v>
      </c>
      <c r="G179" s="130" t="s">
        <v>434</v>
      </c>
      <c r="H179" s="130" t="n">
        <v>3</v>
      </c>
      <c r="I179" s="133"/>
      <c r="J179" s="134"/>
    </row>
    <row r="180" s="96" customFormat="true" ht="18" hidden="false" customHeight="true" outlineLevel="0" collapsed="false">
      <c r="A180" s="170" t="n">
        <f aca="false">IF(B180="","",+A179+1)</f>
        <v>8</v>
      </c>
      <c r="B180" s="131" t="s">
        <v>432</v>
      </c>
      <c r="C180" s="131" t="s">
        <v>433</v>
      </c>
      <c r="D180" s="132" t="s">
        <v>6</v>
      </c>
      <c r="E180" s="130"/>
      <c r="F180" s="130" t="s">
        <v>6</v>
      </c>
      <c r="G180" s="130" t="s">
        <v>434</v>
      </c>
      <c r="H180" s="130" t="n">
        <v>1</v>
      </c>
      <c r="I180" s="133"/>
      <c r="J180" s="134" t="n">
        <f aca="false">$J$120*H180</f>
        <v>1</v>
      </c>
    </row>
    <row r="181" s="96" customFormat="true" ht="18" hidden="false" customHeight="true" outlineLevel="0" collapsed="false">
      <c r="A181" s="170" t="n">
        <f aca="false">IF(B181="","",+A180+1)</f>
        <v>9</v>
      </c>
      <c r="B181" s="131" t="s">
        <v>512</v>
      </c>
      <c r="C181" s="131" t="s">
        <v>513</v>
      </c>
      <c r="D181" s="132" t="s">
        <v>7</v>
      </c>
      <c r="E181" s="130"/>
      <c r="F181" s="130" t="s">
        <v>7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10</v>
      </c>
      <c r="B182" s="131" t="s">
        <v>514</v>
      </c>
      <c r="C182" s="131" t="s">
        <v>768</v>
      </c>
      <c r="D182" s="132" t="s">
        <v>9</v>
      </c>
      <c r="E182" s="130"/>
      <c r="F182" s="130" t="s">
        <v>9</v>
      </c>
      <c r="G182" s="130" t="s">
        <v>434</v>
      </c>
      <c r="H182" s="130" t="n">
        <v>1</v>
      </c>
      <c r="I182" s="133"/>
      <c r="J182" s="134" t="n">
        <f aca="false">$J$120*H182</f>
        <v>1</v>
      </c>
      <c r="Q182" s="172"/>
      <c r="R182" s="172"/>
      <c r="S182" s="172"/>
      <c r="T182" s="97"/>
      <c r="U182" s="97"/>
      <c r="V182" s="97"/>
    </row>
    <row r="183" s="96" customFormat="true" ht="18" hidden="false" customHeight="true" outlineLevel="0" collapsed="false">
      <c r="A183" s="170" t="n">
        <f aca="false">IF(B183="","",+A182+1)</f>
        <v>11</v>
      </c>
      <c r="B183" s="131" t="s">
        <v>554</v>
      </c>
      <c r="C183" s="131" t="s">
        <v>555</v>
      </c>
      <c r="D183" s="132" t="s">
        <v>11</v>
      </c>
      <c r="E183" s="130"/>
      <c r="F183" s="130" t="s">
        <v>11</v>
      </c>
      <c r="G183" s="130" t="s">
        <v>434</v>
      </c>
      <c r="H183" s="130" t="n">
        <v>4</v>
      </c>
      <c r="I183" s="142"/>
      <c r="J183" s="134" t="n">
        <f aca="false">$J$120*H183</f>
        <v>4</v>
      </c>
      <c r="N183" s="107" t="s">
        <v>289</v>
      </c>
      <c r="O183" s="165" t="s">
        <v>320</v>
      </c>
      <c r="P183" s="165" t="s">
        <v>168</v>
      </c>
      <c r="Q183" s="165" t="s">
        <v>397</v>
      </c>
      <c r="R183" s="165" t="s">
        <v>321</v>
      </c>
      <c r="S183" s="165" t="s">
        <v>398</v>
      </c>
      <c r="T183" s="165" t="s">
        <v>399</v>
      </c>
      <c r="U183" s="165" t="s">
        <v>400</v>
      </c>
      <c r="V183" s="165" t="s">
        <v>401</v>
      </c>
      <c r="W183" s="165" t="s">
        <v>402</v>
      </c>
    </row>
    <row r="184" s="96" customFormat="true" ht="18" hidden="false" customHeight="true" outlineLevel="0" collapsed="false">
      <c r="A184" s="170" t="n">
        <f aca="false">IF(B184="","",+A183+1)</f>
        <v>12</v>
      </c>
      <c r="B184" s="131" t="s">
        <v>439</v>
      </c>
      <c r="C184" s="131" t="s">
        <v>440</v>
      </c>
      <c r="D184" s="132" t="s">
        <v>12</v>
      </c>
      <c r="E184" s="130"/>
      <c r="F184" s="130" t="s">
        <v>12</v>
      </c>
      <c r="G184" s="130" t="s">
        <v>434</v>
      </c>
      <c r="H184" s="130" t="n">
        <v>5</v>
      </c>
      <c r="I184" s="142"/>
      <c r="J184" s="134" t="n">
        <f aca="false">$J$120*H184</f>
        <v>5</v>
      </c>
      <c r="N184" s="107" t="s">
        <v>445</v>
      </c>
      <c r="O184" s="62" t="s">
        <v>446</v>
      </c>
      <c r="P184" s="62" t="s">
        <v>447</v>
      </c>
      <c r="Q184" s="55" t="s">
        <v>230</v>
      </c>
      <c r="R184" s="158"/>
      <c r="S184" s="158" t="s">
        <v>230</v>
      </c>
      <c r="T184" s="158" t="s">
        <v>409</v>
      </c>
      <c r="U184" s="168" t="n">
        <f aca="false">((($I$134*$G$134)+($I$136*$G$136)+($I$139*$G$139))/1000)*$J$120</f>
        <v>6.258</v>
      </c>
      <c r="V184" s="168" t="n">
        <v>300</v>
      </c>
      <c r="W184" s="169" t="n">
        <f aca="false">ROUNDUP((U184)/V184,0)</f>
        <v>1</v>
      </c>
    </row>
    <row r="185" s="96" customFormat="true" ht="18" hidden="false" customHeight="true" outlineLevel="0" collapsed="false">
      <c r="A185" s="170" t="n">
        <f aca="false">IF(B185="","",+A184+1)</f>
        <v>13</v>
      </c>
      <c r="B185" s="131" t="s">
        <v>540</v>
      </c>
      <c r="C185" s="131" t="s">
        <v>541</v>
      </c>
      <c r="D185" s="132" t="s">
        <v>542</v>
      </c>
      <c r="E185" s="130"/>
      <c r="F185" s="130" t="s">
        <v>542</v>
      </c>
      <c r="G185" s="130" t="s">
        <v>434</v>
      </c>
      <c r="H185" s="130" t="n">
        <v>1</v>
      </c>
      <c r="I185" s="133"/>
      <c r="J185" s="134" t="n">
        <f aca="false">$J$120*H185</f>
        <v>1</v>
      </c>
      <c r="N185" s="107" t="s">
        <v>448</v>
      </c>
      <c r="O185" s="62" t="s">
        <v>449</v>
      </c>
      <c r="P185" s="62" t="s">
        <v>450</v>
      </c>
      <c r="Q185" s="55" t="s">
        <v>451</v>
      </c>
      <c r="R185" s="158"/>
      <c r="S185" s="158" t="s">
        <v>451</v>
      </c>
      <c r="T185" s="158" t="s">
        <v>409</v>
      </c>
      <c r="U185" s="168" t="n">
        <f aca="false">((($I$134*$G$134)+($I$136*$G$136)+($I$139*$G$139))/1000)*$J$120</f>
        <v>6.258</v>
      </c>
      <c r="V185" s="168" t="n">
        <v>100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14</v>
      </c>
      <c r="B186" s="131" t="s">
        <v>441</v>
      </c>
      <c r="C186" s="131" t="s">
        <v>442</v>
      </c>
      <c r="D186" s="132" t="s">
        <v>274</v>
      </c>
      <c r="E186" s="130"/>
      <c r="F186" s="130" t="s">
        <v>274</v>
      </c>
      <c r="G186" s="130" t="s">
        <v>405</v>
      </c>
      <c r="H186" s="130" t="n">
        <v>10</v>
      </c>
      <c r="I186" s="133"/>
      <c r="J186" s="134" t="n">
        <f aca="false">$J$120*H186</f>
        <v>10</v>
      </c>
      <c r="N186" s="107" t="s">
        <v>445</v>
      </c>
      <c r="O186" s="62" t="s">
        <v>452</v>
      </c>
      <c r="P186" s="62" t="s">
        <v>453</v>
      </c>
      <c r="Q186" s="55" t="s">
        <v>232</v>
      </c>
      <c r="R186" s="158"/>
      <c r="S186" s="158" t="s">
        <v>232</v>
      </c>
      <c r="T186" s="158" t="s">
        <v>409</v>
      </c>
      <c r="U186" s="168" t="n">
        <f aca="false">((($I$141*$G$141*2)+($I$143*$G$143*2)+($I$144*$G$144*2)+($I$145*($G$145-1)*2))/1000)*$J$120</f>
        <v>100.104</v>
      </c>
      <c r="V186" s="168" t="n">
        <v>350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15</v>
      </c>
      <c r="B187" s="131" t="s">
        <v>443</v>
      </c>
      <c r="C187" s="131" t="s">
        <v>444</v>
      </c>
      <c r="D187" s="132" t="s">
        <v>272</v>
      </c>
      <c r="E187" s="130"/>
      <c r="F187" s="130" t="s">
        <v>272</v>
      </c>
      <c r="G187" s="130" t="s">
        <v>405</v>
      </c>
      <c r="H187" s="130" t="n">
        <v>1</v>
      </c>
      <c r="I187" s="133"/>
      <c r="J187" s="134" t="n">
        <f aca="false">$J$120*H187</f>
        <v>1</v>
      </c>
      <c r="N187" s="107" t="s">
        <v>448</v>
      </c>
      <c r="O187" s="62" t="s">
        <v>454</v>
      </c>
      <c r="P187" s="62" t="s">
        <v>455</v>
      </c>
      <c r="Q187" s="55" t="s">
        <v>456</v>
      </c>
      <c r="R187" s="158"/>
      <c r="S187" s="158" t="s">
        <v>456</v>
      </c>
      <c r="T187" s="158" t="s">
        <v>409</v>
      </c>
      <c r="U187" s="168" t="n">
        <f aca="false">((($I$141*$G$141*2)+($I$143*$G$143*2)+($I$144*$G$144*2)+($I$145*($G$145-1)*2))/1000)*$J$120</f>
        <v>100.104</v>
      </c>
      <c r="V187" s="168" t="n">
        <v>100</v>
      </c>
      <c r="W187" s="169" t="n">
        <f aca="false">ROUNDUP((U187)/V187,0)</f>
        <v>2</v>
      </c>
    </row>
    <row r="188" s="96" customFormat="true" ht="18" hidden="false" customHeight="true" outlineLevel="0" collapsed="false">
      <c r="A188" s="170" t="n">
        <f aca="false">IF(B188="","",+A187+1)</f>
        <v>16</v>
      </c>
      <c r="B188" s="131" t="s">
        <v>403</v>
      </c>
      <c r="C188" s="131" t="s">
        <v>404</v>
      </c>
      <c r="D188" s="132" t="s">
        <v>276</v>
      </c>
      <c r="E188" s="130"/>
      <c r="F188" s="130" t="s">
        <v>276</v>
      </c>
      <c r="G188" s="130" t="s">
        <v>405</v>
      </c>
      <c r="H188" s="130" t="n">
        <v>5</v>
      </c>
      <c r="I188" s="133"/>
      <c r="J188" s="134" t="n">
        <f aca="false">$J$120*H188</f>
        <v>5</v>
      </c>
    </row>
    <row r="189" s="96" customFormat="true" ht="18" hidden="false" customHeight="true" outlineLevel="0" collapsed="false">
      <c r="A189" s="170" t="n">
        <f aca="false">IF(B189="","",+A188+1)</f>
        <v>17</v>
      </c>
      <c r="B189" s="131" t="s">
        <v>580</v>
      </c>
      <c r="C189" s="131" t="s">
        <v>581</v>
      </c>
      <c r="D189" s="132" t="s">
        <v>582</v>
      </c>
      <c r="E189" s="130"/>
      <c r="F189" s="130" t="s">
        <v>582</v>
      </c>
      <c r="G189" s="130" t="s">
        <v>409</v>
      </c>
      <c r="H189" s="173" t="n">
        <f aca="false">((($I$149*$G$149)+($I$150*$G$150))/1000)*$J$120</f>
        <v>4.816</v>
      </c>
      <c r="I189" s="174" t="n">
        <v>100</v>
      </c>
      <c r="J189" s="177" t="n">
        <f aca="false">ROUNDUP((H189)/100,0)</f>
        <v>1</v>
      </c>
    </row>
    <row r="190" s="96" customFormat="true" ht="18" hidden="false" customHeight="true" outlineLevel="0" collapsed="false">
      <c r="A190" s="170" t="n">
        <f aca="false">IF(B190="","",+A189+1)</f>
        <v>18</v>
      </c>
      <c r="B190" s="131" t="s">
        <v>583</v>
      </c>
      <c r="C190" s="131" t="s">
        <v>584</v>
      </c>
      <c r="D190" s="132" t="s">
        <v>585</v>
      </c>
      <c r="E190" s="130"/>
      <c r="F190" s="130" t="s">
        <v>585</v>
      </c>
      <c r="G190" s="130" t="s">
        <v>409</v>
      </c>
      <c r="H190" s="173" t="n">
        <f aca="false">((($I$146*$G$146*2))/1000)*$J$120</f>
        <v>4.816</v>
      </c>
      <c r="I190" s="174" t="n">
        <v>100</v>
      </c>
      <c r="J190" s="177" t="n">
        <f aca="false">ROUNDUP((H190)/100,0)</f>
        <v>1</v>
      </c>
    </row>
    <row r="191" s="96" customFormat="true" ht="18" hidden="false" customHeight="true" outlineLevel="0" collapsed="false">
      <c r="A191" s="170" t="n">
        <f aca="false">IF(B191="","",+A190+1)</f>
        <v>19</v>
      </c>
      <c r="B191" s="132" t="str">
        <f aca="false">IF($D$129="Standard",$O$184,IF($D$129="Soumdproof",$O$185,))</f>
        <v>ยางเฟรมกันน้ำ (ธรรมดา)</v>
      </c>
      <c r="C191" s="132" t="str">
        <f aca="false">IF($D$129="Standard",$P$184,IF($D$129="Soumdproof",$P$185,))</f>
        <v>FRAME SEAL (Standard)</v>
      </c>
      <c r="D191" s="132" t="str">
        <f aca="false">IF($D$129="Standard",$Q$184,IF($D$129="Soumdproof",$Q$185,))</f>
        <v>02-026</v>
      </c>
      <c r="E191" s="130" t="n">
        <f aca="false">IF($D$129="Standard",R189,IF($D$129="Soumdproof",R190,))</f>
        <v>0</v>
      </c>
      <c r="F191" s="130" t="str">
        <f aca="false">IF($D$129="Standard",$S$184,IF($D$129="Soumdproof",$S$185,))</f>
        <v>02-026</v>
      </c>
      <c r="G191" s="130" t="str">
        <f aca="false">IF($D$129="Standard",$T$184,IF($D$129="Soumdproof",$T$185,))</f>
        <v>M</v>
      </c>
      <c r="H191" s="173" t="n">
        <f aca="false">IF($D$129="Standard",$U$184,IF($D$129="Soumdproof",$U$185,))</f>
        <v>6.258</v>
      </c>
      <c r="I191" s="174" t="n">
        <f aca="false">IF($D$129="Standard",$V$184,IF($D$129="Soumdproof",$V$185,))</f>
        <v>300</v>
      </c>
      <c r="J191" s="177" t="n">
        <f aca="false">ROUNDUP((H191)/100,0)</f>
        <v>1</v>
      </c>
    </row>
    <row r="192" s="96" customFormat="true" ht="18" hidden="false" customHeight="true" outlineLevel="0" collapsed="false">
      <c r="A192" s="170" t="n">
        <f aca="false">IF(B192="","",+A191+1)</f>
        <v>20</v>
      </c>
      <c r="B192" s="132" t="str">
        <f aca="false">IF($D$129="Standard",$O$186,IF($D$129="Soumdproof",$O$187,))</f>
        <v>ยางแซชกันน้ำ (ธรรมดา)</v>
      </c>
      <c r="C192" s="132" t="str">
        <f aca="false">IF($D$129="Standard",$P$186,IF($D$129="Soumdproof",$P$187,))</f>
        <v>SASH SEAL FOAM (Standard)</v>
      </c>
      <c r="D192" s="132" t="str">
        <f aca="false">IF($D$129="Standard",$Q$186,IF($D$129="Soumdproof",$Q$187,))</f>
        <v>02-031</v>
      </c>
      <c r="E192" s="130" t="n">
        <f aca="false">IF($D$129="Standard",R191,IF($D$129="Soumdproof",R192,))</f>
        <v>0</v>
      </c>
      <c r="F192" s="130" t="str">
        <f aca="false">IF($D$129="Standard",$S$186,IF($D$129="Soumdproof",$S$187,))</f>
        <v>02-031</v>
      </c>
      <c r="G192" s="130" t="str">
        <f aca="false">IF($D$129="Standard",$T$186,IF($D$129="Soumdproof",$T$187,))</f>
        <v>M</v>
      </c>
      <c r="H192" s="173" t="n">
        <f aca="false">IF($D$129="Standard",$U$186,IF($D$129="Soumdproof",$U$187,))</f>
        <v>100.104</v>
      </c>
      <c r="I192" s="174" t="n">
        <f aca="false">IF($D$129="Standard",$V$186,IF($D$129="Soumdproof",$V$187,))</f>
        <v>350</v>
      </c>
      <c r="J192" s="177" t="n">
        <f aca="false">ROUNDUP((H192)/100,0)</f>
        <v>2</v>
      </c>
    </row>
    <row r="193" customFormat="false" ht="18" hidden="false" customHeight="true" outlineLevel="0" collapsed="false">
      <c r="A193" s="170" t="n">
        <f aca="false">IF(B193="","",+A192+1)</f>
        <v>21</v>
      </c>
      <c r="B193" s="176" t="str">
        <f aca="false">IF($D$127=5,$O$175,IF($D$127=6,$O$176,IF($D$127=8,$O$177,IF($D$127=10,$O$175,IF($D$127=12,$O$175,IF($D$127=14,$O$177,IF($D$127=18,$O$175,IF($D$127=20,$O$176,IF($D$127=22,"")))))))))</f>
        <v>5,8,10,12,18 mmยางอัดกระจก</v>
      </c>
      <c r="C193" s="176" t="str">
        <f aca="false">IF($D$127=5,$P$175,IF($D$127=6,$P$176,IF($D$127=8,$P$177,IF($D$127=10,$P$175,IF($D$127=12,$P$175,IF($D$127=14,$P$177,IF($D$127=18,$P$175,IF($D$127=20,$P$176,IF($D$127=22,"")))))))))</f>
        <v>5,8,10,12,18 mm ROLL IN WEDGE</v>
      </c>
      <c r="D193" s="176" t="str">
        <f aca="false">IF($D$127=5,$Q$175,IF($D$127=6,$Q$176,IF($D$127=8,$Q$177,IF($D$127=10,$Q$175,IF($D$127=12,$Q$175,IF($D$127=14,$Q$177,IF($D$127=18,$Q$175,IF($D$127=20,$Q$176,IF($D$127=22,"")))))))))</f>
        <v>02-033</v>
      </c>
      <c r="E193" s="176" t="n">
        <f aca="false">IF($D$127=5,R180,IF($D$127=6,R181,IF($D$127=8,R182,IF($D$127=10,R180,IF($D$127=12,R180,IF($D$127=14,R182,IF($D$127=18,R180,IF($D$127=20,R181,IF($D$127=22,"",)))))))))</f>
        <v>0</v>
      </c>
      <c r="F193" s="167" t="str">
        <f aca="false">IF($D$127=5,$S$175,IF($D$127=6,$S$176,IF($D$127=8,$S$177,IF($D$127=10,$S$175,IF($D$127=12,$S$175,IF($D$127=14,$S$177,IF($D$127=18,$S$175,IF($D$127=20,$S$176,IF($D$127=22,"")))))))))</f>
        <v>02-033</v>
      </c>
      <c r="G193" s="167" t="str">
        <f aca="false">IF($D$127=5,$T$175,IF($D$127=6,$T$176,IF($D$127=8,$T$177,IF($D$127=10,$T$175,IF($D$127=12,$T$175,IF($D$127=14,$T$177,IF($D$127=18,$T$175,IF($D$127=20,$T$176,IF($D$127=22,"")))))))))</f>
        <v>M</v>
      </c>
      <c r="H193" s="173" t="n">
        <f aca="false">IF($D$127=5,$U$175,IF($D$127=6,$U$176,IF($D$127=8,$U$177,IF($D$127=10,$U$175*2,IF($D$127=12,$U$175,IF($D$127=14,$U$177*2,IF($D$127=18,$U$175,IF($D$127=20,$U$176,IF($D$127=22,"")))))))))</f>
        <v>56.76</v>
      </c>
      <c r="I193" s="174" t="n">
        <f aca="false">IF($D$127=5,$V$175,IF($D$127=6,$V$176,IF($D$127=8,$V$177,IF($D$127=10,$V$175,IF($D$127=12,$V$175,IF($D$127=14,$V$177,IF($D$127=18,$V$175,IF($D$127=20,$V$176,IF($D$127=22,"")))))))))</f>
        <v>100</v>
      </c>
      <c r="J193" s="177" t="n">
        <f aca="false">ROUNDUP((H193)/100,0)</f>
        <v>1</v>
      </c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</row>
    <row r="194" s="96" customFormat="true" ht="18" hidden="false" customHeight="true" outlineLevel="0" collapsed="false">
      <c r="A194" s="170" t="n">
        <f aca="false">IF(B194="","",+A193+1)</f>
        <v>22</v>
      </c>
      <c r="B194" s="176" t="str">
        <f aca="false">IF($D$127=5,$O$173,IF($D$127=6,$O$173,IF($D$127=8,$O$175,IF($D$127=10,"",IF($D$127=12,$O$174,IF($D$127=14,"",IF($D$127=18,$O$173,IF($D$127=20,$O$174,IF($D$127=22,"",)))))))))</f>
        <v>5,6,18 mm ยางรองกระจก</v>
      </c>
      <c r="C194" s="176" t="str">
        <f aca="false">IF($D$127=5,$P$173,IF($D$127=6,$P$173,IF($D$127=8,$P$175,IF($D$127=10,"",IF($D$127=12,$P$174,IF($D$127=14,"",IF($D$127=18,$P$173,IF($D$127=20,$P$174,IF($D$127=22,"",)))))))))</f>
        <v>5,6,18 mm CAPTIVE WEDGE</v>
      </c>
      <c r="D194" s="176" t="str">
        <f aca="false">IF($D$127=5,$Q$173,IF($D$127=6,$Q$173,IF($D$127=8,$Q$175,IF($D$127=10,"",IF($D$127=12,$Q$174,IF($D$127=14,"",IF($D$127=18,$Q$173,IF($D$127=20,$Q$174,IF($D$127=22,"",)))))))))</f>
        <v>02-022</v>
      </c>
      <c r="E194" s="176" t="n">
        <f aca="false">IF($D$127=5,R178,IF($D$127=6,R178,IF($D$127=8,R180,IF($D$127=10,"",IF($D$127=12,R179,IF($D$127=14,"",IF($D$127=18,R178,IF($D$127=20,R179,IF($D$127=22,"",)))))))))</f>
        <v>0</v>
      </c>
      <c r="F194" s="167" t="str">
        <f aca="false">IF($D$127=5,$S$173,IF($D$127=6,$S$173,IF($D$127=8,$S$175,IF($D$127=10,"",IF($D$127=12,$S$174,IF($D$127=14,"",IF($D$127=18,$S$173,IF($D$127=20,$S$174,IF($D$127=22,"",)))))))))</f>
        <v>02-022</v>
      </c>
      <c r="G194" s="167" t="str">
        <f aca="false">IF($D$127=5,$T$173,IF($D$127=6,$T$173,IF($D$127=8,$T$175,IF($D$127=10,"",IF($D$127=12,$T$174,IF($D$127=14,"",IF($D$127=18,$T$173,IF($D$127=20,$T$174,IF($D$127=22,"",)))))))))</f>
        <v>M</v>
      </c>
      <c r="H194" s="173" t="n">
        <f aca="false">IF($D$127=5,$U$173,IF($D$127=6,$U$173,IF($D$127=8,$U$175,IF($D$127=10,"",IF($D$127=12,$U$174,IF($D$127=14,"",IF($D$127=18,$U$173,IF($D$127=20,$U$174,IF($D$127=22,"")))))))))</f>
        <v>56.76</v>
      </c>
      <c r="I194" s="174" t="n">
        <f aca="false">IF($D$127=5,$V$173,IF($D$127=6,$V$173,IF($D$127=8,$V$175,IF($D$127=10,"",IF($D$127=12,$V$174,IF($D$127=14,"",IF($D$127=18,$V$173,IF($D$127=20,$V$174,IF($D$127=22,"",)))))))))</f>
        <v>100</v>
      </c>
      <c r="J194" s="177" t="n">
        <f aca="false">ROUNDUP((H194)/100,0)</f>
        <v>1</v>
      </c>
    </row>
    <row r="195" s="96" customFormat="true" ht="18" hidden="false" customHeight="true" outlineLevel="0" collapsed="false">
      <c r="A195" s="170" t="str">
        <f aca="false">IF(B195="","",+A194+1)</f>
        <v/>
      </c>
      <c r="B195" s="131"/>
      <c r="C195" s="131"/>
      <c r="D195" s="132"/>
      <c r="E195" s="130"/>
      <c r="F195" s="130"/>
      <c r="G195" s="130"/>
      <c r="H195" s="130"/>
      <c r="I195" s="133"/>
      <c r="J195" s="134" t="n">
        <f aca="false">$J$120*H195</f>
        <v>0</v>
      </c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30"/>
      <c r="I196" s="133"/>
      <c r="J196" s="134"/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$J$120*H197</f>
        <v>0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295"/>
      <c r="E198" s="296"/>
      <c r="F198" s="296"/>
      <c r="G198" s="130"/>
      <c r="H198" s="130"/>
      <c r="I198" s="133"/>
      <c r="J198" s="134" t="n">
        <f aca="false">$J$120*H198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42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42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/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$J$120*H204</f>
        <v>0</v>
      </c>
    </row>
    <row r="205" s="96" customFormat="true" ht="18" hidden="false" customHeight="true" outlineLevel="0" collapsed="false">
      <c r="A205" s="179" t="str">
        <f aca="false">IF(B205="","",+A204+1)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$J$120*H205</f>
        <v>0</v>
      </c>
    </row>
    <row r="206" s="96" customFormat="true" ht="18" hidden="false" customHeight="true" outlineLevel="0" collapsed="false">
      <c r="A206" s="200"/>
      <c r="B206" s="98"/>
      <c r="D206" s="98"/>
      <c r="E206" s="97"/>
      <c r="F206" s="98"/>
      <c r="G206" s="98"/>
      <c r="H206" s="98"/>
      <c r="I206" s="196"/>
      <c r="J206" s="196"/>
    </row>
    <row r="207" customFormat="false" ht="18" hidden="false" customHeight="true" outlineLevel="0" collapsed="false">
      <c r="A207" s="97"/>
      <c r="J207" s="92" t="str">
        <f aca="false">LEFT($J$111,14)&amp;"-02"</f>
        <v>FG-240-11P6L5R-02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458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1940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461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1914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464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1940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97"/>
      <c r="H252" s="97"/>
      <c r="I252" s="196"/>
      <c r="J252" s="196"/>
    </row>
    <row r="253" s="96" customFormat="true" ht="15.75" hidden="false" customHeight="true" outlineLevel="0" collapsed="false">
      <c r="A253" s="191"/>
      <c r="B253" s="191"/>
      <c r="D253" s="192"/>
      <c r="E253" s="191"/>
      <c r="F253" s="191"/>
      <c r="G253" s="97"/>
      <c r="H253" s="97"/>
      <c r="I253" s="196"/>
      <c r="J253" s="196"/>
    </row>
    <row r="254" s="96" customFormat="true" ht="15.75" hidden="false" customHeight="true" outlineLevel="0" collapsed="false">
      <c r="A254" s="190"/>
      <c r="B254" s="190"/>
      <c r="C254" s="184" t="s">
        <v>465</v>
      </c>
      <c r="D254" s="194"/>
      <c r="E254" s="190"/>
      <c r="F254" s="189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459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460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5" t="n">
        <f aca="false">$I$136</f>
        <v>1940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7" t="n">
        <f aca="false">$J$136</f>
        <v>1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C262" s="98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184" t="s">
        <v>466</v>
      </c>
      <c r="D264" s="98"/>
      <c r="E264" s="97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467</v>
      </c>
      <c r="D265" s="181"/>
      <c r="E265" s="181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468</v>
      </c>
      <c r="D266" s="181"/>
      <c r="E266" s="181"/>
      <c r="F266" s="97"/>
      <c r="G266" s="97"/>
      <c r="H266" s="97"/>
      <c r="J266" s="97"/>
    </row>
    <row r="267" s="96" customFormat="true" ht="15.75" hidden="false" customHeight="true" outlineLevel="0" collapsed="false">
      <c r="A267" s="200"/>
      <c r="C267" s="185" t="n">
        <f aca="false">$I$137</f>
        <v>2500</v>
      </c>
      <c r="D267" s="98"/>
      <c r="E267" s="97"/>
      <c r="F267" s="97"/>
      <c r="J267" s="97"/>
    </row>
    <row r="268" s="96" customFormat="true" ht="15.75" hidden="false" customHeight="true" outlineLevel="0" collapsed="false">
      <c r="A268" s="200"/>
      <c r="C268" s="187" t="n">
        <f aca="false">$J$137+$J$138</f>
        <v>2</v>
      </c>
      <c r="D268" s="98"/>
      <c r="E268" s="97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I272" s="196"/>
      <c r="J272" s="196"/>
    </row>
    <row r="273" s="96" customFormat="true" ht="15.75" hidden="false" customHeight="true" outlineLevel="0" collapsed="false">
      <c r="A273" s="200"/>
      <c r="D273" s="98"/>
      <c r="E273" s="97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C274" s="184" t="s">
        <v>469</v>
      </c>
      <c r="D274" s="201"/>
      <c r="E274" s="196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1" t="s">
        <v>470</v>
      </c>
      <c r="D275" s="181"/>
      <c r="E275" s="181"/>
      <c r="F275" s="97"/>
      <c r="G275" s="97"/>
      <c r="I275" s="97"/>
      <c r="J275" s="196"/>
    </row>
    <row r="276" s="96" customFormat="true" ht="15.75" hidden="false" customHeight="true" outlineLevel="0" collapsed="false">
      <c r="A276" s="200"/>
      <c r="C276" s="181" t="s">
        <v>471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5" t="n">
        <f aca="false">$I$139</f>
        <v>2404</v>
      </c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7" t="n">
        <f aca="false">$J$139+$J$140</f>
        <v>2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F279" s="97"/>
      <c r="G279" s="97"/>
      <c r="H279" s="97"/>
      <c r="J279" s="97"/>
    </row>
    <row r="280" s="96" customFormat="true" ht="15.75" hidden="false" customHeight="true" outlineLevel="0" collapsed="false">
      <c r="A280" s="200"/>
      <c r="D280" s="98"/>
      <c r="E280" s="97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I282" s="201"/>
      <c r="J282" s="196"/>
    </row>
    <row r="283" s="96" customFormat="true" ht="15.75" hidden="false" customHeight="true" outlineLevel="0" collapsed="false">
      <c r="A283" s="200"/>
      <c r="C283" s="184" t="s">
        <v>472</v>
      </c>
      <c r="F283" s="97"/>
      <c r="G283" s="97"/>
      <c r="H283" s="97"/>
      <c r="I283" s="97"/>
      <c r="J283" s="196"/>
    </row>
    <row r="284" s="96" customFormat="true" ht="15.75" hidden="false" customHeight="true" outlineLevel="0" collapsed="false">
      <c r="A284" s="200"/>
      <c r="C284" s="83" t="s">
        <v>793</v>
      </c>
      <c r="D284" s="98"/>
      <c r="E284" s="97"/>
      <c r="F284" s="97"/>
      <c r="G284" s="97"/>
      <c r="H284" s="97"/>
      <c r="I284" s="196"/>
      <c r="J284" s="196"/>
    </row>
    <row r="285" s="96" customFormat="true" ht="15.75" hidden="false" customHeight="true" outlineLevel="0" collapsed="false">
      <c r="A285" s="200"/>
      <c r="C285" s="181" t="s">
        <v>795</v>
      </c>
      <c r="D285" s="98"/>
      <c r="E285" s="97"/>
      <c r="F285" s="97"/>
      <c r="G285" s="97"/>
      <c r="H285" s="97"/>
      <c r="I285" s="196"/>
      <c r="J285" s="196"/>
    </row>
    <row r="286" s="96" customFormat="true" ht="15.75" hidden="false" customHeight="true" outlineLevel="0" collapsed="false">
      <c r="A286" s="200"/>
      <c r="C286" s="181" t="s">
        <v>475</v>
      </c>
      <c r="D286" s="181"/>
      <c r="E286" s="181"/>
      <c r="F286" s="97"/>
      <c r="G286" s="97"/>
      <c r="I286" s="196"/>
      <c r="J286" s="196"/>
    </row>
    <row r="287" s="202" customFormat="true" ht="15.75" hidden="false" customHeight="true" outlineLevel="0" collapsed="false">
      <c r="A287" s="200"/>
      <c r="B287" s="96"/>
      <c r="C287" s="181" t="s">
        <v>476</v>
      </c>
      <c r="D287" s="181"/>
      <c r="E287" s="181"/>
      <c r="F287" s="97"/>
      <c r="G287" s="97"/>
      <c r="H287" s="96"/>
      <c r="I287" s="97"/>
      <c r="J287" s="97"/>
    </row>
    <row r="288" s="96" customFormat="true" ht="15.75" hidden="false" customHeight="true" outlineLevel="0" collapsed="false">
      <c r="A288" s="200"/>
      <c r="C288" s="185" t="n">
        <f aca="false">$I$141</f>
        <v>172</v>
      </c>
      <c r="F288" s="97"/>
      <c r="G288" s="97"/>
      <c r="I288" s="191"/>
      <c r="J288" s="199"/>
    </row>
    <row r="289" s="96" customFormat="true" ht="15.75" hidden="false" customHeight="true" outlineLevel="0" collapsed="false">
      <c r="A289" s="200"/>
      <c r="C289" s="187" t="n">
        <f aca="false">$J$141+$J$142</f>
        <v>22</v>
      </c>
      <c r="D289" s="98"/>
      <c r="E289" s="97"/>
      <c r="F289" s="97"/>
      <c r="G289" s="97"/>
      <c r="H289" s="98"/>
      <c r="I289" s="189"/>
      <c r="J289" s="190"/>
    </row>
    <row r="290" s="96" customFormat="true" ht="15.75" hidden="false" customHeight="true" outlineLevel="0" collapsed="false">
      <c r="A290" s="200"/>
      <c r="C290" s="185" t="n">
        <f aca="false">$I$143</f>
        <v>2408</v>
      </c>
      <c r="D290" s="98"/>
      <c r="E290" s="97"/>
      <c r="F290" s="97"/>
      <c r="G290" s="97"/>
      <c r="H290" s="97"/>
      <c r="I290" s="196"/>
      <c r="J290" s="196"/>
    </row>
    <row r="291" s="96" customFormat="true" ht="15.75" hidden="false" customHeight="true" outlineLevel="0" collapsed="false">
      <c r="A291" s="200"/>
      <c r="C291" s="187" t="n">
        <f aca="false">$J$143+$J$144+$J$145+$J$146</f>
        <v>22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D292" s="98"/>
      <c r="E292" s="97"/>
      <c r="F292" s="97"/>
      <c r="G292" s="97"/>
      <c r="H292" s="97"/>
      <c r="I292" s="196"/>
      <c r="J292" s="196"/>
    </row>
    <row r="293" s="96" customFormat="true" ht="15.75" hidden="false" customHeight="true" outlineLevel="0" collapsed="false">
      <c r="A293" s="200"/>
      <c r="D293" s="98"/>
      <c r="E293" s="97"/>
      <c r="F293" s="97"/>
      <c r="G293" s="97"/>
      <c r="H293" s="97"/>
      <c r="I293" s="97"/>
      <c r="J293" s="196"/>
    </row>
    <row r="294" s="96" customFormat="true" ht="15.75" hidden="false" customHeight="true" outlineLevel="0" collapsed="false">
      <c r="A294" s="200"/>
      <c r="C294" s="202"/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184" t="s">
        <v>477</v>
      </c>
      <c r="D295" s="98"/>
      <c r="E295" s="97"/>
      <c r="F295" s="97"/>
      <c r="G295" s="97"/>
      <c r="H295" s="97"/>
      <c r="I295" s="97"/>
      <c r="J295" s="196"/>
    </row>
    <row r="296" s="96" customFormat="true" ht="15.75" hidden="false" customHeight="true" outlineLevel="0" collapsed="false">
      <c r="A296" s="200"/>
      <c r="C296" s="83" t="s">
        <v>793</v>
      </c>
      <c r="D296" s="98"/>
      <c r="E296" s="97"/>
      <c r="F296" s="97"/>
      <c r="G296" s="191"/>
      <c r="H296" s="191"/>
      <c r="I296" s="97"/>
      <c r="J296" s="196"/>
    </row>
    <row r="297" s="96" customFormat="true" ht="15.75" hidden="false" customHeight="true" outlineLevel="0" collapsed="false">
      <c r="A297" s="200"/>
      <c r="C297" s="181" t="s">
        <v>795</v>
      </c>
      <c r="D297" s="181"/>
      <c r="E297" s="181"/>
      <c r="F297" s="97"/>
      <c r="G297" s="190"/>
      <c r="H297" s="189"/>
      <c r="I297" s="97"/>
      <c r="J297" s="196"/>
    </row>
    <row r="298" s="96" customFormat="true" ht="15.75" hidden="false" customHeight="true" outlineLevel="0" collapsed="false">
      <c r="A298" s="107"/>
      <c r="C298" s="181" t="s">
        <v>478</v>
      </c>
      <c r="D298" s="181"/>
      <c r="E298" s="181"/>
      <c r="F298" s="97"/>
      <c r="G298" s="97"/>
      <c r="H298" s="97"/>
      <c r="I298" s="97"/>
      <c r="J298" s="196"/>
    </row>
    <row r="299" s="96" customFormat="true" ht="15.75" hidden="false" customHeight="true" outlineLevel="0" collapsed="false">
      <c r="A299" s="191"/>
      <c r="B299" s="191"/>
      <c r="C299" s="181" t="s">
        <v>479</v>
      </c>
      <c r="D299" s="203"/>
      <c r="E299" s="204"/>
      <c r="F299" s="191"/>
      <c r="G299" s="97"/>
      <c r="H299" s="97"/>
      <c r="I299" s="97"/>
      <c r="J299" s="196"/>
    </row>
    <row r="300" s="96" customFormat="true" ht="15.75" hidden="false" customHeight="true" outlineLevel="0" collapsed="false">
      <c r="A300" s="190"/>
      <c r="B300" s="190"/>
      <c r="C300" s="185" t="n">
        <f aca="false">$I$147</f>
        <v>62.0454545454546</v>
      </c>
      <c r="D300" s="205"/>
      <c r="E300" s="206"/>
      <c r="F300" s="189"/>
      <c r="G300" s="97"/>
      <c r="H300" s="97"/>
      <c r="I300" s="97"/>
      <c r="J300" s="196"/>
    </row>
    <row r="301" s="96" customFormat="true" ht="15.75" hidden="false" customHeight="true" outlineLevel="0" collapsed="false">
      <c r="A301" s="97"/>
      <c r="C301" s="187" t="n">
        <f aca="false">$J$147</f>
        <v>22</v>
      </c>
      <c r="D301" s="98"/>
      <c r="F301" s="97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5" t="n">
        <f aca="false">$I$148</f>
        <v>2258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C303" s="187" t="n">
        <f aca="false">$J$148</f>
        <v>22</v>
      </c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C306" s="184" t="s">
        <v>744</v>
      </c>
      <c r="D306" s="98"/>
      <c r="E306" s="97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1" t="s">
        <v>475</v>
      </c>
      <c r="D307" s="181"/>
      <c r="E307" s="181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249" t="s">
        <v>476</v>
      </c>
      <c r="D308" s="249"/>
      <c r="E308" s="249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5" t="n">
        <f aca="false">$I$149</f>
        <v>2408</v>
      </c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7" t="n">
        <f aca="false">$J$149+$J$150</f>
        <v>2</v>
      </c>
      <c r="D310" s="181"/>
      <c r="E310" s="181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C311" s="181"/>
      <c r="D311" s="181"/>
      <c r="E311" s="181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C312" s="181"/>
      <c r="D312" s="181"/>
      <c r="E312" s="181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LEFT($J$111,14)&amp;"-03"</f>
        <v>FG-240-11P6L5R-03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I316" s="76"/>
      <c r="J316" s="77" t="str">
        <f aca="false">$J$2</f>
        <v>HOMELIFE</v>
      </c>
      <c r="K316" s="83"/>
      <c r="L316" s="83"/>
      <c r="M316" s="79"/>
      <c r="N316" s="79"/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240-11 Panel (6L5R)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195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91"/>
      <c r="D405" s="98"/>
      <c r="E405" s="97"/>
      <c r="F405" s="97"/>
      <c r="G405" s="97"/>
      <c r="H405" s="97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LEFT($J$111,14)&amp;"-04"</f>
        <v>FG-240-11P6L5R-04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B423" s="96"/>
      <c r="C423" s="96"/>
      <c r="D423" s="98"/>
      <c r="E423" s="97"/>
      <c r="F423" s="97"/>
      <c r="G423" s="97"/>
      <c r="H423" s="97"/>
      <c r="I423" s="76"/>
      <c r="J423" s="77" t="str">
        <f aca="false">J2</f>
        <v>HOMELIFE</v>
      </c>
      <c r="K423" s="83"/>
      <c r="L423" s="83"/>
      <c r="M423" s="79"/>
      <c r="N423" s="79"/>
    </row>
    <row r="424" customFormat="false" ht="24.75" hidden="false" customHeight="true" outlineLevel="0" collapsed="false">
      <c r="C424" s="75"/>
      <c r="D424" s="76"/>
      <c r="E424" s="76"/>
      <c r="F424" s="76"/>
      <c r="G424" s="76"/>
      <c r="H424" s="76"/>
      <c r="I424" s="82"/>
      <c r="J424" s="80" t="str">
        <f aca="false">J3</f>
        <v>Fabricators Guide</v>
      </c>
      <c r="K424" s="83"/>
      <c r="L424" s="83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J4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240-11 Panel (6L5R)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191"/>
      <c r="C442" s="212"/>
      <c r="D442" s="98"/>
      <c r="E442" s="97"/>
      <c r="F442" s="97"/>
      <c r="H442" s="191"/>
      <c r="I442" s="191"/>
      <c r="J442" s="199"/>
    </row>
    <row r="443" s="96" customFormat="true" ht="15.75" hidden="false" customHeight="true" outlineLevel="0" collapsed="false">
      <c r="A443" s="190"/>
      <c r="C443" s="191"/>
      <c r="D443" s="192"/>
      <c r="E443" s="191"/>
      <c r="F443" s="191"/>
      <c r="H443" s="191"/>
      <c r="I443" s="191"/>
      <c r="J443" s="199"/>
    </row>
    <row r="444" s="96" customFormat="true" ht="34.5" hidden="false" customHeight="true" outlineLevel="0" collapsed="false">
      <c r="A444" s="97"/>
      <c r="C444" s="98"/>
      <c r="D444" s="194"/>
      <c r="E444" s="190"/>
      <c r="F444" s="189"/>
      <c r="H444" s="191"/>
      <c r="I444" s="196"/>
      <c r="J444" s="196"/>
    </row>
    <row r="445" customFormat="false" ht="15" hidden="false" customHeight="true" outlineLevel="0" collapsed="false">
      <c r="B445" s="211"/>
      <c r="C445" s="98"/>
      <c r="D445" s="98"/>
      <c r="E445" s="97"/>
      <c r="F445" s="98"/>
      <c r="G445" s="97"/>
      <c r="H445" s="97"/>
    </row>
    <row r="450" s="96" customFormat="true" ht="15.75" hidden="false" customHeight="true" outlineLevel="0" collapsed="false">
      <c r="A450" s="97"/>
      <c r="D450" s="73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191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97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196"/>
      <c r="J457" s="196"/>
    </row>
    <row r="458" s="96" customFormat="true" ht="15.7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195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202" customFormat="true" ht="15.75" hidden="false" customHeight="true" outlineLevel="0" collapsed="false">
      <c r="A477" s="97"/>
      <c r="B477" s="96"/>
      <c r="C477" s="96"/>
      <c r="D477" s="98"/>
      <c r="E477" s="97"/>
      <c r="F477" s="97"/>
      <c r="G477" s="97"/>
      <c r="H477" s="97"/>
      <c r="I477" s="97"/>
      <c r="J477" s="97"/>
    </row>
    <row r="478" s="96" customFormat="true" ht="15.75" hidden="false" customHeight="true" outlineLevel="0" collapsed="false">
      <c r="A478" s="191"/>
      <c r="D478" s="98"/>
      <c r="E478" s="97"/>
      <c r="F478" s="97"/>
      <c r="G478" s="97"/>
      <c r="H478" s="97"/>
      <c r="I478" s="191"/>
      <c r="J478" s="199"/>
    </row>
    <row r="479" s="96" customFormat="true" ht="15.75" hidden="false" customHeight="true" outlineLevel="0" collapsed="false">
      <c r="A479" s="190"/>
      <c r="B479" s="191"/>
      <c r="C479" s="191"/>
      <c r="D479" s="192"/>
      <c r="E479" s="191"/>
      <c r="F479" s="191"/>
      <c r="G479" s="191"/>
      <c r="H479" s="191"/>
      <c r="I479" s="189"/>
      <c r="J479" s="190"/>
    </row>
    <row r="480" s="96" customFormat="true" ht="15.75" hidden="false" customHeight="true" outlineLevel="0" collapsed="false">
      <c r="A480" s="200"/>
      <c r="B480" s="190"/>
      <c r="C480" s="191"/>
      <c r="D480" s="194"/>
      <c r="E480" s="190"/>
      <c r="F480" s="189"/>
      <c r="G480" s="190"/>
      <c r="H480" s="189"/>
      <c r="I480" s="196"/>
      <c r="J480" s="196"/>
    </row>
    <row r="481" s="96" customFormat="true" ht="15.75" hidden="false" customHeight="true" outlineLevel="0" collapsed="false">
      <c r="A481" s="200"/>
      <c r="C481" s="182"/>
      <c r="D481" s="98"/>
      <c r="E481" s="97"/>
      <c r="F481" s="97"/>
      <c r="G481" s="97"/>
      <c r="H481" s="182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C487" s="98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182"/>
      <c r="J499" s="97"/>
    </row>
    <row r="500" s="96" customFormat="true" ht="15.75" hidden="false" customHeight="true" outlineLevel="0" collapsed="false">
      <c r="A500" s="200"/>
      <c r="C500" s="188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I501" s="196"/>
      <c r="J501" s="196"/>
    </row>
    <row r="502" s="96" customFormat="true" ht="15.75" hidden="false" customHeight="true" outlineLevel="0" collapsed="false">
      <c r="A502" s="200"/>
      <c r="C502" s="98"/>
      <c r="D502" s="98"/>
      <c r="E502" s="97"/>
      <c r="F502" s="97"/>
      <c r="G502" s="97"/>
      <c r="H502" s="182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191"/>
      <c r="D513" s="98"/>
      <c r="E513" s="97"/>
      <c r="F513" s="97"/>
      <c r="G513" s="97"/>
      <c r="I513" s="191"/>
      <c r="J513" s="199"/>
    </row>
    <row r="514" s="96" customFormat="true" ht="15.75" hidden="false" customHeight="true" outlineLevel="0" collapsed="false">
      <c r="A514" s="191"/>
      <c r="B514" s="191"/>
      <c r="C514" s="191"/>
      <c r="D514" s="192"/>
      <c r="E514" s="191"/>
      <c r="F514" s="191"/>
      <c r="G514" s="191"/>
      <c r="H514" s="191"/>
      <c r="I514" s="191"/>
      <c r="J514" s="199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B516" s="191"/>
      <c r="C516" s="191"/>
      <c r="D516" s="192"/>
      <c r="E516" s="191"/>
      <c r="F516" s="191"/>
      <c r="G516" s="191"/>
      <c r="H516" s="191"/>
    </row>
    <row r="517" s="96" customFormat="true" ht="15.75" hidden="false" customHeight="true" outlineLevel="0" collapsed="false"/>
    <row r="518" s="96" customFormat="true" ht="24.75" hidden="false" customHeight="true" outlineLevel="0" collapsed="false">
      <c r="A518" s="88" t="s">
        <v>482</v>
      </c>
      <c r="B518" s="88"/>
      <c r="C518" s="88"/>
      <c r="D518" s="88"/>
      <c r="E518" s="88"/>
      <c r="F518" s="88"/>
      <c r="G518" s="88"/>
      <c r="H518" s="88"/>
      <c r="I518" s="88"/>
      <c r="J518" s="88"/>
    </row>
    <row r="519" s="96" customFormat="true" ht="34.5" hidden="false" customHeight="true" outlineLevel="0" collapsed="false">
      <c r="A519" s="322" t="s">
        <v>319</v>
      </c>
      <c r="B519" s="323" t="s">
        <v>168</v>
      </c>
      <c r="C519" s="115" t="s">
        <v>168</v>
      </c>
      <c r="D519" s="116" t="s">
        <v>483</v>
      </c>
      <c r="E519" s="115" t="s">
        <v>321</v>
      </c>
      <c r="F519" s="239" t="s">
        <v>484</v>
      </c>
      <c r="G519" s="240"/>
      <c r="H519" s="116" t="s">
        <v>484</v>
      </c>
      <c r="I519" s="116" t="s">
        <v>485</v>
      </c>
      <c r="J519" s="117" t="s">
        <v>323</v>
      </c>
      <c r="N519" s="118" t="s">
        <v>168</v>
      </c>
      <c r="O519" s="118" t="s">
        <v>168</v>
      </c>
    </row>
    <row r="520" s="96" customFormat="true" ht="15.75" hidden="false" customHeight="true" outlineLevel="0" collapsed="false">
      <c r="A520" s="324" t="n">
        <f aca="false">IF(C520="","",1)</f>
        <v>1</v>
      </c>
      <c r="B520" s="121" t="str">
        <f aca="false">IF($D$127=5,N520,IF($D$127=6,N521,IF($D$127=8,N522,IF($D$127=10,N523,IF($D$127=12,N524,IF($D$127=14,N525,IF($D$127=18,N526,IF($D$127=20,N527,IF($D$127=22,N528,)))))))))</f>
        <v>กระจก 5 mm (สูง) (กว้าง)</v>
      </c>
      <c r="C520" s="121" t="str">
        <f aca="false">IF($D$127=5,O520,IF($D$127=6,O521,IF($D$127=8,O522,IF($D$127=10,O523,IF($D$127=12,O524,IF($D$127=14,O525,IF($D$127=18,O526,IF($D$127=20,O527,IF($D$127=22,O528,)))))))))</f>
        <v>GLASS thk.5 mm (H) (W)</v>
      </c>
      <c r="D520" s="123" t="n">
        <f aca="false">$J$123-215</f>
        <v>2285</v>
      </c>
      <c r="E520" s="120" t="s">
        <v>486</v>
      </c>
      <c r="F520" s="224" t="s">
        <v>487</v>
      </c>
      <c r="G520" s="224"/>
      <c r="H520" s="120" t="s">
        <v>796</v>
      </c>
      <c r="I520" s="225" t="n">
        <f aca="false">(($J$126-185-(113.25*10))/11)-13</f>
        <v>49.0454545454546</v>
      </c>
      <c r="J520" s="226" t="n">
        <f aca="false">$J$120*11</f>
        <v>11</v>
      </c>
      <c r="N520" s="62" t="s">
        <v>489</v>
      </c>
      <c r="O520" s="62" t="s">
        <v>490</v>
      </c>
    </row>
    <row r="521" s="96" customFormat="true" ht="15.75" hidden="false" customHeight="true" outlineLevel="0" collapsed="false">
      <c r="A521" s="227"/>
      <c r="B521" s="131"/>
      <c r="C521" s="131"/>
      <c r="D521" s="132" t="s">
        <v>208</v>
      </c>
      <c r="E521" s="130"/>
      <c r="F521" s="233"/>
      <c r="G521" s="234"/>
      <c r="H521" s="131"/>
      <c r="I521" s="133"/>
      <c r="J521" s="235"/>
      <c r="N521" s="62" t="s">
        <v>491</v>
      </c>
      <c r="O521" s="62" t="s">
        <v>492</v>
      </c>
    </row>
    <row r="522" s="96" customFormat="true" ht="15.75" hidden="false" customHeight="true" outlineLevel="0" collapsed="false">
      <c r="A522" s="227"/>
      <c r="B522" s="131"/>
      <c r="C522" s="131"/>
      <c r="D522" s="132"/>
      <c r="E522" s="130"/>
      <c r="F522" s="233"/>
      <c r="G522" s="234"/>
      <c r="H522" s="130"/>
      <c r="I522" s="133"/>
      <c r="J522" s="235"/>
      <c r="N522" s="62" t="s">
        <v>493</v>
      </c>
      <c r="O522" s="62" t="s">
        <v>494</v>
      </c>
    </row>
    <row r="523" s="96" customFormat="true" ht="15.75" hidden="false" customHeight="true" outlineLevel="0" collapsed="false">
      <c r="A523" s="130" t="str">
        <f aca="false">IF(B523="","",+A521+1)</f>
        <v/>
      </c>
      <c r="B523" s="131"/>
      <c r="C523" s="131"/>
      <c r="D523" s="132"/>
      <c r="E523" s="130"/>
      <c r="F523" s="233"/>
      <c r="G523" s="270"/>
      <c r="H523" s="130"/>
      <c r="I523" s="142"/>
      <c r="J523" s="133"/>
      <c r="N523" s="62" t="s">
        <v>495</v>
      </c>
      <c r="O523" s="62" t="s">
        <v>496</v>
      </c>
    </row>
    <row r="524" s="96" customFormat="true" ht="15.75" hidden="false" customHeight="true" outlineLevel="0" collapsed="false">
      <c r="A524" s="136" t="str">
        <f aca="false">IF(B524="","",+A523+1)</f>
        <v/>
      </c>
      <c r="B524" s="135"/>
      <c r="C524" s="135"/>
      <c r="D524" s="139"/>
      <c r="E524" s="136"/>
      <c r="F524" s="236"/>
      <c r="G524" s="237"/>
      <c r="H524" s="136"/>
      <c r="I524" s="180"/>
      <c r="J524" s="140"/>
      <c r="N524" s="62" t="s">
        <v>497</v>
      </c>
      <c r="O524" s="62" t="s">
        <v>498</v>
      </c>
    </row>
    <row r="525" s="96" customFormat="true" ht="15.75" hidden="false" customHeight="true" outlineLevel="0" collapsed="false">
      <c r="A525" s="97"/>
      <c r="D525" s="98"/>
      <c r="E525" s="97"/>
      <c r="F525" s="97"/>
      <c r="G525" s="97"/>
      <c r="H525" s="97"/>
      <c r="I525" s="97"/>
      <c r="J525" s="196"/>
      <c r="N525" s="62" t="s">
        <v>499</v>
      </c>
      <c r="O525" s="62" t="s">
        <v>500</v>
      </c>
    </row>
    <row r="526" customFormat="false" ht="14.25" hidden="false" customHeight="false" outlineLevel="0" collapsed="false">
      <c r="J526" s="92" t="str">
        <f aca="false">LEFT($J$111,14)&amp;"-05"</f>
        <v>FG-240-11P6L5R-05</v>
      </c>
      <c r="N526" s="62" t="s">
        <v>501</v>
      </c>
      <c r="O526" s="62" t="s">
        <v>502</v>
      </c>
    </row>
    <row r="527" customFormat="false" ht="14.25" hidden="false" customHeight="false" outlineLevel="0" collapsed="false">
      <c r="N527" s="62" t="s">
        <v>503</v>
      </c>
      <c r="O527" s="62" t="s">
        <v>504</v>
      </c>
    </row>
    <row r="528" customFormat="false" ht="14.25" hidden="false" customHeight="false" outlineLevel="0" collapsed="false">
      <c r="N528" s="62" t="s">
        <v>505</v>
      </c>
      <c r="O528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2:J152"/>
    <mergeCell ref="I153:J153"/>
    <mergeCell ref="I154:J154"/>
    <mergeCell ref="I155:J155"/>
    <mergeCell ref="I156:J156"/>
    <mergeCell ref="D157:D158"/>
    <mergeCell ref="H157:H158"/>
    <mergeCell ref="I157:J158"/>
    <mergeCell ref="D159:D160"/>
    <mergeCell ref="H159:H160"/>
    <mergeCell ref="I159:J159"/>
    <mergeCell ref="I160:J163"/>
    <mergeCell ref="D161:D166"/>
    <mergeCell ref="H161:H166"/>
    <mergeCell ref="I164:J165"/>
    <mergeCell ref="I166:J166"/>
    <mergeCell ref="D167:D168"/>
    <mergeCell ref="H167:H168"/>
    <mergeCell ref="D169:D170"/>
    <mergeCell ref="H169:H170"/>
    <mergeCell ref="A171:J171"/>
    <mergeCell ref="A213:J213"/>
    <mergeCell ref="C308:E308"/>
    <mergeCell ref="A320:J320"/>
    <mergeCell ref="F330:G330"/>
    <mergeCell ref="F331:G331"/>
    <mergeCell ref="F334:G334"/>
    <mergeCell ref="A427:J427"/>
    <mergeCell ref="A518:J518"/>
    <mergeCell ref="F520:G520"/>
  </mergeCells>
  <dataValidations count="4">
    <dataValidation allowBlank="true" errorStyle="stop" operator="between" showDropDown="false" showErrorMessage="true" showInputMessage="true" sqref="C206" type="list">
      <formula1>$O$173:$O$191</formula1>
      <formula2>0</formula2>
    </dataValidation>
    <dataValidation allowBlank="true" errorStyle="stop" operator="between" showDropDown="false" showErrorMessage="true" showInputMessage="true" sqref="D123:G123" type="list">
      <formula1>$P$118:$P$127</formula1>
      <formula2>0</formula2>
    </dataValidation>
    <dataValidation allowBlank="true" errorStyle="stop" operator="between" showDropDown="false" showErrorMessage="true" showInputMessage="true" sqref="D127:G127" type="list">
      <formula1>$N$119:$N$127</formula1>
      <formula2>0</formula2>
    </dataValidation>
    <dataValidation allowBlank="true" errorStyle="stop" operator="between" showDropDown="false" showErrorMessage="true" showInputMessage="true" sqref="D129:G129" type="list">
      <formula1>$O$119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528"/>
  <sheetViews>
    <sheetView showFormulas="false" showGridLines="false" showRowColHeaders="true" showZeros="true" rightToLeft="false" tabSelected="false" showOutlineSymbols="true" defaultGridColor="true" view="pageBreakPreview" topLeftCell="A113" colorId="64" zoomScale="75" zoomScaleNormal="75" zoomScalePageLayoutView="75" workbookViewId="0">
      <selection pane="topLeft" activeCell="I135" activeCellId="0" sqref="I135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55.67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9"/>
    <col collapsed="false" customWidth="true" hidden="false" outlineLevel="0" max="9" min="9" style="0" width="15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2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799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>
      <c r="G55" s="91"/>
    </row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800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8" hidden="false" customHeight="true" outlineLevel="0" collapsed="false">
      <c r="A118" s="97"/>
      <c r="C118" s="81"/>
      <c r="D118" s="98"/>
      <c r="E118" s="83"/>
      <c r="J118" s="99"/>
      <c r="K118" s="83"/>
      <c r="N118" s="258" t="s">
        <v>288</v>
      </c>
      <c r="O118" s="97" t="s">
        <v>289</v>
      </c>
      <c r="P118" s="102" t="s">
        <v>290</v>
      </c>
    </row>
    <row r="119" s="96" customFormat="true" ht="15" hidden="false" customHeight="true" outlineLevel="0" collapsed="false">
      <c r="A119" s="97"/>
      <c r="C119" s="100" t="s">
        <v>286</v>
      </c>
      <c r="D119" s="101"/>
      <c r="E119" s="101"/>
      <c r="F119" s="101"/>
      <c r="G119" s="101"/>
      <c r="I119" s="83"/>
      <c r="J119" s="97"/>
      <c r="N119" s="259" t="n">
        <v>5</v>
      </c>
      <c r="O119" s="97" t="s">
        <v>509</v>
      </c>
      <c r="P119" s="106" t="s">
        <v>294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259" t="n">
        <v>6</v>
      </c>
      <c r="O120" s="97" t="s">
        <v>296</v>
      </c>
      <c r="P120" s="106" t="s">
        <v>297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8</v>
      </c>
      <c r="P121" s="106" t="s">
        <v>299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10</v>
      </c>
      <c r="P122" s="106" t="s">
        <v>303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2500</v>
      </c>
      <c r="N123" s="259" t="n">
        <v>12</v>
      </c>
      <c r="P123" s="106" t="s">
        <v>305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14</v>
      </c>
      <c r="P124" s="106" t="s">
        <v>308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18</v>
      </c>
      <c r="P125" s="106" t="s">
        <v>311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2000</v>
      </c>
      <c r="K126" s="110"/>
      <c r="L126" s="110"/>
      <c r="N126" s="259" t="n">
        <v>20</v>
      </c>
      <c r="P126" s="106" t="s">
        <v>313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5</v>
      </c>
      <c r="E127" s="111"/>
      <c r="F127" s="111"/>
      <c r="G127" s="111"/>
      <c r="H127" s="104"/>
      <c r="I127" s="104"/>
      <c r="J127" s="105"/>
      <c r="N127" s="259" t="n">
        <v>22</v>
      </c>
      <c r="P127" s="106" t="s">
        <v>315</v>
      </c>
    </row>
    <row r="128" s="96" customFormat="true" ht="18.75" hidden="false" customHeight="true" outlineLevel="0" collapsed="false">
      <c r="C128" s="108" t="s">
        <v>314</v>
      </c>
      <c r="I128" s="97"/>
      <c r="J128" s="97"/>
    </row>
    <row r="129" s="96" customFormat="true" ht="15" hidden="false" customHeight="true" outlineLevel="0" collapsed="false">
      <c r="A129" s="89" t="str">
        <f aca="false">A18</f>
        <v>240-12 Panel (5L7R)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1940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24</v>
      </c>
      <c r="U133" s="127" t="s">
        <v>801</v>
      </c>
      <c r="V133" s="247" t="n">
        <f aca="false">($J$126-185-(113.25*11))/12</f>
        <v>47.4375</v>
      </c>
      <c r="W133" s="129" t="n">
        <f aca="false">$J$120*T133</f>
        <v>24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1914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24</v>
      </c>
      <c r="U134" s="130" t="s">
        <v>801</v>
      </c>
      <c r="V134" s="141" t="n">
        <f aca="false">($J$126-185-(113.25*11))/12</f>
        <v>47.4375</v>
      </c>
      <c r="W134" s="134" t="n">
        <f aca="false">$J$120*T134</f>
        <v>24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1940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24</v>
      </c>
      <c r="U135" s="136" t="s">
        <v>801</v>
      </c>
      <c r="V135" s="254" t="n">
        <f aca="false">($J$126-185-(113.25*11))/12</f>
        <v>47.4375</v>
      </c>
      <c r="W135" s="137" t="n">
        <f aca="false">$J$120*T135</f>
        <v>24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1940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24</v>
      </c>
      <c r="U136" s="127" t="s">
        <v>360</v>
      </c>
      <c r="V136" s="138" t="n">
        <f aca="false">$J$123-242</f>
        <v>2258</v>
      </c>
      <c r="W136" s="129" t="n">
        <f aca="false">$J$120*T136</f>
        <v>24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2500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24</v>
      </c>
      <c r="U137" s="130" t="s">
        <v>360</v>
      </c>
      <c r="V137" s="133" t="n">
        <f aca="false">$J$123-242</f>
        <v>2258</v>
      </c>
      <c r="W137" s="134" t="n">
        <f aca="false">$J$120*T137</f>
        <v>24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2500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24</v>
      </c>
      <c r="U138" s="136" t="s">
        <v>360</v>
      </c>
      <c r="V138" s="140" t="n">
        <f aca="false">$J$123-242</f>
        <v>2258</v>
      </c>
      <c r="W138" s="137" t="n">
        <f aca="false">$J$120*T138</f>
        <v>24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2404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2404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12</v>
      </c>
      <c r="H141" s="321" t="s">
        <v>802</v>
      </c>
      <c r="I141" s="141" t="n">
        <f aca="false">($J$126-60-(12+1)*4)/12</f>
        <v>157.333333333333</v>
      </c>
      <c r="J141" s="134" t="n">
        <f aca="false">$J$120*G141</f>
        <v>12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12</v>
      </c>
      <c r="H142" s="321" t="s">
        <v>802</v>
      </c>
      <c r="I142" s="141" t="n">
        <f aca="false">($J$126-60-(12+1)*4)/12</f>
        <v>157.333333333333</v>
      </c>
      <c r="J142" s="134" t="n">
        <f aca="false">$J$120*G142</f>
        <v>12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18</v>
      </c>
      <c r="H143" s="130" t="s">
        <v>389</v>
      </c>
      <c r="I143" s="133" t="n">
        <f aca="false">$J$123-92</f>
        <v>2408</v>
      </c>
      <c r="J143" s="134" t="n">
        <f aca="false">$J$120*G143</f>
        <v>18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2</v>
      </c>
      <c r="H144" s="130" t="s">
        <v>389</v>
      </c>
      <c r="I144" s="133" t="n">
        <f aca="false">$J$123-92</f>
        <v>2408</v>
      </c>
      <c r="J144" s="134" t="n">
        <f aca="false">$J$120*G144</f>
        <v>2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390</v>
      </c>
      <c r="C145" s="131" t="s">
        <v>656</v>
      </c>
      <c r="D145" s="132" t="s">
        <v>74</v>
      </c>
      <c r="E145" s="130" t="n">
        <v>1.106</v>
      </c>
      <c r="F145" s="132" t="s">
        <v>563</v>
      </c>
      <c r="G145" s="130" t="n">
        <v>3</v>
      </c>
      <c r="H145" s="130" t="s">
        <v>389</v>
      </c>
      <c r="I145" s="133" t="n">
        <f aca="false">$J$123-92</f>
        <v>2408</v>
      </c>
      <c r="J145" s="134" t="n">
        <f aca="false">$J$120*G145</f>
        <v>3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">
        <v>531</v>
      </c>
      <c r="C146" s="131" t="s">
        <v>532</v>
      </c>
      <c r="D146" s="132" t="s">
        <v>74</v>
      </c>
      <c r="E146" s="130" t="n">
        <v>1.106</v>
      </c>
      <c r="F146" s="132" t="s">
        <v>533</v>
      </c>
      <c r="G146" s="130" t="n">
        <v>1</v>
      </c>
      <c r="H146" s="130" t="s">
        <v>389</v>
      </c>
      <c r="I146" s="133" t="n">
        <f aca="false">$J$123-92</f>
        <v>2408</v>
      </c>
      <c r="J146" s="134" t="n">
        <f aca="false">$J$120*G146</f>
        <v>1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7" s="131" t="str">
        <f aca="false">IF($D$127=5,Q133,IF($D$127=6,Q133,IF($D$127=8,Q134,IF($D$127=10,Q134,IF($D$127=12,Q134,IF($D$127=14,Q135,IF($D$127=18,Q135,IF($D$127=20,Q135,IF($D$127=22,Q135,)))))))))</f>
        <v>B24008</v>
      </c>
      <c r="E147" s="131" t="n">
        <f aca="false">IF($D$127=5,R133,IF($D$127=6,R133,IF($D$127=8,R134,IF($D$127=10,R134,IF($D$127=12,R134,IF($D$127=14,R135,IF($D$127=18,R135,IF($D$127=20,R135,IF($D$127=22,R135,)))))))))</f>
        <v>0.231</v>
      </c>
      <c r="F147" s="131" t="str">
        <f aca="false">IF($D$127=5,S133,IF($D$127=6,S133,IF($D$127=8,S134,IF($D$127=10,S134,IF($D$127=12,S134,IF($D$127=14,S135,IF($D$127=18,S135,IF($D$127=20,S135,IF($D$127=22,S135,)))))))))</f>
        <v>B24008-001</v>
      </c>
      <c r="G147" s="130" t="n">
        <f aca="false">IF($D$127=5,T133,IF($D$127=6,T133,IF($D$127=8,T134,IF($D$127=10,T134,IF($D$127=12,T134,IF($D$127=14,T135,IF($D$127=18,T135,IF($D$127=20,T135,IF($D$127=22,T135,)))))))))</f>
        <v>24</v>
      </c>
      <c r="H147" s="130" t="str">
        <f aca="false">IF($D$127=5,U133,IF($D$127=6,U133,IF($D$127=8,U134,IF($D$127=10,U134,IF($D$127=12,U134,IF($D$127=14,U135,IF($D$127=18,U135,IF($D$127=20,U135,IF($D$127=22,U135,)))))))))</f>
        <v>(W-185-(113.25 × 11))/12</v>
      </c>
      <c r="I147" s="141" t="n">
        <f aca="false">IF($D$127=5,V133,IF($D$127=6,V133,IF($D$127=8,V134,IF($D$127=10,V134,IF($D$127=12,V134,IF($D$127=14,V135,IF($D$127=18,V135,IF($D$127=20,V135,IF($D$127=22,V135,)))))))))</f>
        <v>47.4375</v>
      </c>
      <c r="J147" s="134" t="n">
        <f aca="false">$J$120*G147</f>
        <v>24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8" s="131" t="str">
        <f aca="false">IF($D$127=5,Q136,IF($D$127=6,Q136,IF($D$127=8,Q137,IF($D$127=10,Q137,IF($D$127=12,Q137,IF($D$127=14,Q138,IF($D$127=18,Q138,IF($D$127=20,Q138,IF($D$127=22,Q138,)))))))))</f>
        <v>B24008</v>
      </c>
      <c r="E148" s="131" t="n">
        <f aca="false">IF($D$127=5,R136,IF($D$127=6,R136,IF($D$127=8,R137,IF($D$127=10,R137,IF($D$127=12,R137,IF($D$127=14,R138,IF($D$127=18,R138,IF($D$127=20,R138,IF($D$127=22,R138,)))))))))</f>
        <v>0.231</v>
      </c>
      <c r="F148" s="131" t="str">
        <f aca="false">IF($D$127=5,S136,IF($D$127=6,S136,IF($D$127=8,S137,IF($D$127=10,S137,IF($D$127=12,S137,IF($D$127=14,S138,IF($D$127=18,S138,IF($D$127=20,S138,IF($D$127=22,S138,)))))))))</f>
        <v>B24008-002</v>
      </c>
      <c r="G148" s="130" t="n">
        <f aca="false">IF($D$127=5,T136,IF($D$127=6,T136,IF($D$127=8,T137,IF($D$127=10,T137,IF($D$127=12,T137,IF($D$127=14,T138,IF($D$127=18,T138,IF($D$127=20,T138,IF($D$127=22,T138,)))))))))</f>
        <v>24</v>
      </c>
      <c r="H148" s="130" t="str">
        <f aca="false">IF($D$127=5,U136,IF($D$127=6,U136,IF($D$127=8,U137,IF($D$127=10,U137,IF($D$127=12,U137,IF($D$127=14,U138,IF($D$127=18,U138,IF($D$127=20,U138,IF($D$127=22,U138,)))))))))</f>
        <v>H-242</v>
      </c>
      <c r="I148" s="133" t="n">
        <f aca="false">IF($D$127=5,V136,IF($D$127=6,V136,IF($D$127=8,V137,IF($D$127=10,V137,IF($D$127=12,V137,IF($D$127=14,V138,IF($D$127=18,V138,IF($D$127=20,V138,IF($D$127=22,V138,)))))))))</f>
        <v>2258</v>
      </c>
      <c r="J148" s="134" t="n">
        <f aca="false">$J$120*G148</f>
        <v>24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535</v>
      </c>
      <c r="D149" s="132" t="s">
        <v>536</v>
      </c>
      <c r="E149" s="130"/>
      <c r="F149" s="132" t="s">
        <v>537</v>
      </c>
      <c r="G149" s="130" t="n">
        <v>1</v>
      </c>
      <c r="H149" s="130" t="s">
        <v>389</v>
      </c>
      <c r="I149" s="133" t="n">
        <f aca="false">$J$123-92</f>
        <v>2408</v>
      </c>
      <c r="J149" s="134" t="n">
        <f aca="false">$J$120*G149</f>
        <v>1</v>
      </c>
    </row>
    <row r="150" s="96" customFormat="true" ht="18" hidden="false" customHeight="true" outlineLevel="0" collapsed="false">
      <c r="A150" s="130" t="n">
        <f aca="false">IF(B150="","",+A149+1)</f>
        <v>18</v>
      </c>
      <c r="B150" s="131" t="s">
        <v>534</v>
      </c>
      <c r="C150" s="131" t="s">
        <v>535</v>
      </c>
      <c r="D150" s="132" t="s">
        <v>536</v>
      </c>
      <c r="E150" s="130"/>
      <c r="F150" s="132" t="s">
        <v>539</v>
      </c>
      <c r="G150" s="130" t="n">
        <v>1</v>
      </c>
      <c r="H150" s="130" t="s">
        <v>389</v>
      </c>
      <c r="I150" s="133" t="n">
        <f aca="false">$J$123-92</f>
        <v>2408</v>
      </c>
      <c r="J150" s="134" t="n">
        <f aca="false">$J$120*G150</f>
        <v>1</v>
      </c>
    </row>
    <row r="151" s="96" customFormat="true" ht="18" hidden="false" customHeight="true" outlineLevel="0" collapsed="false">
      <c r="A151" s="130" t="str">
        <f aca="false">IF(B151="","",+A140+1)</f>
        <v/>
      </c>
      <c r="B151" s="143"/>
      <c r="C151" s="143"/>
      <c r="D151" s="144"/>
      <c r="E151" s="145"/>
      <c r="F151" s="144"/>
      <c r="G151" s="145"/>
      <c r="H151" s="145"/>
      <c r="I151" s="146"/>
      <c r="J151" s="147" t="n">
        <f aca="false">$J$120*G151</f>
        <v>0</v>
      </c>
    </row>
    <row r="152" s="96" customFormat="true" ht="27" hidden="false" customHeight="true" outlineLevel="1" collapsed="false">
      <c r="A152" s="148" t="s">
        <v>319</v>
      </c>
      <c r="B152" s="148" t="s">
        <v>320</v>
      </c>
      <c r="C152" s="148" t="s">
        <v>168</v>
      </c>
      <c r="D152" s="148" t="s">
        <v>166</v>
      </c>
      <c r="E152" s="148" t="s">
        <v>321</v>
      </c>
      <c r="F152" s="149" t="s">
        <v>393</v>
      </c>
      <c r="G152" s="148" t="s">
        <v>394</v>
      </c>
      <c r="H152" s="150" t="s">
        <v>395</v>
      </c>
      <c r="I152" s="151"/>
      <c r="J152" s="151"/>
    </row>
    <row r="153" s="96" customFormat="true" ht="15" hidden="false" customHeight="true" outlineLevel="1" collapsed="false">
      <c r="A153" s="152" t="n">
        <f aca="false">IF(B153="","",1)</f>
        <v>1</v>
      </c>
      <c r="B153" s="153" t="str">
        <f aca="false">B133</f>
        <v>เฟรมบน</v>
      </c>
      <c r="C153" s="153" t="str">
        <f aca="false">C133</f>
        <v>HEAD</v>
      </c>
      <c r="D153" s="154" t="str">
        <f aca="false">VLOOKUP(C153,$C$133:$H$151,2,0)</f>
        <v>B24001</v>
      </c>
      <c r="E153" s="155" t="n">
        <f aca="false">VLOOKUP(C153,$C$133:$H$151,3,0)</f>
        <v>1.603</v>
      </c>
      <c r="F153" s="263" t="n">
        <f aca="false">VLOOKUP(C153,$C$133:$J$151,7,0)</f>
        <v>1940</v>
      </c>
      <c r="G153" s="155" t="n">
        <f aca="false">VLOOKUP(C153,$C$133:$J$151,8,0)</f>
        <v>1</v>
      </c>
      <c r="H153" s="264" t="n">
        <f aca="false">ROUNDUP((F153*G153)/6400,0)</f>
        <v>1</v>
      </c>
      <c r="I153" s="265"/>
      <c r="J153" s="265"/>
    </row>
    <row r="154" s="96" customFormat="true" ht="15" hidden="false" customHeight="true" outlineLevel="1" collapsed="false">
      <c r="A154" s="158" t="n">
        <f aca="false">IF(B154="","",+A153+1)</f>
        <v>2</v>
      </c>
      <c r="B154" s="153" t="str">
        <f aca="false">B134</f>
        <v>บังใบบน</v>
      </c>
      <c r="C154" s="153" t="str">
        <f aca="false">C134</f>
        <v>DOOR STOP HEAD</v>
      </c>
      <c r="D154" s="154" t="str">
        <f aca="false">VLOOKUP(C154,$C$133:$H$151,2,0)</f>
        <v>B24002</v>
      </c>
      <c r="E154" s="155" t="n">
        <f aca="false">VLOOKUP(C154,$C$133:$H$151,3,0)</f>
        <v>0.278</v>
      </c>
      <c r="F154" s="263" t="n">
        <f aca="false">VLOOKUP(C154,$C$133:$I$151,7,0)</f>
        <v>1914</v>
      </c>
      <c r="G154" s="155" t="n">
        <f aca="false">VLOOKUP(C154,$C$133:$J$151,8,0)</f>
        <v>1</v>
      </c>
      <c r="H154" s="266" t="n">
        <f aca="false">ROUNDUP((F154*G154)/6400,0)</f>
        <v>1</v>
      </c>
      <c r="I154" s="265"/>
      <c r="J154" s="265"/>
    </row>
    <row r="155" s="96" customFormat="true" ht="15" hidden="false" customHeight="true" outlineLevel="1" collapsed="false">
      <c r="A155" s="158" t="n">
        <f aca="false">IF(B155="","",+A154+1)</f>
        <v>3</v>
      </c>
      <c r="B155" s="153" t="str">
        <f aca="false">B135</f>
        <v>เฟรมล่าง </v>
      </c>
      <c r="C155" s="153" t="str">
        <f aca="false">C135</f>
        <v>SILL</v>
      </c>
      <c r="D155" s="154" t="str">
        <f aca="false">VLOOKUP(C155,$C$133:$H$151,2,0)</f>
        <v>B24003</v>
      </c>
      <c r="E155" s="155" t="n">
        <f aca="false">VLOOKUP(C155,$C$133:$H$151,3,0)</f>
        <v>1.603</v>
      </c>
      <c r="F155" s="263" t="n">
        <f aca="false">VLOOKUP(C155,$C$133:$I$151,7,0)</f>
        <v>1940</v>
      </c>
      <c r="G155" s="155" t="n">
        <f aca="false">VLOOKUP(C155,$C$133:$J$151,8,0)</f>
        <v>1</v>
      </c>
      <c r="H155" s="266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4</v>
      </c>
      <c r="B156" s="153" t="str">
        <f aca="false">B136</f>
        <v>ตัวตับธรณี</v>
      </c>
      <c r="C156" s="153" t="str">
        <f aca="false">C136</f>
        <v>DOOR STOP SILL</v>
      </c>
      <c r="D156" s="154" t="str">
        <f aca="false">VLOOKUP(C156,$C$133:$H$151,2,0)</f>
        <v>B24004</v>
      </c>
      <c r="E156" s="155" t="n">
        <f aca="false">VLOOKUP(C156,$C$133:$H$151,3,0)</f>
        <v>0.516</v>
      </c>
      <c r="F156" s="263" t="n">
        <f aca="false">VLOOKUP(C156,$C$133:$I$151,7,0)</f>
        <v>1940</v>
      </c>
      <c r="G156" s="155" t="n">
        <f aca="false">VLOOKUP(C156,$C$133:$J$151,8,0)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5</v>
      </c>
      <c r="B157" s="153" t="str">
        <f aca="false">B137</f>
        <v>เฟรมข้าง (ซ้าย)</v>
      </c>
      <c r="C157" s="153" t="str">
        <f aca="false">C137</f>
        <v>JAMB (L)</v>
      </c>
      <c r="D157" s="159" t="str">
        <f aca="false">VLOOKUP(C157,$C$133:$H$151,2,0)</f>
        <v>B24005</v>
      </c>
      <c r="E157" s="155" t="n">
        <f aca="false">VLOOKUP(C157,$C$133:$H$151,3,0)</f>
        <v>0.893</v>
      </c>
      <c r="F157" s="263" t="n">
        <f aca="false">VLOOKUP(C157,$C$133:$I$151,7,0)</f>
        <v>2500</v>
      </c>
      <c r="G157" s="155" t="n">
        <f aca="false">VLOOKUP(C157,$C$133:$J$151,8,0)</f>
        <v>1</v>
      </c>
      <c r="H157" s="160" t="n">
        <f aca="false">ROUNDUP(((F157*G157)+(F158*G158))/6400,0)</f>
        <v>1</v>
      </c>
      <c r="I157" s="161"/>
      <c r="J157" s="161"/>
    </row>
    <row r="158" s="96" customFormat="true" ht="15" hidden="false" customHeight="true" outlineLevel="1" collapsed="false">
      <c r="A158" s="158" t="n">
        <f aca="false">IF(B158="","",+A157+1)</f>
        <v>6</v>
      </c>
      <c r="B158" s="153" t="str">
        <f aca="false">B138</f>
        <v>เฟรมข้าง (ขวา)</v>
      </c>
      <c r="C158" s="153" t="str">
        <f aca="false">C138</f>
        <v>JAMB (R)</v>
      </c>
      <c r="D158" s="159"/>
      <c r="E158" s="155" t="n">
        <f aca="false">VLOOKUP(C158,$C$133:$H$151,3,0)</f>
        <v>0.893</v>
      </c>
      <c r="F158" s="263" t="n">
        <f aca="false">VLOOKUP(C158,$C$133:$I$151,7,0)</f>
        <v>2500</v>
      </c>
      <c r="G158" s="155" t="n">
        <f aca="false">VLOOKUP(C158,$C$133:$J$151,8,0)</f>
        <v>1</v>
      </c>
      <c r="H158" s="160"/>
      <c r="I158" s="161"/>
      <c r="J158" s="161"/>
    </row>
    <row r="159" s="96" customFormat="true" ht="15" hidden="false" customHeight="true" outlineLevel="1" collapsed="false">
      <c r="A159" s="158" t="n">
        <f aca="false">IF(B159="","",+A158+1)</f>
        <v>7</v>
      </c>
      <c r="B159" s="153" t="str">
        <f aca="false">B139</f>
        <v>บังใบข้าง (ซ้าย)</v>
      </c>
      <c r="C159" s="153" t="str">
        <f aca="false">C139</f>
        <v>DOOR STOP JAMB (L)</v>
      </c>
      <c r="D159" s="159" t="str">
        <f aca="false">VLOOKUP(C159,$C$133:$H$151,2,0)</f>
        <v>B24006</v>
      </c>
      <c r="E159" s="155" t="n">
        <f aca="false">VLOOKUP(C159,$C$133:$H$151,3,0)</f>
        <v>0.235</v>
      </c>
      <c r="F159" s="263" t="n">
        <f aca="false">VLOOKUP(C159,$C$133:$I$151,7,0)</f>
        <v>2404</v>
      </c>
      <c r="G159" s="155" t="n">
        <f aca="false">VLOOKUP(C159,$C$133:$J$151,8,0)</f>
        <v>1</v>
      </c>
      <c r="H159" s="160" t="n">
        <f aca="false">ROUNDUP(((F159*G159)+(F160*G160))/6400,0)</f>
        <v>1</v>
      </c>
      <c r="I159" s="265"/>
      <c r="J159" s="265"/>
    </row>
    <row r="160" s="96" customFormat="true" ht="15" hidden="false" customHeight="true" outlineLevel="1" collapsed="false">
      <c r="A160" s="158" t="n">
        <f aca="false">IF(B160="","",+A159+1)</f>
        <v>8</v>
      </c>
      <c r="B160" s="153" t="str">
        <f aca="false">B140</f>
        <v>บังใบข้าง (ขวา)</v>
      </c>
      <c r="C160" s="153" t="str">
        <f aca="false">C140</f>
        <v>DOOR STOP JAMB (R)</v>
      </c>
      <c r="D160" s="159"/>
      <c r="E160" s="155" t="n">
        <f aca="false">VLOOKUP(C160,$C$133:$H$151,3,0)</f>
        <v>0.235</v>
      </c>
      <c r="F160" s="263" t="n">
        <f aca="false">VLOOKUP(C160,$C$133:$I$151,7,0)</f>
        <v>2404</v>
      </c>
      <c r="G160" s="155" t="n">
        <f aca="false">VLOOKUP(C160,$C$133:$J$151,8,0)</f>
        <v>1</v>
      </c>
      <c r="H160" s="160"/>
      <c r="I160" s="161"/>
      <c r="J160" s="161"/>
    </row>
    <row r="161" s="96" customFormat="true" ht="13.5" hidden="false" customHeight="true" outlineLevel="1" collapsed="false">
      <c r="A161" s="158" t="n">
        <f aca="false">IF(B161="","",+A160+1)</f>
        <v>9</v>
      </c>
      <c r="B161" s="153" t="str">
        <f aca="false">B141</f>
        <v>ขวางบน</v>
      </c>
      <c r="C161" s="153" t="str">
        <f aca="false">C141</f>
        <v>SASH (Hor) (T)</v>
      </c>
      <c r="D161" s="159" t="str">
        <f aca="false">VLOOKUP(C161,$C$133:$H$151,2,0)</f>
        <v>B24007</v>
      </c>
      <c r="E161" s="155" t="n">
        <f aca="false">VLOOKUP(C161,$C$133:$H$151,3,0)</f>
        <v>1.106</v>
      </c>
      <c r="F161" s="267" t="n">
        <f aca="false">VLOOKUP(C161,$C$133:$I$151,7,0)</f>
        <v>157.333333333333</v>
      </c>
      <c r="G161" s="155" t="n">
        <f aca="false">VLOOKUP(C161,$C$133:$J$151,8,0)</f>
        <v>12</v>
      </c>
      <c r="H161" s="160" t="n">
        <f aca="false">ROUNDUP(((F161*G161)+(F162*G162)+(F163*G163)+(F164*G164)+(F165*G165)+(F166*G166))/6400,0)</f>
        <v>10</v>
      </c>
      <c r="I161" s="161"/>
      <c r="J161" s="161"/>
    </row>
    <row r="162" s="96" customFormat="true" ht="13.5" hidden="false" customHeight="true" outlineLevel="1" collapsed="false">
      <c r="A162" s="158" t="n">
        <f aca="false">IF(B162="","",+A161+1)</f>
        <v>10</v>
      </c>
      <c r="B162" s="153" t="str">
        <f aca="false">B142</f>
        <v>ขวางล่าง</v>
      </c>
      <c r="C162" s="153" t="str">
        <f aca="false">C142</f>
        <v>SASH (Hor) (B)</v>
      </c>
      <c r="D162" s="159"/>
      <c r="E162" s="155" t="n">
        <f aca="false">VLOOKUP(C162,$C$133:$H$151,3,0)</f>
        <v>1.106</v>
      </c>
      <c r="F162" s="267" t="n">
        <f aca="false">VLOOKUP(C162,$C$133:$I$151,7,0)</f>
        <v>157.333333333333</v>
      </c>
      <c r="G162" s="155" t="n">
        <f aca="false">VLOOKUP(C162,$C$133:$J$151,8,0)</f>
        <v>12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11</v>
      </c>
      <c r="B163" s="153" t="str">
        <f aca="false">B143</f>
        <v>เสา</v>
      </c>
      <c r="C163" s="153" t="str">
        <f aca="false">C143</f>
        <v>SASH (Ver) </v>
      </c>
      <c r="D163" s="159"/>
      <c r="E163" s="155" t="n">
        <f aca="false">VLOOKUP(C163,$C$133:$H$151,3,0)</f>
        <v>1.106</v>
      </c>
      <c r="F163" s="263" t="n">
        <f aca="false">VLOOKUP(C163,$C$133:$I$151,7,0)</f>
        <v>2408</v>
      </c>
      <c r="G163" s="155" t="n">
        <f aca="false">VLOOKUP(C163,$C$133:$J$151,8,0)</f>
        <v>18</v>
      </c>
      <c r="H163" s="160"/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12</v>
      </c>
      <c r="B164" s="153" t="str">
        <f aca="false">B144</f>
        <v>เสากุญแจ</v>
      </c>
      <c r="C164" s="153" t="str">
        <f aca="false">C144</f>
        <v>SASH (Ver) LOCK </v>
      </c>
      <c r="D164" s="159"/>
      <c r="E164" s="155" t="n">
        <f aca="false">VLOOKUP(C164,$C$133:$H$151,3,0)</f>
        <v>1.106</v>
      </c>
      <c r="F164" s="263" t="n">
        <f aca="false">VLOOKUP(C164,$C$133:$I$151,7,0)</f>
        <v>2408</v>
      </c>
      <c r="G164" s="155" t="n">
        <f aca="false">VLOOKUP(C164,$C$133:$J$151,8,0)</f>
        <v>2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13</v>
      </c>
      <c r="B165" s="153" t="str">
        <f aca="false">B145</f>
        <v>เสากุญแจ</v>
      </c>
      <c r="C165" s="153" t="str">
        <f aca="false">C145</f>
        <v>SASH (Ver) LOCK  </v>
      </c>
      <c r="D165" s="159"/>
      <c r="E165" s="155" t="n">
        <f aca="false">VLOOKUP(C165,$C$133:$H$151,3,0)</f>
        <v>1.106</v>
      </c>
      <c r="F165" s="263" t="n">
        <f aca="false">VLOOKUP(C165,$C$133:$I$151,7,0)</f>
        <v>2408</v>
      </c>
      <c r="G165" s="155" t="n">
        <f aca="false">VLOOKUP(C165,$C$133:$J$151,8,0)</f>
        <v>3</v>
      </c>
      <c r="H165" s="160"/>
      <c r="I165" s="161"/>
      <c r="J165" s="161"/>
    </row>
    <row r="166" s="96" customFormat="true" ht="15" hidden="false" customHeight="true" outlineLevel="1" collapsed="false">
      <c r="A166" s="158" t="n">
        <f aca="false">IF(B166="","",+A165+1)</f>
        <v>14</v>
      </c>
      <c r="B166" s="153" t="str">
        <f aca="false">B146</f>
        <v>เสากุญแจมือจับ</v>
      </c>
      <c r="C166" s="153" t="str">
        <f aca="false">C146</f>
        <v>SASH (Ver) LOCK HANDLE</v>
      </c>
      <c r="D166" s="159"/>
      <c r="E166" s="155" t="n">
        <f aca="false">VLOOKUP(C166,$C$133:$H$151,3,0)</f>
        <v>1.106</v>
      </c>
      <c r="F166" s="263" t="n">
        <f aca="false">VLOOKUP(C166,$C$133:$I$151,7,0)</f>
        <v>2408</v>
      </c>
      <c r="G166" s="155" t="n">
        <f aca="false">VLOOKUP(C166,$C$133:$J$151,8,0)</f>
        <v>1</v>
      </c>
      <c r="H166" s="160"/>
      <c r="I166" s="265"/>
      <c r="J166" s="265"/>
    </row>
    <row r="167" s="96" customFormat="true" ht="15" hidden="false" customHeight="true" outlineLevel="1" collapsed="false">
      <c r="A167" s="158" t="n">
        <f aca="false">IF(B167="","",+A166+1)</f>
        <v>15</v>
      </c>
      <c r="B167" s="153" t="str">
        <f aca="false">B147</f>
        <v>5-6mm คิ้วตบกระจกแนวนอน</v>
      </c>
      <c r="C167" s="153" t="str">
        <f aca="false">C147</f>
        <v>5-6mm GLAZING BEAD HORIZONTAL</v>
      </c>
      <c r="D167" s="159" t="str">
        <f aca="false">VLOOKUP(C167,$C$133:$H$151,2,0)</f>
        <v>B24008</v>
      </c>
      <c r="E167" s="155" t="n">
        <f aca="false">VLOOKUP(C167,$C$133:$H$151,3,0)</f>
        <v>0.231</v>
      </c>
      <c r="F167" s="267" t="n">
        <f aca="false">VLOOKUP(C167,$C$133:$I$151,7,0)</f>
        <v>47.4375</v>
      </c>
      <c r="G167" s="155" t="n">
        <f aca="false">VLOOKUP(C167,$C$133:$J$151,8,0)</f>
        <v>24</v>
      </c>
      <c r="H167" s="160" t="n">
        <f aca="false">ROUNDUP(((F167*G167)+(F168*G168))/6400,0)</f>
        <v>9</v>
      </c>
      <c r="I167" s="196"/>
      <c r="J167" s="196"/>
    </row>
    <row r="168" s="96" customFormat="true" ht="15" hidden="false" customHeight="true" outlineLevel="1" collapsed="false">
      <c r="A168" s="158" t="n">
        <f aca="false">IF(B168="","",+A167+1)</f>
        <v>16</v>
      </c>
      <c r="B168" s="153" t="str">
        <f aca="false">B148</f>
        <v>5-6mm คิ้วตบกระจกแนวตั้ง</v>
      </c>
      <c r="C168" s="153" t="str">
        <f aca="false">C148</f>
        <v>5-6mm GLAZING BEAD VERTICAL</v>
      </c>
      <c r="D168" s="159"/>
      <c r="E168" s="155" t="n">
        <f aca="false">VLOOKUP(C168,$C$133:$H$151,3,0)</f>
        <v>0.231</v>
      </c>
      <c r="F168" s="263" t="n">
        <f aca="false">VLOOKUP(C168,$C$133:$I$151,7,0)</f>
        <v>2258</v>
      </c>
      <c r="G168" s="155" t="n">
        <f aca="false">VLOOKUP(C168,$C$133:$J$151,8,0)</f>
        <v>24</v>
      </c>
      <c r="H168" s="160"/>
      <c r="I168" s="196"/>
      <c r="J168" s="196"/>
    </row>
    <row r="169" s="96" customFormat="true" ht="13.5" hidden="false" customHeight="true" outlineLevel="1" collapsed="false">
      <c r="A169" s="158" t="n">
        <f aca="false">IF(B169="","",+A168+1)</f>
        <v>17</v>
      </c>
      <c r="B169" s="153" t="str">
        <f aca="false">B149</f>
        <v>บังใบ</v>
      </c>
      <c r="C169" s="153" t="str">
        <f aca="false">C149</f>
        <v>SASH STOP</v>
      </c>
      <c r="D169" s="163" t="str">
        <f aca="false">VLOOKUP(C169,$C$133:$H$151,2,0)</f>
        <v>B24009</v>
      </c>
      <c r="E169" s="155" t="n">
        <f aca="false">VLOOKUP(C169,$C$133:$H$151,3,0)</f>
        <v>0</v>
      </c>
      <c r="F169" s="263" t="n">
        <f aca="false">VLOOKUP(C169,$C$133:$I$151,7,0)</f>
        <v>2408</v>
      </c>
      <c r="G169" s="155" t="n">
        <f aca="false">VLOOKUP(C169,$C$133:$J$151,8,0)</f>
        <v>1</v>
      </c>
      <c r="H169" s="160" t="n">
        <f aca="false">ROUNDUP(((F169*G169)+(F170*G170))/6400,0)</f>
        <v>1</v>
      </c>
      <c r="I169" s="196"/>
      <c r="J169" s="196"/>
    </row>
    <row r="170" s="96" customFormat="true" ht="14.25" hidden="false" customHeight="false" outlineLevel="1" collapsed="false">
      <c r="A170" s="158" t="n">
        <f aca="false">IF(B170="","",+A169+1)</f>
        <v>18</v>
      </c>
      <c r="B170" s="153" t="str">
        <f aca="false">B150</f>
        <v>บังใบ</v>
      </c>
      <c r="C170" s="153" t="str">
        <f aca="false">C150</f>
        <v>SASH STOP</v>
      </c>
      <c r="D170" s="163"/>
      <c r="E170" s="155" t="n">
        <f aca="false">VLOOKUP(C170,$C$133:$H$151,3,0)</f>
        <v>0</v>
      </c>
      <c r="F170" s="263" t="n">
        <f aca="false">VLOOKUP(C170,$C$133:$I$151,7,0)</f>
        <v>2408</v>
      </c>
      <c r="G170" s="155" t="n">
        <f aca="false">VLOOKUP(C170,$C$133:$J$151,8,0)</f>
        <v>1</v>
      </c>
      <c r="H170" s="160"/>
      <c r="I170" s="196"/>
      <c r="J170" s="196"/>
    </row>
    <row r="171" s="96" customFormat="true" ht="24.75" hidden="false" customHeight="true" outlineLevel="0" collapsed="false">
      <c r="A171" s="113" t="s">
        <v>396</v>
      </c>
      <c r="B171" s="113"/>
      <c r="C171" s="113"/>
      <c r="D171" s="113"/>
      <c r="E171" s="113"/>
      <c r="F171" s="113"/>
      <c r="G171" s="113"/>
      <c r="H171" s="113"/>
      <c r="I171" s="113"/>
      <c r="J171" s="113"/>
    </row>
    <row r="172" s="96" customFormat="true" ht="34.5" hidden="false" customHeight="true" outlineLevel="0" collapsed="false">
      <c r="A172" s="114" t="s">
        <v>319</v>
      </c>
      <c r="B172" s="115" t="s">
        <v>320</v>
      </c>
      <c r="C172" s="115" t="s">
        <v>168</v>
      </c>
      <c r="D172" s="115" t="s">
        <v>397</v>
      </c>
      <c r="E172" s="115" t="s">
        <v>321</v>
      </c>
      <c r="F172" s="116" t="s">
        <v>398</v>
      </c>
      <c r="G172" s="115" t="s">
        <v>399</v>
      </c>
      <c r="H172" s="116" t="s">
        <v>400</v>
      </c>
      <c r="I172" s="116" t="s">
        <v>401</v>
      </c>
      <c r="J172" s="117" t="s">
        <v>402</v>
      </c>
      <c r="N172" s="107" t="s">
        <v>288</v>
      </c>
      <c r="O172" s="165" t="s">
        <v>320</v>
      </c>
      <c r="P172" s="165" t="s">
        <v>168</v>
      </c>
      <c r="Q172" s="165" t="s">
        <v>397</v>
      </c>
      <c r="R172" s="165" t="s">
        <v>321</v>
      </c>
      <c r="S172" s="165" t="s">
        <v>398</v>
      </c>
      <c r="T172" s="165" t="s">
        <v>399</v>
      </c>
      <c r="U172" s="165" t="s">
        <v>400</v>
      </c>
      <c r="V172" s="165" t="s">
        <v>401</v>
      </c>
      <c r="W172" s="165" t="s">
        <v>402</v>
      </c>
    </row>
    <row r="173" s="96" customFormat="true" ht="18" hidden="false" customHeight="true" outlineLevel="0" collapsed="false">
      <c r="A173" s="166" t="n">
        <f aca="false">IF(B173="","",1)</f>
        <v>1</v>
      </c>
      <c r="B173" s="131" t="s">
        <v>410</v>
      </c>
      <c r="C173" s="131" t="s">
        <v>411</v>
      </c>
      <c r="D173" s="132" t="s">
        <v>267</v>
      </c>
      <c r="E173" s="130"/>
      <c r="F173" s="130" t="s">
        <v>267</v>
      </c>
      <c r="G173" s="130" t="s">
        <v>405</v>
      </c>
      <c r="H173" s="130" t="n">
        <v>24</v>
      </c>
      <c r="I173" s="133"/>
      <c r="J173" s="134" t="n">
        <f aca="false">$J$120*H173</f>
        <v>24</v>
      </c>
      <c r="N173" s="107" t="s">
        <v>406</v>
      </c>
      <c r="O173" s="55" t="s">
        <v>407</v>
      </c>
      <c r="P173" s="62" t="s">
        <v>408</v>
      </c>
      <c r="Q173" s="55" t="s">
        <v>227</v>
      </c>
      <c r="R173" s="158"/>
      <c r="S173" s="158" t="s">
        <v>227</v>
      </c>
      <c r="T173" s="158" t="s">
        <v>409</v>
      </c>
      <c r="U173" s="168" t="n">
        <f aca="false">((($I$141*$G$141)+($I$142*$G$142)+($I$143*$G$143)+($I$144*$G$144)+($I$145*$G$145)+($I$146*$G$146))/1000)*$J$120</f>
        <v>61.568</v>
      </c>
      <c r="V173" s="168" t="n">
        <v>100</v>
      </c>
      <c r="W173" s="169" t="n">
        <f aca="false">ROUNDUP((U173)/100,0)</f>
        <v>1</v>
      </c>
    </row>
    <row r="174" s="96" customFormat="true" ht="18" hidden="false" customHeight="true" outlineLevel="0" collapsed="false">
      <c r="A174" s="170" t="n">
        <f aca="false">IF(B174="","",+A173+1)</f>
        <v>2</v>
      </c>
      <c r="B174" s="131" t="s">
        <v>415</v>
      </c>
      <c r="C174" s="131" t="s">
        <v>416</v>
      </c>
      <c r="D174" s="132" t="s">
        <v>222</v>
      </c>
      <c r="E174" s="130"/>
      <c r="F174" s="130" t="s">
        <v>222</v>
      </c>
      <c r="G174" s="130" t="s">
        <v>405</v>
      </c>
      <c r="H174" s="130" t="n">
        <v>2</v>
      </c>
      <c r="I174" s="133"/>
      <c r="J174" s="134" t="n">
        <f aca="false">$J$120*H174</f>
        <v>2</v>
      </c>
      <c r="N174" s="107" t="s">
        <v>412</v>
      </c>
      <c r="O174" s="55" t="s">
        <v>413</v>
      </c>
      <c r="P174" s="62" t="s">
        <v>414</v>
      </c>
      <c r="Q174" s="55" t="s">
        <v>234</v>
      </c>
      <c r="R174" s="158"/>
      <c r="S174" s="158" t="s">
        <v>234</v>
      </c>
      <c r="T174" s="158" t="s">
        <v>409</v>
      </c>
      <c r="U174" s="168" t="n">
        <f aca="false">((($I$141*$G$141)+($I$142*$G$142)+($I$143*$G$143)+($I$144*$G$144)+($I$145*$G$145)+($I$146*$G$146))/1000)*$J$120</f>
        <v>61.568</v>
      </c>
      <c r="V174" s="168" t="n">
        <v>100</v>
      </c>
      <c r="W174" s="169" t="n">
        <f aca="false">ROUNDUP((U174)/100,0)</f>
        <v>1</v>
      </c>
    </row>
    <row r="175" s="96" customFormat="true" ht="18" hidden="false" customHeight="true" outlineLevel="0" collapsed="false">
      <c r="A175" s="170" t="n">
        <f aca="false">IF(B175="","",+A174+1)</f>
        <v>3</v>
      </c>
      <c r="B175" s="131" t="s">
        <v>420</v>
      </c>
      <c r="C175" s="131" t="s">
        <v>421</v>
      </c>
      <c r="D175" s="132" t="s">
        <v>225</v>
      </c>
      <c r="E175" s="130"/>
      <c r="F175" s="130" t="s">
        <v>225</v>
      </c>
      <c r="G175" s="130" t="s">
        <v>405</v>
      </c>
      <c r="H175" s="130" t="n">
        <v>2</v>
      </c>
      <c r="I175" s="133"/>
      <c r="J175" s="134" t="n">
        <f aca="false">$J$120*H175</f>
        <v>2</v>
      </c>
      <c r="N175" s="107" t="s">
        <v>417</v>
      </c>
      <c r="O175" s="62" t="s">
        <v>418</v>
      </c>
      <c r="P175" s="62" t="s">
        <v>419</v>
      </c>
      <c r="Q175" s="55" t="s">
        <v>236</v>
      </c>
      <c r="R175" s="158"/>
      <c r="S175" s="158" t="s">
        <v>236</v>
      </c>
      <c r="T175" s="158" t="s">
        <v>409</v>
      </c>
      <c r="U175" s="168" t="n">
        <f aca="false">((($I$141*$G$141)+($I$142*$G$142)+($I$143*$G$143)+($I$144*$G$144)+($I$145*$G$145)+($I$146*$G$146))/1000)*$J$120</f>
        <v>61.568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4</v>
      </c>
      <c r="B176" s="131" t="s">
        <v>425</v>
      </c>
      <c r="C176" s="131" t="s">
        <v>426</v>
      </c>
      <c r="D176" s="132" t="n">
        <v>9</v>
      </c>
      <c r="E176" s="130"/>
      <c r="F176" s="130" t="n">
        <v>9</v>
      </c>
      <c r="G176" s="130" t="s">
        <v>405</v>
      </c>
      <c r="H176" s="130" t="n">
        <v>8</v>
      </c>
      <c r="I176" s="133"/>
      <c r="J176" s="134" t="n">
        <f aca="false">$J$120*H176</f>
        <v>8</v>
      </c>
      <c r="N176" s="107" t="s">
        <v>422</v>
      </c>
      <c r="O176" s="62" t="s">
        <v>423</v>
      </c>
      <c r="P176" s="62" t="s">
        <v>424</v>
      </c>
      <c r="Q176" s="55" t="s">
        <v>238</v>
      </c>
      <c r="R176" s="158"/>
      <c r="S176" s="158" t="s">
        <v>238</v>
      </c>
      <c r="T176" s="158" t="s">
        <v>409</v>
      </c>
      <c r="U176" s="168" t="n">
        <f aca="false">((($I$141*$G$141)+($I$142*$G$142)+($I$143*$G$143)+($I$144*$G$144)+($I$145*$G$145)+($I$146*$G$146))/1000)*$J$120</f>
        <v>61.568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5</v>
      </c>
      <c r="B177" s="131" t="s">
        <v>430</v>
      </c>
      <c r="C177" s="131" t="s">
        <v>431</v>
      </c>
      <c r="D177" s="132" t="n">
        <v>9</v>
      </c>
      <c r="E177" s="130"/>
      <c r="F177" s="130" t="n">
        <v>9</v>
      </c>
      <c r="G177" s="130" t="s">
        <v>405</v>
      </c>
      <c r="H177" s="130" t="n">
        <v>110</v>
      </c>
      <c r="I177" s="133"/>
      <c r="J177" s="134" t="n">
        <f aca="false">$J$120*H177</f>
        <v>110</v>
      </c>
      <c r="N177" s="107" t="s">
        <v>427</v>
      </c>
      <c r="O177" s="62" t="s">
        <v>428</v>
      </c>
      <c r="P177" s="62" t="s">
        <v>429</v>
      </c>
      <c r="Q177" s="55" t="s">
        <v>240</v>
      </c>
      <c r="R177" s="158"/>
      <c r="S177" s="158" t="s">
        <v>240</v>
      </c>
      <c r="T177" s="158" t="s">
        <v>409</v>
      </c>
      <c r="U177" s="168" t="n">
        <f aca="false">((($I$141*$G$141)+($I$142*$G$142)+($I$143*$G$143)+($I$144*$G$144)+($I$145*$G$145)+($I$146*$G$146))/1000)*$J$120</f>
        <v>61.568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6</v>
      </c>
      <c r="B178" s="131" t="s">
        <v>603</v>
      </c>
      <c r="C178" s="131" t="s">
        <v>438</v>
      </c>
      <c r="D178" s="132" t="s">
        <v>4</v>
      </c>
      <c r="E178" s="130"/>
      <c r="F178" s="130" t="s">
        <v>4</v>
      </c>
      <c r="G178" s="130" t="s">
        <v>434</v>
      </c>
      <c r="H178" s="130" t="n">
        <v>3</v>
      </c>
      <c r="I178" s="133"/>
      <c r="J178" s="134" t="n">
        <f aca="false">$J$120*H178</f>
        <v>3</v>
      </c>
    </row>
    <row r="179" s="96" customFormat="true" ht="18" hidden="false" customHeight="true" outlineLevel="0" collapsed="false">
      <c r="A179" s="170" t="n">
        <f aca="false">IF(B179="","",+A178+1)</f>
        <v>7</v>
      </c>
      <c r="B179" s="131" t="s">
        <v>556</v>
      </c>
      <c r="C179" s="131" t="s">
        <v>557</v>
      </c>
      <c r="D179" s="132" t="s">
        <v>5</v>
      </c>
      <c r="E179" s="130"/>
      <c r="F179" s="130" t="s">
        <v>5</v>
      </c>
      <c r="G179" s="130" t="s">
        <v>434</v>
      </c>
      <c r="H179" s="130" t="n">
        <v>2</v>
      </c>
      <c r="I179" s="133"/>
      <c r="J179" s="134" t="n">
        <f aca="false">$J$120*H179</f>
        <v>2</v>
      </c>
    </row>
    <row r="180" s="96" customFormat="true" ht="18" hidden="false" customHeight="true" outlineLevel="0" collapsed="false">
      <c r="A180" s="170" t="n">
        <f aca="false">IF(B180="","",+A179+1)</f>
        <v>8</v>
      </c>
      <c r="B180" s="131" t="s">
        <v>432</v>
      </c>
      <c r="C180" s="131" t="s">
        <v>433</v>
      </c>
      <c r="D180" s="132" t="s">
        <v>6</v>
      </c>
      <c r="E180" s="130"/>
      <c r="F180" s="130" t="s">
        <v>6</v>
      </c>
      <c r="G180" s="130" t="s">
        <v>434</v>
      </c>
      <c r="H180" s="130" t="n">
        <v>1</v>
      </c>
      <c r="I180" s="133"/>
      <c r="J180" s="134" t="n">
        <f aca="false">$J$120*H180</f>
        <v>1</v>
      </c>
    </row>
    <row r="181" s="96" customFormat="true" ht="18" hidden="false" customHeight="true" outlineLevel="0" collapsed="false">
      <c r="A181" s="170" t="n">
        <f aca="false">IF(B181="","",+A180+1)</f>
        <v>9</v>
      </c>
      <c r="B181" s="131" t="s">
        <v>512</v>
      </c>
      <c r="C181" s="131" t="s">
        <v>513</v>
      </c>
      <c r="D181" s="132" t="s">
        <v>7</v>
      </c>
      <c r="E181" s="130"/>
      <c r="F181" s="130" t="s">
        <v>7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10</v>
      </c>
      <c r="B182" s="131" t="s">
        <v>554</v>
      </c>
      <c r="C182" s="131" t="s">
        <v>555</v>
      </c>
      <c r="D182" s="132" t="s">
        <v>11</v>
      </c>
      <c r="E182" s="130"/>
      <c r="F182" s="130" t="s">
        <v>11</v>
      </c>
      <c r="G182" s="130" t="s">
        <v>434</v>
      </c>
      <c r="H182" s="130" t="n">
        <v>5</v>
      </c>
      <c r="I182" s="142"/>
      <c r="J182" s="134" t="n">
        <f aca="false">$J$120*H182</f>
        <v>5</v>
      </c>
      <c r="Q182" s="172"/>
      <c r="R182" s="172"/>
      <c r="S182" s="172"/>
      <c r="T182" s="97"/>
      <c r="U182" s="97"/>
      <c r="V182" s="97"/>
    </row>
    <row r="183" s="96" customFormat="true" ht="18" hidden="false" customHeight="true" outlineLevel="0" collapsed="false">
      <c r="A183" s="170" t="n">
        <f aca="false">IF(B183="","",+A182+1)</f>
        <v>11</v>
      </c>
      <c r="B183" s="131" t="s">
        <v>439</v>
      </c>
      <c r="C183" s="131" t="s">
        <v>440</v>
      </c>
      <c r="D183" s="132" t="s">
        <v>12</v>
      </c>
      <c r="E183" s="130"/>
      <c r="F183" s="130" t="s">
        <v>12</v>
      </c>
      <c r="G183" s="130" t="s">
        <v>434</v>
      </c>
      <c r="H183" s="130" t="n">
        <v>5</v>
      </c>
      <c r="I183" s="142"/>
      <c r="J183" s="134" t="n">
        <f aca="false">$J$120*H183</f>
        <v>5</v>
      </c>
      <c r="N183" s="107" t="s">
        <v>289</v>
      </c>
      <c r="O183" s="165" t="s">
        <v>320</v>
      </c>
      <c r="P183" s="165" t="s">
        <v>168</v>
      </c>
      <c r="Q183" s="165" t="s">
        <v>397</v>
      </c>
      <c r="R183" s="165" t="s">
        <v>321</v>
      </c>
      <c r="S183" s="165" t="s">
        <v>398</v>
      </c>
      <c r="T183" s="165" t="s">
        <v>399</v>
      </c>
      <c r="U183" s="165" t="s">
        <v>400</v>
      </c>
      <c r="V183" s="165" t="s">
        <v>401</v>
      </c>
      <c r="W183" s="165" t="s">
        <v>402</v>
      </c>
    </row>
    <row r="184" s="96" customFormat="true" ht="18" hidden="false" customHeight="true" outlineLevel="0" collapsed="false">
      <c r="A184" s="170" t="n">
        <f aca="false">IF(B184="","",+A183+1)</f>
        <v>12</v>
      </c>
      <c r="B184" s="131" t="s">
        <v>540</v>
      </c>
      <c r="C184" s="131" t="s">
        <v>541</v>
      </c>
      <c r="D184" s="132" t="s">
        <v>542</v>
      </c>
      <c r="E184" s="130"/>
      <c r="F184" s="130" t="s">
        <v>542</v>
      </c>
      <c r="G184" s="130" t="s">
        <v>434</v>
      </c>
      <c r="H184" s="130" t="n">
        <v>1</v>
      </c>
      <c r="I184" s="133"/>
      <c r="J184" s="134" t="n">
        <f aca="false">$J$120*H184</f>
        <v>1</v>
      </c>
      <c r="N184" s="107" t="s">
        <v>445</v>
      </c>
      <c r="O184" s="62" t="s">
        <v>446</v>
      </c>
      <c r="P184" s="62" t="s">
        <v>447</v>
      </c>
      <c r="Q184" s="55" t="s">
        <v>230</v>
      </c>
      <c r="R184" s="158"/>
      <c r="S184" s="158" t="s">
        <v>230</v>
      </c>
      <c r="T184" s="158" t="s">
        <v>409</v>
      </c>
      <c r="U184" s="168" t="n">
        <f aca="false">((($I$134*$G$134)+($I$136*$G$136)+($I$139*$G$139))/1000)*$J$120</f>
        <v>6.258</v>
      </c>
      <c r="V184" s="168" t="n">
        <v>300</v>
      </c>
      <c r="W184" s="169" t="n">
        <f aca="false">ROUNDUP((U184)/V184,0)</f>
        <v>1</v>
      </c>
    </row>
    <row r="185" s="96" customFormat="true" ht="18" hidden="false" customHeight="true" outlineLevel="0" collapsed="false">
      <c r="A185" s="170" t="n">
        <f aca="false">IF(B185="","",+A184+1)</f>
        <v>13</v>
      </c>
      <c r="B185" s="131" t="s">
        <v>441</v>
      </c>
      <c r="C185" s="131" t="s">
        <v>442</v>
      </c>
      <c r="D185" s="132" t="s">
        <v>274</v>
      </c>
      <c r="E185" s="130"/>
      <c r="F185" s="130" t="s">
        <v>274</v>
      </c>
      <c r="G185" s="130" t="s">
        <v>405</v>
      </c>
      <c r="H185" s="130" t="n">
        <v>10</v>
      </c>
      <c r="I185" s="133"/>
      <c r="J185" s="134" t="n">
        <f aca="false">$J$120*H185</f>
        <v>10</v>
      </c>
      <c r="N185" s="107" t="s">
        <v>448</v>
      </c>
      <c r="O185" s="62" t="s">
        <v>449</v>
      </c>
      <c r="P185" s="62" t="s">
        <v>450</v>
      </c>
      <c r="Q185" s="55" t="s">
        <v>451</v>
      </c>
      <c r="R185" s="158"/>
      <c r="S185" s="158" t="s">
        <v>451</v>
      </c>
      <c r="T185" s="158" t="s">
        <v>409</v>
      </c>
      <c r="U185" s="168" t="n">
        <f aca="false">((($I$134*$G$134)+($I$136*$G$136)+($I$139*$G$139))/1000)*$J$120</f>
        <v>6.258</v>
      </c>
      <c r="V185" s="168" t="n">
        <v>100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14</v>
      </c>
      <c r="B186" s="131" t="s">
        <v>443</v>
      </c>
      <c r="C186" s="131" t="s">
        <v>444</v>
      </c>
      <c r="D186" s="132" t="s">
        <v>272</v>
      </c>
      <c r="E186" s="130"/>
      <c r="F186" s="130" t="s">
        <v>272</v>
      </c>
      <c r="G186" s="130" t="s">
        <v>405</v>
      </c>
      <c r="H186" s="130" t="n">
        <v>1</v>
      </c>
      <c r="I186" s="133"/>
      <c r="J186" s="134" t="n">
        <f aca="false">$J$120*H186</f>
        <v>1</v>
      </c>
      <c r="N186" s="107" t="s">
        <v>445</v>
      </c>
      <c r="O186" s="62" t="s">
        <v>452</v>
      </c>
      <c r="P186" s="62" t="s">
        <v>453</v>
      </c>
      <c r="Q186" s="55" t="s">
        <v>232</v>
      </c>
      <c r="R186" s="158"/>
      <c r="S186" s="158" t="s">
        <v>232</v>
      </c>
      <c r="T186" s="158" t="s">
        <v>409</v>
      </c>
      <c r="U186" s="168" t="n">
        <f aca="false">((($I$141*$G$141*2)+($I$143*$G$143*2)+($I$144*$G$144*2)+($I$145*($G$145-1)*2))/1000)*$J$120</f>
        <v>109.728</v>
      </c>
      <c r="V186" s="168" t="n">
        <v>350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15</v>
      </c>
      <c r="B187" s="131" t="s">
        <v>403</v>
      </c>
      <c r="C187" s="131" t="s">
        <v>404</v>
      </c>
      <c r="D187" s="132" t="s">
        <v>576</v>
      </c>
      <c r="E187" s="130"/>
      <c r="F187" s="130" t="s">
        <v>576</v>
      </c>
      <c r="G187" s="130" t="s">
        <v>434</v>
      </c>
      <c r="H187" s="130" t="n">
        <v>1</v>
      </c>
      <c r="I187" s="133"/>
      <c r="J187" s="134" t="n">
        <f aca="false">$J$120*H187</f>
        <v>1</v>
      </c>
      <c r="N187" s="107" t="s">
        <v>448</v>
      </c>
      <c r="O187" s="62" t="s">
        <v>454</v>
      </c>
      <c r="P187" s="62" t="s">
        <v>455</v>
      </c>
      <c r="Q187" s="55" t="s">
        <v>456</v>
      </c>
      <c r="R187" s="158"/>
      <c r="S187" s="158" t="s">
        <v>456</v>
      </c>
      <c r="T187" s="158" t="s">
        <v>409</v>
      </c>
      <c r="U187" s="168" t="n">
        <f aca="false">((($I$141*$G$141*2)+($I$143*$G$143*2)+($I$144*$G$144*2)+($I$145*($G$145-1)*2))/1000)*$J$120</f>
        <v>109.728</v>
      </c>
      <c r="V187" s="168" t="n">
        <v>100</v>
      </c>
      <c r="W187" s="169" t="n">
        <f aca="false">ROUNDUP((U187)/V187,0)</f>
        <v>2</v>
      </c>
    </row>
    <row r="188" s="96" customFormat="true" ht="18" hidden="false" customHeight="true" outlineLevel="0" collapsed="false">
      <c r="A188" s="170" t="n">
        <f aca="false">IF(B188="","",+A187+1)</f>
        <v>16</v>
      </c>
      <c r="B188" s="131" t="s">
        <v>403</v>
      </c>
      <c r="C188" s="131" t="s">
        <v>404</v>
      </c>
      <c r="D188" s="132" t="s">
        <v>276</v>
      </c>
      <c r="E188" s="130"/>
      <c r="F188" s="130" t="s">
        <v>276</v>
      </c>
      <c r="G188" s="130" t="s">
        <v>405</v>
      </c>
      <c r="H188" s="130" t="n">
        <v>5</v>
      </c>
      <c r="I188" s="133"/>
      <c r="J188" s="134" t="n">
        <f aca="false">$J$120*H188</f>
        <v>5</v>
      </c>
    </row>
    <row r="189" s="96" customFormat="true" ht="18" hidden="false" customHeight="true" outlineLevel="0" collapsed="false">
      <c r="A189" s="170" t="n">
        <f aca="false">IF(B189="","",+A188+1)</f>
        <v>17</v>
      </c>
      <c r="B189" s="131" t="s">
        <v>577</v>
      </c>
      <c r="C189" s="131" t="s">
        <v>578</v>
      </c>
      <c r="D189" s="132" t="s">
        <v>215</v>
      </c>
      <c r="E189" s="130"/>
      <c r="F189" s="130" t="s">
        <v>215</v>
      </c>
      <c r="G189" s="130" t="s">
        <v>434</v>
      </c>
      <c r="H189" s="130" t="n">
        <v>1</v>
      </c>
      <c r="I189" s="133"/>
      <c r="J189" s="134" t="n">
        <f aca="false">$J$120*H189</f>
        <v>1</v>
      </c>
    </row>
    <row r="190" s="96" customFormat="true" ht="18" hidden="false" customHeight="true" outlineLevel="0" collapsed="false">
      <c r="A190" s="170" t="n">
        <f aca="false">IF(B190="","",+A189+1)</f>
        <v>18</v>
      </c>
      <c r="B190" s="131" t="s">
        <v>579</v>
      </c>
      <c r="C190" s="131" t="s">
        <v>578</v>
      </c>
      <c r="D190" s="132" t="s">
        <v>220</v>
      </c>
      <c r="E190" s="130"/>
      <c r="F190" s="130" t="s">
        <v>220</v>
      </c>
      <c r="G190" s="130" t="s">
        <v>434</v>
      </c>
      <c r="H190" s="130" t="n">
        <v>1</v>
      </c>
      <c r="I190" s="133"/>
      <c r="J190" s="134" t="n">
        <f aca="false">$J$120*H190</f>
        <v>1</v>
      </c>
    </row>
    <row r="191" s="96" customFormat="true" ht="18" hidden="false" customHeight="true" outlineLevel="0" collapsed="false">
      <c r="A191" s="170" t="n">
        <f aca="false">IF(B191="","",+A190+1)</f>
        <v>19</v>
      </c>
      <c r="B191" s="131" t="s">
        <v>580</v>
      </c>
      <c r="C191" s="131" t="s">
        <v>581</v>
      </c>
      <c r="D191" s="132" t="s">
        <v>582</v>
      </c>
      <c r="E191" s="130"/>
      <c r="F191" s="130" t="s">
        <v>582</v>
      </c>
      <c r="G191" s="130" t="s">
        <v>409</v>
      </c>
      <c r="H191" s="173" t="n">
        <f aca="false">((($I$149*$G$149)+($I$150*$G$150))/1000)*$J$120</f>
        <v>4.816</v>
      </c>
      <c r="I191" s="174" t="n">
        <v>100</v>
      </c>
      <c r="J191" s="177" t="n">
        <f aca="false">ROUNDUP((H191)/100,0)</f>
        <v>1</v>
      </c>
    </row>
    <row r="192" s="96" customFormat="true" ht="18" hidden="false" customHeight="true" outlineLevel="0" collapsed="false">
      <c r="A192" s="170" t="n">
        <f aca="false">IF(B192="","",+A191+1)</f>
        <v>20</v>
      </c>
      <c r="B192" s="131" t="s">
        <v>583</v>
      </c>
      <c r="C192" s="131" t="s">
        <v>584</v>
      </c>
      <c r="D192" s="132" t="s">
        <v>585</v>
      </c>
      <c r="E192" s="130"/>
      <c r="F192" s="130" t="s">
        <v>585</v>
      </c>
      <c r="G192" s="130" t="s">
        <v>409</v>
      </c>
      <c r="H192" s="173" t="n">
        <f aca="false">((($I$146*$G$146*2))/1000)*$J$120</f>
        <v>4.816</v>
      </c>
      <c r="I192" s="174" t="n">
        <v>100</v>
      </c>
      <c r="J192" s="177" t="n">
        <f aca="false">ROUNDUP((H192)/100,0)</f>
        <v>1</v>
      </c>
    </row>
    <row r="193" customFormat="false" ht="18" hidden="false" customHeight="true" outlineLevel="0" collapsed="false">
      <c r="A193" s="170" t="n">
        <f aca="false">IF(B193="","",+A192+1)</f>
        <v>21</v>
      </c>
      <c r="B193" s="132" t="str">
        <f aca="false">IF($D$129="Standard",$O$184,IF($D$129="Soumdproof",$O$185,))</f>
        <v>ยางเฟรมกันน้ำ (ธรรมดา)</v>
      </c>
      <c r="C193" s="132" t="str">
        <f aca="false">IF($D$129="Standard",$P$184,IF($D$129="Soumdproof",$P$185,))</f>
        <v>FRAME SEAL (Standard)</v>
      </c>
      <c r="D193" s="132" t="str">
        <f aca="false">IF($D$129="Standard",$Q$184,IF($D$129="Soumdproof",$Q$185,))</f>
        <v>02-026</v>
      </c>
      <c r="E193" s="130" t="n">
        <f aca="false">IF($D$129="Standard",R190,IF($D$129="Soumdproof",R191,))</f>
        <v>0</v>
      </c>
      <c r="F193" s="130" t="str">
        <f aca="false">IF($D$129="Standard",$S$184,IF($D$129="Soumdproof",$S$185,))</f>
        <v>02-026</v>
      </c>
      <c r="G193" s="130" t="str">
        <f aca="false">IF($D$129="Standard",$T$184,IF($D$129="Soumdproof",$T$185,))</f>
        <v>M</v>
      </c>
      <c r="H193" s="173" t="n">
        <f aca="false">IF($D$129="Standard",$U$184,IF($D$129="Soumdproof",$U$185,))</f>
        <v>6.258</v>
      </c>
      <c r="I193" s="174" t="n">
        <f aca="false">IF($D$129="Standard",$V$184,IF($D$129="Soumdproof",$V$185,))</f>
        <v>300</v>
      </c>
      <c r="J193" s="175" t="n">
        <f aca="false">ROUNDUP((H193)/100,0)</f>
        <v>1</v>
      </c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</row>
    <row r="194" s="96" customFormat="true" ht="18" hidden="false" customHeight="true" outlineLevel="0" collapsed="false">
      <c r="A194" s="170" t="n">
        <f aca="false">IF(B194="","",+A193+1)</f>
        <v>22</v>
      </c>
      <c r="B194" s="132" t="str">
        <f aca="false">IF($D$129="Standard",$O$186,IF($D$129="Soumdproof",$O$187,))</f>
        <v>ยางแซชกันน้ำ (ธรรมดา)</v>
      </c>
      <c r="C194" s="132" t="str">
        <f aca="false">IF($D$129="Standard",$P$186,IF($D$129="Soumdproof",$P$187,))</f>
        <v>SASH SEAL FOAM (Standard)</v>
      </c>
      <c r="D194" s="132" t="str">
        <f aca="false">IF($D$129="Standard",$Q$186,IF($D$129="Soumdproof",$Q$187,))</f>
        <v>02-031</v>
      </c>
      <c r="E194" s="130" t="n">
        <f aca="false">IF($D$129="Standard",R192,IF($D$129="Soumdproof",R193,))</f>
        <v>0</v>
      </c>
      <c r="F194" s="130" t="str">
        <f aca="false">IF($D$129="Standard",$S$186,IF($D$129="Soumdproof",$S$187,))</f>
        <v>02-031</v>
      </c>
      <c r="G194" s="130" t="str">
        <f aca="false">IF($D$129="Standard",$T$186,IF($D$129="Soumdproof",$T$187,))</f>
        <v>M</v>
      </c>
      <c r="H194" s="173" t="n">
        <f aca="false">IF($D$129="Standard",$U$186,IF($D$129="Soumdproof",$U$187,))</f>
        <v>109.728</v>
      </c>
      <c r="I194" s="174" t="n">
        <f aca="false">IF($D$129="Standard",$V$186,IF($D$129="Soumdproof",$V$187,))</f>
        <v>350</v>
      </c>
      <c r="J194" s="177" t="n">
        <f aca="false">ROUNDUP((H194)/100,0)</f>
        <v>2</v>
      </c>
    </row>
    <row r="195" s="96" customFormat="true" ht="18" hidden="false" customHeight="true" outlineLevel="0" collapsed="false">
      <c r="A195" s="170" t="n">
        <f aca="false">IF(B195="","",+A194+1)</f>
        <v>23</v>
      </c>
      <c r="B195" s="176" t="str">
        <f aca="false">IF($D$127=5,$O$175,IF($D$127=6,$O$176,IF($D$127=8,$O$177,IF($D$127=10,$O$175,IF($D$127=12,$O$175,IF($D$127=14,$O$177,IF($D$127=18,$O$175,IF($D$127=20,$O$176,IF($D$127=22,"")))))))))</f>
        <v>5,8,10,12,18 mmยางอัดกระจก</v>
      </c>
      <c r="C195" s="176" t="str">
        <f aca="false">IF($D$127=5,$P$175,IF($D$127=6,$P$176,IF($D$127=8,$P$177,IF($D$127=10,$P$175,IF($D$127=12,$P$175,IF($D$127=14,$P$177,IF($D$127=18,$P$175,IF($D$127=20,$P$176,IF($D$127=22,"")))))))))</f>
        <v>5,8,10,12,18 mm ROLL IN WEDGE</v>
      </c>
      <c r="D195" s="176" t="str">
        <f aca="false">IF($D$127=5,$Q$175,IF($D$127=6,$Q$176,IF($D$127=8,$Q$177,IF($D$127=10,$Q$175,IF($D$127=12,$Q$175,IF($D$127=14,$Q$177,IF($D$127=18,$Q$175,IF($D$127=20,$Q$176,IF($D$127=22,"")))))))))</f>
        <v>02-033</v>
      </c>
      <c r="E195" s="176" t="n">
        <f aca="false">IF($D$127=5,R181,IF($D$127=6,R182,IF($D$127=8,R183,IF($D$127=10,R181,IF($D$127=12,R181,IF($D$127=14,R183,IF($D$127=18,R181,IF($D$127=20,R182,IF($D$127=22,"",)))))))))</f>
        <v>0</v>
      </c>
      <c r="F195" s="167" t="str">
        <f aca="false">IF($D$127=5,$S$175,IF($D$127=6,$S$176,IF($D$127=8,$S$177,IF($D$127=10,$S$175,IF($D$127=12,$S$175,IF($D$127=14,$S$177,IF($D$127=18,$S$175,IF($D$127=20,$S$176,IF($D$127=22,"")))))))))</f>
        <v>02-033</v>
      </c>
      <c r="G195" s="167" t="str">
        <f aca="false">IF($D$127=5,$T$175,IF($D$127=6,$T$176,IF($D$127=8,$T$177,IF($D$127=10,$T$175,IF($D$127=12,$T$175,IF($D$127=14,$T$177,IF($D$127=18,$T$175,IF($D$127=20,$T$176,IF($D$127=22,"")))))))))</f>
        <v>M</v>
      </c>
      <c r="H195" s="173" t="n">
        <f aca="false">IF($D$127=5,$U$175,IF($D$127=6,$U$176,IF($D$127=8,$U$177,IF($D$127=10,$U$175*2,IF($D$127=12,$U$175,IF($D$127=14,$U$177*2,IF($D$127=18,$U$175,IF($D$127=20,$U$176,IF($D$127=22,"")))))))))</f>
        <v>61.568</v>
      </c>
      <c r="I195" s="174" t="n">
        <f aca="false">IF($D$127=5,$V$175,IF($D$127=6,$V$176,IF($D$127=8,$V$177,IF($D$127=10,$V$175,IF($D$127=12,$V$175,IF($D$127=14,$V$177,IF($D$127=18,$V$175,IF($D$127=20,$V$176,IF($D$127=22,"")))))))))</f>
        <v>100</v>
      </c>
      <c r="J195" s="177" t="n">
        <f aca="false">ROUNDUP((H195)/100,0)</f>
        <v>1</v>
      </c>
    </row>
    <row r="196" s="96" customFormat="true" ht="18" hidden="false" customHeight="true" outlineLevel="0" collapsed="false">
      <c r="A196" s="170" t="n">
        <f aca="false">IF(B196="","",+A195+1)</f>
        <v>24</v>
      </c>
      <c r="B196" s="176" t="str">
        <f aca="false">IF($D$127=5,$O$173,IF($D$127=6,$O$173,IF($D$127=8,$O$175,IF($D$127=10,"",IF($D$127=12,$O$174,IF($D$127=14,"",IF($D$127=18,$O$173,IF($D$127=20,$O$174,IF($D$127=22,"",)))))))))</f>
        <v>5,6,18 mm ยางรองกระจก</v>
      </c>
      <c r="C196" s="176" t="str">
        <f aca="false">IF($D$127=5,$P$173,IF($D$127=6,$P$173,IF($D$127=8,$P$175,IF($D$127=10,"",IF($D$127=12,$P$174,IF($D$127=14,"",IF($D$127=18,$P$173,IF($D$127=20,$P$174,IF($D$127=22,"",)))))))))</f>
        <v>5,6,18 mm CAPTIVE WEDGE</v>
      </c>
      <c r="D196" s="176" t="str">
        <f aca="false">IF($D$127=5,$Q$173,IF($D$127=6,$Q$173,IF($D$127=8,$Q$175,IF($D$127=10,"",IF($D$127=12,$Q$174,IF($D$127=14,"",IF($D$127=18,$Q$173,IF($D$127=20,$Q$174,IF($D$127=22,"",)))))))))</f>
        <v>02-022</v>
      </c>
      <c r="E196" s="176" t="n">
        <f aca="false">IF($D$127=5,R179,IF($D$127=6,R179,IF($D$127=8,R181,IF($D$127=10,"",IF($D$127=12,R180,IF($D$127=14,"",IF($D$127=18,R179,IF($D$127=20,R180,IF($D$127=22,"",)))))))))</f>
        <v>0</v>
      </c>
      <c r="F196" s="167" t="str">
        <f aca="false">IF($D$127=5,$S$173,IF($D$127=6,$S$173,IF($D$127=8,$S$175,IF($D$127=10,"",IF($D$127=12,$S$174,IF($D$127=14,"",IF($D$127=18,$S$173,IF($D$127=20,$S$174,IF($D$127=22,"",)))))))))</f>
        <v>02-022</v>
      </c>
      <c r="G196" s="167" t="str">
        <f aca="false">IF($D$127=5,$T$173,IF($D$127=6,$T$173,IF($D$127=8,$T$175,IF($D$127=10,"",IF($D$127=12,$T$174,IF($D$127=14,"",IF($D$127=18,$T$173,IF($D$127=20,$T$174,IF($D$127=22,"",)))))))))</f>
        <v>M</v>
      </c>
      <c r="H196" s="173" t="n">
        <f aca="false">IF($D$127=5,$U$173,IF($D$127=6,$U$173,IF($D$127=8,$U$175,IF($D$127=10,"",IF($D$127=12,$U$174,IF($D$127=14,"",IF($D$127=18,$U$173,IF($D$127=20,$U$174,IF($D$127=22,"")))))))))</f>
        <v>61.568</v>
      </c>
      <c r="I196" s="174" t="n">
        <f aca="false">IF($D$127=5,$V$173,IF($D$127=6,$V$173,IF($D$127=8,$V$175,IF($D$127=10,"",IF($D$127=12,$V$174,IF($D$127=14,"",IF($D$127=18,$V$173,IF($D$127=20,$V$174,IF($D$127=22,"",)))))))))</f>
        <v>100</v>
      </c>
      <c r="J196" s="177" t="n">
        <f aca="false">ROUNDUP((H196)/100,0)</f>
        <v>1</v>
      </c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$J$120*H197</f>
        <v>0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$J$120*H198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42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42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$J$120*H204</f>
        <v>0</v>
      </c>
    </row>
    <row r="205" s="96" customFormat="true" ht="18" hidden="false" customHeight="true" outlineLevel="0" collapsed="false">
      <c r="A205" s="179" t="str">
        <f aca="false">IF(B205="","",+A204+1)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$J$120*H205</f>
        <v>0</v>
      </c>
    </row>
    <row r="206" s="96" customFormat="true" ht="18" hidden="false" customHeight="true" outlineLevel="0" collapsed="false">
      <c r="A206" s="200"/>
      <c r="B206" s="98"/>
      <c r="D206" s="98"/>
      <c r="E206" s="97"/>
      <c r="F206" s="98"/>
      <c r="G206" s="98"/>
      <c r="H206" s="98"/>
      <c r="I206" s="196"/>
      <c r="J206" s="196"/>
    </row>
    <row r="207" customFormat="false" ht="18" hidden="false" customHeight="true" outlineLevel="0" collapsed="false">
      <c r="A207" s="97"/>
      <c r="J207" s="92" t="str">
        <f aca="false">LEFT($J$111,14)&amp;"-02"</f>
        <v>FG-240-12P5L7R-02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458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1940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461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1914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464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1940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97"/>
      <c r="H252" s="97"/>
      <c r="I252" s="196"/>
      <c r="J252" s="196"/>
    </row>
    <row r="253" s="96" customFormat="true" ht="15.75" hidden="false" customHeight="true" outlineLevel="0" collapsed="false">
      <c r="A253" s="191"/>
      <c r="B253" s="191"/>
      <c r="D253" s="192"/>
      <c r="E253" s="191"/>
      <c r="F253" s="191"/>
      <c r="G253" s="97"/>
      <c r="H253" s="97"/>
      <c r="I253" s="196"/>
      <c r="J253" s="196"/>
    </row>
    <row r="254" s="96" customFormat="true" ht="15.75" hidden="false" customHeight="true" outlineLevel="0" collapsed="false">
      <c r="A254" s="190"/>
      <c r="B254" s="190"/>
      <c r="C254" s="184" t="s">
        <v>465</v>
      </c>
      <c r="D254" s="194"/>
      <c r="E254" s="190"/>
      <c r="F254" s="189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459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460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5" t="n">
        <f aca="false">$I$136</f>
        <v>1940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7" t="n">
        <f aca="false">$J$136</f>
        <v>1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C262" s="98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184" t="s">
        <v>466</v>
      </c>
      <c r="D264" s="98"/>
      <c r="E264" s="97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522</v>
      </c>
      <c r="D265" s="181"/>
      <c r="E265" s="181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468</v>
      </c>
      <c r="D266" s="181"/>
      <c r="E266" s="181"/>
      <c r="F266" s="97"/>
      <c r="G266" s="97"/>
      <c r="H266" s="97"/>
      <c r="J266" s="97"/>
    </row>
    <row r="267" s="96" customFormat="true" ht="15.75" hidden="false" customHeight="true" outlineLevel="0" collapsed="false">
      <c r="A267" s="200"/>
      <c r="C267" s="185" t="n">
        <f aca="false">$I$137</f>
        <v>2500</v>
      </c>
      <c r="D267" s="98"/>
      <c r="E267" s="97"/>
      <c r="F267" s="97"/>
      <c r="J267" s="97"/>
    </row>
    <row r="268" s="96" customFormat="true" ht="15.75" hidden="false" customHeight="true" outlineLevel="0" collapsed="false">
      <c r="A268" s="200"/>
      <c r="C268" s="187" t="n">
        <f aca="false">$J$137+$J$138</f>
        <v>2</v>
      </c>
      <c r="D268" s="98"/>
      <c r="E268" s="97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I272" s="196"/>
      <c r="J272" s="196"/>
    </row>
    <row r="273" s="96" customFormat="true" ht="15.75" hidden="false" customHeight="true" outlineLevel="0" collapsed="false">
      <c r="A273" s="200"/>
      <c r="D273" s="98"/>
      <c r="E273" s="97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C274" s="184" t="s">
        <v>469</v>
      </c>
      <c r="D274" s="201"/>
      <c r="E274" s="196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1" t="s">
        <v>470</v>
      </c>
      <c r="D275" s="181"/>
      <c r="E275" s="181"/>
      <c r="F275" s="97"/>
      <c r="G275" s="97"/>
      <c r="I275" s="97"/>
      <c r="J275" s="196"/>
    </row>
    <row r="276" s="96" customFormat="true" ht="15.75" hidden="false" customHeight="true" outlineLevel="0" collapsed="false">
      <c r="A276" s="200"/>
      <c r="C276" s="181" t="s">
        <v>471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5" t="n">
        <f aca="false">$I$139</f>
        <v>2404</v>
      </c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7" t="n">
        <f aca="false">$J$139+$J$140</f>
        <v>2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F279" s="97"/>
      <c r="G279" s="97"/>
      <c r="H279" s="97"/>
      <c r="J279" s="97"/>
    </row>
    <row r="280" s="96" customFormat="true" ht="15.75" hidden="false" customHeight="true" outlineLevel="0" collapsed="false">
      <c r="A280" s="200"/>
      <c r="D280" s="98"/>
      <c r="E280" s="97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I282" s="201"/>
      <c r="J282" s="196"/>
    </row>
    <row r="283" s="96" customFormat="true" ht="15.75" hidden="false" customHeight="true" outlineLevel="0" collapsed="false">
      <c r="A283" s="200"/>
      <c r="C283" s="184" t="s">
        <v>472</v>
      </c>
      <c r="F283" s="97"/>
      <c r="G283" s="97"/>
      <c r="H283" s="97"/>
      <c r="I283" s="97"/>
      <c r="J283" s="196"/>
    </row>
    <row r="284" s="96" customFormat="true" ht="15.75" hidden="false" customHeight="true" outlineLevel="0" collapsed="false">
      <c r="A284" s="200"/>
      <c r="C284" s="83" t="s">
        <v>803</v>
      </c>
      <c r="D284" s="98"/>
      <c r="E284" s="97"/>
      <c r="F284" s="97"/>
      <c r="G284" s="97"/>
      <c r="H284" s="97"/>
      <c r="I284" s="196"/>
      <c r="J284" s="196"/>
    </row>
    <row r="285" s="96" customFormat="true" ht="15.75" hidden="false" customHeight="true" outlineLevel="0" collapsed="false">
      <c r="A285" s="200"/>
      <c r="C285" s="181" t="s">
        <v>804</v>
      </c>
      <c r="D285" s="98"/>
      <c r="E285" s="97"/>
      <c r="F285" s="97"/>
      <c r="G285" s="97"/>
      <c r="H285" s="97"/>
      <c r="I285" s="196"/>
      <c r="J285" s="196"/>
    </row>
    <row r="286" s="96" customFormat="true" ht="15.75" hidden="false" customHeight="true" outlineLevel="0" collapsed="false">
      <c r="A286" s="200"/>
      <c r="C286" s="181" t="s">
        <v>475</v>
      </c>
      <c r="D286" s="181"/>
      <c r="E286" s="181"/>
      <c r="F286" s="97"/>
      <c r="G286" s="97"/>
      <c r="I286" s="196"/>
      <c r="J286" s="196"/>
    </row>
    <row r="287" s="202" customFormat="true" ht="15.75" hidden="false" customHeight="true" outlineLevel="0" collapsed="false">
      <c r="A287" s="200"/>
      <c r="B287" s="96"/>
      <c r="C287" s="181" t="s">
        <v>476</v>
      </c>
      <c r="D287" s="181"/>
      <c r="E287" s="181"/>
      <c r="F287" s="97"/>
      <c r="G287" s="97"/>
      <c r="H287" s="96"/>
      <c r="I287" s="97"/>
      <c r="J287" s="97"/>
    </row>
    <row r="288" s="96" customFormat="true" ht="15.75" hidden="false" customHeight="true" outlineLevel="0" collapsed="false">
      <c r="A288" s="200"/>
      <c r="C288" s="185" t="n">
        <f aca="false">$I$141</f>
        <v>157.333333333333</v>
      </c>
      <c r="F288" s="97"/>
      <c r="G288" s="97"/>
      <c r="I288" s="191"/>
      <c r="J288" s="199"/>
    </row>
    <row r="289" s="96" customFormat="true" ht="15.75" hidden="false" customHeight="true" outlineLevel="0" collapsed="false">
      <c r="A289" s="200"/>
      <c r="C289" s="187" t="n">
        <f aca="false">$J$141+$J$142</f>
        <v>24</v>
      </c>
      <c r="D289" s="98"/>
      <c r="E289" s="97"/>
      <c r="F289" s="97"/>
      <c r="G289" s="97"/>
      <c r="H289" s="98"/>
      <c r="I289" s="189"/>
      <c r="J289" s="190"/>
    </row>
    <row r="290" s="96" customFormat="true" ht="15.75" hidden="false" customHeight="true" outlineLevel="0" collapsed="false">
      <c r="A290" s="200"/>
      <c r="C290" s="185" t="n">
        <f aca="false">$I$143</f>
        <v>2408</v>
      </c>
      <c r="D290" s="98"/>
      <c r="E290" s="97"/>
      <c r="F290" s="97"/>
      <c r="G290" s="97"/>
      <c r="H290" s="97"/>
      <c r="I290" s="196"/>
      <c r="J290" s="196"/>
    </row>
    <row r="291" s="96" customFormat="true" ht="15.75" hidden="false" customHeight="true" outlineLevel="0" collapsed="false">
      <c r="A291" s="200"/>
      <c r="C291" s="187" t="n">
        <f aca="false">$J$143+$J$144+$J$145+$J$146</f>
        <v>24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D292" s="98"/>
      <c r="E292" s="97"/>
      <c r="F292" s="97"/>
      <c r="G292" s="97"/>
      <c r="H292" s="97"/>
      <c r="I292" s="97"/>
      <c r="J292" s="196"/>
    </row>
    <row r="293" s="96" customFormat="true" ht="15.75" hidden="false" customHeight="true" outlineLevel="0" collapsed="false">
      <c r="A293" s="200"/>
      <c r="C293" s="202"/>
      <c r="D293" s="98"/>
      <c r="E293" s="97"/>
      <c r="F293" s="97"/>
      <c r="G293" s="97"/>
      <c r="H293" s="97"/>
      <c r="I293" s="97"/>
      <c r="J293" s="196"/>
    </row>
    <row r="294" s="96" customFormat="true" ht="15.75" hidden="false" customHeight="true" outlineLevel="0" collapsed="false">
      <c r="A294" s="200"/>
      <c r="C294" s="184" t="s">
        <v>477</v>
      </c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83" t="s">
        <v>803</v>
      </c>
      <c r="D295" s="98"/>
      <c r="E295" s="97"/>
      <c r="F295" s="97"/>
      <c r="G295" s="191"/>
      <c r="H295" s="191"/>
      <c r="I295" s="97"/>
      <c r="J295" s="196"/>
    </row>
    <row r="296" s="96" customFormat="true" ht="15.75" hidden="false" customHeight="true" outlineLevel="0" collapsed="false">
      <c r="A296" s="200"/>
      <c r="C296" s="181" t="s">
        <v>805</v>
      </c>
      <c r="D296" s="181"/>
      <c r="E296" s="181"/>
      <c r="F296" s="97"/>
      <c r="G296" s="190"/>
      <c r="H296" s="189"/>
      <c r="I296" s="97"/>
      <c r="J296" s="196"/>
    </row>
    <row r="297" s="96" customFormat="true" ht="15.75" hidden="false" customHeight="true" outlineLevel="0" collapsed="false">
      <c r="A297" s="107"/>
      <c r="C297" s="181" t="s">
        <v>478</v>
      </c>
      <c r="D297" s="181"/>
      <c r="E297" s="181"/>
      <c r="F297" s="97"/>
      <c r="G297" s="97"/>
      <c r="H297" s="97"/>
      <c r="I297" s="97"/>
      <c r="J297" s="196"/>
    </row>
    <row r="298" s="96" customFormat="true" ht="15.75" hidden="false" customHeight="true" outlineLevel="0" collapsed="false">
      <c r="A298" s="191"/>
      <c r="B298" s="191"/>
      <c r="C298" s="181" t="s">
        <v>479</v>
      </c>
      <c r="D298" s="203"/>
      <c r="E298" s="204"/>
      <c r="F298" s="191"/>
      <c r="G298" s="97"/>
      <c r="H298" s="97"/>
      <c r="I298" s="97"/>
      <c r="J298" s="196"/>
    </row>
    <row r="299" s="96" customFormat="true" ht="15.75" hidden="false" customHeight="true" outlineLevel="0" collapsed="false">
      <c r="A299" s="190"/>
      <c r="B299" s="190"/>
      <c r="C299" s="185" t="n">
        <f aca="false">$I$147</f>
        <v>47.4375</v>
      </c>
      <c r="D299" s="205"/>
      <c r="E299" s="206"/>
      <c r="F299" s="189"/>
      <c r="G299" s="97"/>
      <c r="H299" s="97"/>
      <c r="I299" s="97"/>
      <c r="J299" s="196"/>
    </row>
    <row r="300" s="96" customFormat="true" ht="15.75" hidden="false" customHeight="true" outlineLevel="0" collapsed="false">
      <c r="A300" s="97"/>
      <c r="C300" s="187" t="n">
        <f aca="false">$J$147</f>
        <v>24</v>
      </c>
      <c r="D300" s="98"/>
      <c r="F300" s="97"/>
      <c r="G300" s="97"/>
      <c r="H300" s="97"/>
      <c r="I300" s="97"/>
      <c r="J300" s="196"/>
    </row>
    <row r="301" s="96" customFormat="true" ht="15.75" hidden="false" customHeight="true" outlineLevel="0" collapsed="false">
      <c r="A301" s="97"/>
      <c r="C301" s="185" t="n">
        <f aca="false">$I$148</f>
        <v>2258</v>
      </c>
      <c r="D301" s="98"/>
      <c r="F301" s="97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7" t="n">
        <f aca="false">$J$148</f>
        <v>24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C306" s="184" t="s">
        <v>744</v>
      </c>
      <c r="D306" s="98"/>
      <c r="E306" s="97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1" t="s">
        <v>475</v>
      </c>
      <c r="D307" s="181"/>
      <c r="E307" s="181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249" t="s">
        <v>476</v>
      </c>
      <c r="D308" s="249"/>
      <c r="E308" s="249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5" t="n">
        <f aca="false">$I$149</f>
        <v>2408</v>
      </c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7" t="n">
        <f aca="false">$J$149+$J$150</f>
        <v>2</v>
      </c>
      <c r="D310" s="181"/>
      <c r="E310" s="181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C311" s="181"/>
      <c r="D311" s="181"/>
      <c r="E311" s="181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C312" s="181"/>
      <c r="D312" s="181"/>
      <c r="E312" s="181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LEFT($J$111,14)&amp;"-03"</f>
        <v>FG-240-12P5L7R-03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I316" s="76"/>
      <c r="J316" s="77" t="str">
        <f aca="false">$J$2</f>
        <v>HOMELIFE</v>
      </c>
      <c r="K316" s="83"/>
      <c r="L316" s="83"/>
      <c r="M316" s="79"/>
      <c r="N316" s="79"/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240-12 Panel (5L7R)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195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91"/>
      <c r="D405" s="98"/>
      <c r="E405" s="97"/>
      <c r="F405" s="97"/>
      <c r="G405" s="97"/>
      <c r="H405" s="97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LEFT($J$111,14)&amp;"-04"</f>
        <v>FG-240-12P5L7R-04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B423" s="96"/>
      <c r="C423" s="96"/>
      <c r="D423" s="98"/>
      <c r="E423" s="97"/>
      <c r="F423" s="97"/>
      <c r="G423" s="97"/>
      <c r="H423" s="97"/>
      <c r="I423" s="76"/>
      <c r="J423" s="77" t="str">
        <f aca="false">J2</f>
        <v>HOMELIFE</v>
      </c>
      <c r="K423" s="83"/>
      <c r="L423" s="83"/>
      <c r="M423" s="79"/>
      <c r="N423" s="79"/>
    </row>
    <row r="424" customFormat="false" ht="24.75" hidden="false" customHeight="true" outlineLevel="0" collapsed="false">
      <c r="C424" s="75"/>
      <c r="D424" s="76"/>
      <c r="E424" s="76"/>
      <c r="F424" s="76"/>
      <c r="G424" s="76"/>
      <c r="H424" s="76"/>
      <c r="I424" s="82"/>
      <c r="J424" s="80" t="str">
        <f aca="false">J3</f>
        <v>Fabricators Guide</v>
      </c>
      <c r="K424" s="83"/>
      <c r="L424" s="83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J4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240-12 Panel (5L7R)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191"/>
      <c r="C442" s="212"/>
      <c r="D442" s="98"/>
      <c r="E442" s="97"/>
      <c r="F442" s="97"/>
      <c r="H442" s="191"/>
      <c r="I442" s="191"/>
      <c r="J442" s="199"/>
    </row>
    <row r="443" s="96" customFormat="true" ht="15.75" hidden="false" customHeight="true" outlineLevel="0" collapsed="false">
      <c r="A443" s="190"/>
      <c r="C443" s="191"/>
      <c r="D443" s="192"/>
      <c r="E443" s="191"/>
      <c r="F443" s="191"/>
      <c r="H443" s="191"/>
      <c r="I443" s="191"/>
      <c r="J443" s="199"/>
    </row>
    <row r="444" s="96" customFormat="true" ht="34.5" hidden="false" customHeight="true" outlineLevel="0" collapsed="false">
      <c r="A444" s="97"/>
      <c r="C444" s="98"/>
      <c r="D444" s="194"/>
      <c r="E444" s="190"/>
      <c r="F444" s="189"/>
      <c r="H444" s="191"/>
      <c r="I444" s="196"/>
      <c r="J444" s="196"/>
    </row>
    <row r="445" customFormat="false" ht="15" hidden="false" customHeight="true" outlineLevel="0" collapsed="false">
      <c r="B445" s="211"/>
      <c r="C445" s="98"/>
      <c r="D445" s="98"/>
      <c r="E445" s="97"/>
      <c r="F445" s="98"/>
      <c r="G445" s="97"/>
      <c r="H445" s="97"/>
    </row>
    <row r="450" s="96" customFormat="true" ht="15.75" hidden="false" customHeight="true" outlineLevel="0" collapsed="false">
      <c r="A450" s="97"/>
      <c r="D450" s="73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191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97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196"/>
      <c r="J457" s="196"/>
    </row>
    <row r="458" s="96" customFormat="true" ht="15.7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195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202" customFormat="true" ht="15.75" hidden="false" customHeight="true" outlineLevel="0" collapsed="false">
      <c r="A477" s="97"/>
      <c r="B477" s="96"/>
      <c r="C477" s="96"/>
      <c r="D477" s="98"/>
      <c r="E477" s="97"/>
      <c r="F477" s="97"/>
      <c r="G477" s="97"/>
      <c r="H477" s="97"/>
      <c r="I477" s="97"/>
      <c r="J477" s="97"/>
    </row>
    <row r="478" s="96" customFormat="true" ht="15.75" hidden="false" customHeight="true" outlineLevel="0" collapsed="false">
      <c r="A478" s="191"/>
      <c r="D478" s="98"/>
      <c r="E478" s="97"/>
      <c r="F478" s="97"/>
      <c r="G478" s="97"/>
      <c r="H478" s="97"/>
      <c r="I478" s="191"/>
      <c r="J478" s="199"/>
    </row>
    <row r="479" s="96" customFormat="true" ht="15.75" hidden="false" customHeight="true" outlineLevel="0" collapsed="false">
      <c r="A479" s="190"/>
      <c r="B479" s="191"/>
      <c r="C479" s="191"/>
      <c r="D479" s="192"/>
      <c r="E479" s="191"/>
      <c r="F479" s="191"/>
      <c r="G479" s="191"/>
      <c r="H479" s="191"/>
      <c r="I479" s="189"/>
      <c r="J479" s="190"/>
    </row>
    <row r="480" s="96" customFormat="true" ht="15.75" hidden="false" customHeight="true" outlineLevel="0" collapsed="false">
      <c r="A480" s="200"/>
      <c r="B480" s="190"/>
      <c r="C480" s="191"/>
      <c r="D480" s="194"/>
      <c r="E480" s="190"/>
      <c r="F480" s="189"/>
      <c r="G480" s="190"/>
      <c r="H480" s="189"/>
      <c r="I480" s="196"/>
      <c r="J480" s="196"/>
    </row>
    <row r="481" s="96" customFormat="true" ht="15.75" hidden="false" customHeight="true" outlineLevel="0" collapsed="false">
      <c r="A481" s="200"/>
      <c r="C481" s="182"/>
      <c r="D481" s="98"/>
      <c r="E481" s="97"/>
      <c r="F481" s="97"/>
      <c r="G481" s="97"/>
      <c r="H481" s="182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C487" s="98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182"/>
      <c r="J499" s="97"/>
    </row>
    <row r="500" s="96" customFormat="true" ht="15.75" hidden="false" customHeight="true" outlineLevel="0" collapsed="false">
      <c r="A500" s="200"/>
      <c r="C500" s="188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I501" s="196"/>
      <c r="J501" s="196"/>
    </row>
    <row r="502" s="96" customFormat="true" ht="15.75" hidden="false" customHeight="true" outlineLevel="0" collapsed="false">
      <c r="A502" s="200"/>
      <c r="C502" s="98"/>
      <c r="D502" s="98"/>
      <c r="E502" s="97"/>
      <c r="F502" s="97"/>
      <c r="G502" s="97"/>
      <c r="H502" s="182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191"/>
      <c r="D513" s="98"/>
      <c r="E513" s="97"/>
      <c r="F513" s="97"/>
      <c r="G513" s="97"/>
      <c r="I513" s="191"/>
      <c r="J513" s="199"/>
    </row>
    <row r="514" s="96" customFormat="true" ht="15.75" hidden="false" customHeight="true" outlineLevel="0" collapsed="false">
      <c r="A514" s="191"/>
      <c r="B514" s="191"/>
      <c r="C514" s="191"/>
      <c r="D514" s="192"/>
      <c r="E514" s="191"/>
      <c r="F514" s="191"/>
      <c r="G514" s="191"/>
      <c r="H514" s="191"/>
      <c r="I514" s="191"/>
      <c r="J514" s="199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B516" s="191"/>
      <c r="C516" s="191"/>
      <c r="D516" s="192"/>
      <c r="E516" s="191"/>
      <c r="F516" s="191"/>
      <c r="G516" s="191"/>
      <c r="H516" s="191"/>
    </row>
    <row r="517" s="96" customFormat="true" ht="15.75" hidden="false" customHeight="true" outlineLevel="0" collapsed="false"/>
    <row r="518" s="96" customFormat="true" ht="24.75" hidden="false" customHeight="true" outlineLevel="0" collapsed="false">
      <c r="A518" s="88" t="s">
        <v>482</v>
      </c>
      <c r="B518" s="88"/>
      <c r="C518" s="88"/>
      <c r="D518" s="88"/>
      <c r="E518" s="88"/>
      <c r="F518" s="88"/>
      <c r="G518" s="88"/>
      <c r="H518" s="88"/>
      <c r="I518" s="88"/>
      <c r="J518" s="88"/>
    </row>
    <row r="519" s="96" customFormat="true" ht="34.5" hidden="false" customHeight="true" outlineLevel="0" collapsed="false">
      <c r="A519" s="322" t="s">
        <v>319</v>
      </c>
      <c r="B519" s="323" t="s">
        <v>168</v>
      </c>
      <c r="C519" s="115" t="s">
        <v>168</v>
      </c>
      <c r="D519" s="116" t="s">
        <v>483</v>
      </c>
      <c r="E519" s="115" t="s">
        <v>321</v>
      </c>
      <c r="F519" s="239" t="s">
        <v>484</v>
      </c>
      <c r="G519" s="240"/>
      <c r="H519" s="116" t="s">
        <v>484</v>
      </c>
      <c r="I519" s="116" t="s">
        <v>485</v>
      </c>
      <c r="J519" s="117" t="s">
        <v>323</v>
      </c>
      <c r="N519" s="118" t="s">
        <v>168</v>
      </c>
      <c r="O519" s="118" t="s">
        <v>168</v>
      </c>
    </row>
    <row r="520" s="96" customFormat="true" ht="15.75" hidden="false" customHeight="true" outlineLevel="0" collapsed="false">
      <c r="A520" s="324" t="n">
        <f aca="false">IF(C520="","",1)</f>
        <v>1</v>
      </c>
      <c r="B520" s="121" t="str">
        <f aca="false">IF($D$127=5,N520,IF($D$127=6,N521,IF($D$127=8,N522,IF($D$127=10,N523,IF($D$127=12,N524,IF($D$127=14,N525,IF($D$127=18,N526,IF($D$127=20,N527,IF($D$127=22,N528,)))))))))</f>
        <v>กระจก 5 mm (สูง) (กว้าง)</v>
      </c>
      <c r="C520" s="121" t="str">
        <f aca="false">IF($D$127=5,O520,IF($D$127=6,O521,IF($D$127=8,O522,IF($D$127=10,O523,IF($D$127=12,O524,IF($D$127=14,O525,IF($D$127=18,O526,IF($D$127=20,O527,IF($D$127=22,O528,)))))))))</f>
        <v>GLASS thk.5 mm (H) (W)</v>
      </c>
      <c r="D520" s="123" t="n">
        <f aca="false">$J$123-215</f>
        <v>2285</v>
      </c>
      <c r="E520" s="120" t="s">
        <v>486</v>
      </c>
      <c r="F520" s="224" t="s">
        <v>487</v>
      </c>
      <c r="G520" s="224"/>
      <c r="H520" s="120" t="s">
        <v>806</v>
      </c>
      <c r="I520" s="225" t="n">
        <f aca="false">(($J$126-185-(113.25*11))/12)-13</f>
        <v>34.4375</v>
      </c>
      <c r="J520" s="226" t="n">
        <f aca="false">$J$120*12</f>
        <v>12</v>
      </c>
      <c r="N520" s="62" t="s">
        <v>489</v>
      </c>
      <c r="O520" s="62" t="s">
        <v>490</v>
      </c>
    </row>
    <row r="521" s="96" customFormat="true" ht="15.75" hidden="false" customHeight="true" outlineLevel="0" collapsed="false">
      <c r="A521" s="227"/>
      <c r="B521" s="131"/>
      <c r="C521" s="131"/>
      <c r="D521" s="132" t="s">
        <v>208</v>
      </c>
      <c r="E521" s="130"/>
      <c r="F521" s="233"/>
      <c r="G521" s="234"/>
      <c r="H521" s="131"/>
      <c r="I521" s="133"/>
      <c r="J521" s="235"/>
      <c r="N521" s="62" t="s">
        <v>491</v>
      </c>
      <c r="O521" s="62" t="s">
        <v>492</v>
      </c>
    </row>
    <row r="522" s="96" customFormat="true" ht="15.75" hidden="false" customHeight="true" outlineLevel="0" collapsed="false">
      <c r="A522" s="227"/>
      <c r="B522" s="131"/>
      <c r="C522" s="131"/>
      <c r="D522" s="132"/>
      <c r="E522" s="130"/>
      <c r="F522" s="233"/>
      <c r="G522" s="234"/>
      <c r="H522" s="130"/>
      <c r="I522" s="133"/>
      <c r="J522" s="235"/>
      <c r="N522" s="62" t="s">
        <v>493</v>
      </c>
      <c r="O522" s="62" t="s">
        <v>494</v>
      </c>
    </row>
    <row r="523" s="96" customFormat="true" ht="15.75" hidden="false" customHeight="true" outlineLevel="0" collapsed="false">
      <c r="A523" s="130" t="str">
        <f aca="false">IF(B523="","",+A521+1)</f>
        <v/>
      </c>
      <c r="B523" s="131"/>
      <c r="C523" s="131"/>
      <c r="D523" s="132"/>
      <c r="E523" s="130"/>
      <c r="F523" s="233"/>
      <c r="G523" s="270"/>
      <c r="H523" s="130"/>
      <c r="I523" s="142"/>
      <c r="J523" s="133"/>
      <c r="N523" s="62" t="s">
        <v>495</v>
      </c>
      <c r="O523" s="62" t="s">
        <v>496</v>
      </c>
    </row>
    <row r="524" s="96" customFormat="true" ht="15.75" hidden="false" customHeight="true" outlineLevel="0" collapsed="false">
      <c r="A524" s="136" t="str">
        <f aca="false">IF(B524="","",+A523+1)</f>
        <v/>
      </c>
      <c r="B524" s="135"/>
      <c r="C524" s="135"/>
      <c r="D524" s="139"/>
      <c r="E524" s="136"/>
      <c r="F524" s="236"/>
      <c r="G524" s="237"/>
      <c r="H524" s="136"/>
      <c r="I524" s="180"/>
      <c r="J524" s="140"/>
      <c r="N524" s="62" t="s">
        <v>497</v>
      </c>
      <c r="O524" s="62" t="s">
        <v>498</v>
      </c>
    </row>
    <row r="525" s="96" customFormat="true" ht="15.75" hidden="false" customHeight="true" outlineLevel="0" collapsed="false">
      <c r="A525" s="97"/>
      <c r="D525" s="98"/>
      <c r="E525" s="97"/>
      <c r="F525" s="97"/>
      <c r="G525" s="97"/>
      <c r="H525" s="97"/>
      <c r="I525" s="97"/>
      <c r="J525" s="196"/>
      <c r="N525" s="62" t="s">
        <v>499</v>
      </c>
      <c r="O525" s="62" t="s">
        <v>500</v>
      </c>
    </row>
    <row r="526" customFormat="false" ht="14.25" hidden="false" customHeight="false" outlineLevel="0" collapsed="false">
      <c r="J526" s="92" t="str">
        <f aca="false">LEFT($J$111,14)&amp;"-05"</f>
        <v>FG-240-12P5L7R-05</v>
      </c>
      <c r="M526" s="96"/>
      <c r="N526" s="62" t="s">
        <v>501</v>
      </c>
      <c r="O526" s="62" t="s">
        <v>502</v>
      </c>
      <c r="P526" s="96"/>
      <c r="Q526" s="96"/>
      <c r="R526" s="96"/>
      <c r="S526" s="96"/>
      <c r="T526" s="96"/>
      <c r="U526" s="96"/>
      <c r="V526" s="96"/>
    </row>
    <row r="527" customFormat="false" ht="14.25" hidden="false" customHeight="false" outlineLevel="0" collapsed="false">
      <c r="M527" s="96"/>
      <c r="N527" s="62" t="s">
        <v>503</v>
      </c>
      <c r="O527" s="62" t="s">
        <v>504</v>
      </c>
      <c r="P527" s="96"/>
      <c r="Q527" s="96"/>
      <c r="R527" s="96"/>
      <c r="S527" s="96"/>
      <c r="T527" s="96"/>
      <c r="U527" s="96"/>
      <c r="V527" s="96"/>
    </row>
    <row r="528" customFormat="false" ht="14.25" hidden="false" customHeight="false" outlineLevel="0" collapsed="false">
      <c r="N528" s="62" t="s">
        <v>505</v>
      </c>
      <c r="O528" s="62" t="s">
        <v>506</v>
      </c>
    </row>
  </sheetData>
  <mergeCells count="46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2:J152"/>
    <mergeCell ref="I153:J153"/>
    <mergeCell ref="I154:J154"/>
    <mergeCell ref="I155:J155"/>
    <mergeCell ref="I156:J156"/>
    <mergeCell ref="D157:D158"/>
    <mergeCell ref="H157:H158"/>
    <mergeCell ref="I157:J158"/>
    <mergeCell ref="D159:D160"/>
    <mergeCell ref="H159:H160"/>
    <mergeCell ref="I159:J159"/>
    <mergeCell ref="I160:J163"/>
    <mergeCell ref="D161:D166"/>
    <mergeCell ref="H161:H166"/>
    <mergeCell ref="I164:J165"/>
    <mergeCell ref="I166:J166"/>
    <mergeCell ref="D167:D168"/>
    <mergeCell ref="H167:H168"/>
    <mergeCell ref="D169:D170"/>
    <mergeCell ref="H169:H170"/>
    <mergeCell ref="A171:J171"/>
    <mergeCell ref="A213:J213"/>
    <mergeCell ref="C308:E308"/>
    <mergeCell ref="A320:J320"/>
    <mergeCell ref="F330:G330"/>
    <mergeCell ref="F331:G331"/>
    <mergeCell ref="F334:G334"/>
    <mergeCell ref="A427:J427"/>
    <mergeCell ref="A518:J518"/>
    <mergeCell ref="F520:G520"/>
  </mergeCells>
  <dataValidations count="4">
    <dataValidation allowBlank="true" errorStyle="stop" operator="between" showDropDown="false" showErrorMessage="true" showInputMessage="true" sqref="C206" type="list">
      <formula1>$O$173:$O$191</formula1>
      <formula2>0</formula2>
    </dataValidation>
    <dataValidation allowBlank="true" errorStyle="stop" operator="between" showDropDown="false" showErrorMessage="true" showInputMessage="true" sqref="D123:G123" type="list">
      <formula1>$P$118:$P$127</formula1>
      <formula2>0</formula2>
    </dataValidation>
    <dataValidation allowBlank="true" errorStyle="stop" operator="between" showDropDown="false" showErrorMessage="true" showInputMessage="true" sqref="D127:G127" type="list">
      <formula1>$N$119:$N$127</formula1>
      <formula2>0</formula2>
    </dataValidation>
    <dataValidation allowBlank="true" errorStyle="stop" operator="between" showDropDown="false" showErrorMessage="true" showInputMessage="true" sqref="D129:G129" type="list">
      <formula1>$O$119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528"/>
  <sheetViews>
    <sheetView showFormulas="false" showGridLines="false" showRowColHeaders="true" showZeros="true" rightToLeft="false" tabSelected="false" showOutlineSymbols="true" defaultGridColor="true" view="pageBreakPreview" topLeftCell="A172" colorId="64" zoomScale="75" zoomScaleNormal="75" zoomScalePageLayoutView="75" workbookViewId="0">
      <selection pane="topLeft" activeCell="H179" activeCellId="0" sqref="H179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55.67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9"/>
    <col collapsed="false" customWidth="true" hidden="false" outlineLevel="0" max="9" min="9" style="0" width="15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2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807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>
      <c r="G55" s="91"/>
    </row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808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8" hidden="false" customHeight="true" outlineLevel="0" collapsed="false">
      <c r="A118" s="97"/>
      <c r="C118" s="81"/>
      <c r="D118" s="98"/>
      <c r="E118" s="83"/>
      <c r="J118" s="99"/>
      <c r="K118" s="83"/>
      <c r="N118" s="258" t="s">
        <v>288</v>
      </c>
      <c r="O118" s="97" t="s">
        <v>289</v>
      </c>
      <c r="P118" s="102" t="s">
        <v>290</v>
      </c>
    </row>
    <row r="119" s="96" customFormat="true" ht="15" hidden="false" customHeight="true" outlineLevel="0" collapsed="false">
      <c r="A119" s="97"/>
      <c r="C119" s="100" t="s">
        <v>286</v>
      </c>
      <c r="D119" s="101" t="s">
        <v>809</v>
      </c>
      <c r="E119" s="101"/>
      <c r="F119" s="101"/>
      <c r="G119" s="101"/>
      <c r="I119" s="83"/>
      <c r="J119" s="97"/>
      <c r="N119" s="259" t="n">
        <v>5</v>
      </c>
      <c r="O119" s="97" t="s">
        <v>509</v>
      </c>
      <c r="P119" s="106" t="s">
        <v>294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2</v>
      </c>
      <c r="N120" s="259" t="n">
        <v>6</v>
      </c>
      <c r="O120" s="97" t="s">
        <v>296</v>
      </c>
      <c r="P120" s="106" t="s">
        <v>297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259" t="n">
        <v>8</v>
      </c>
      <c r="P121" s="106" t="s">
        <v>299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259" t="n">
        <v>10</v>
      </c>
      <c r="P122" s="106" t="s">
        <v>303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308</v>
      </c>
      <c r="E123" s="101"/>
      <c r="F123" s="101"/>
      <c r="G123" s="101"/>
      <c r="H123" s="104" t="s">
        <v>302</v>
      </c>
      <c r="I123" s="104"/>
      <c r="J123" s="105" t="n">
        <v>2600</v>
      </c>
      <c r="N123" s="259" t="n">
        <v>12</v>
      </c>
      <c r="P123" s="106" t="s">
        <v>305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259" t="n">
        <v>14</v>
      </c>
      <c r="P124" s="106" t="s">
        <v>308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699</v>
      </c>
      <c r="E125" s="101"/>
      <c r="F125" s="101"/>
      <c r="G125" s="101"/>
      <c r="H125" s="107"/>
      <c r="I125" s="107"/>
      <c r="J125" s="97"/>
      <c r="K125" s="110"/>
      <c r="L125" s="110"/>
      <c r="N125" s="259" t="n">
        <v>18</v>
      </c>
      <c r="P125" s="106" t="s">
        <v>311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9500</v>
      </c>
      <c r="K126" s="110"/>
      <c r="L126" s="110"/>
      <c r="N126" s="259" t="n">
        <v>20</v>
      </c>
      <c r="P126" s="106" t="s">
        <v>313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6</v>
      </c>
      <c r="E127" s="111"/>
      <c r="F127" s="111"/>
      <c r="G127" s="111"/>
      <c r="H127" s="104"/>
      <c r="I127" s="104"/>
      <c r="J127" s="105"/>
      <c r="N127" s="259" t="n">
        <v>22</v>
      </c>
      <c r="P127" s="106" t="s">
        <v>315</v>
      </c>
    </row>
    <row r="128" s="96" customFormat="true" ht="18.75" hidden="false" customHeight="true" outlineLevel="0" collapsed="false">
      <c r="C128" s="108" t="s">
        <v>314</v>
      </c>
      <c r="I128" s="97"/>
      <c r="J128" s="97"/>
      <c r="P128" s="97" t="s">
        <v>810</v>
      </c>
    </row>
    <row r="129" s="96" customFormat="true" ht="15" hidden="false" customHeight="true" outlineLevel="0" collapsed="false">
      <c r="A129" s="89" t="str">
        <f aca="false">A18</f>
        <v>240-12 Panel (6L6R)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9440</v>
      </c>
      <c r="J133" s="124" t="n">
        <f aca="false">$J$120*G133</f>
        <v>2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24</v>
      </c>
      <c r="U133" s="127" t="s">
        <v>801</v>
      </c>
      <c r="V133" s="247" t="n">
        <f aca="false">($J$126-185-(113.25*11))/12</f>
        <v>672.4375</v>
      </c>
      <c r="W133" s="129" t="n">
        <f aca="false">$J$120*T133</f>
        <v>48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9414</v>
      </c>
      <c r="J134" s="134" t="n">
        <f aca="false">$J$120*G134</f>
        <v>2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24</v>
      </c>
      <c r="U134" s="130" t="s">
        <v>801</v>
      </c>
      <c r="V134" s="141" t="n">
        <f aca="false">($J$126-185-(113.25*11))/12</f>
        <v>672.4375</v>
      </c>
      <c r="W134" s="134" t="n">
        <f aca="false">$J$120*T134</f>
        <v>48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9440</v>
      </c>
      <c r="J135" s="134" t="n">
        <f aca="false">$J$120*G135</f>
        <v>2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24</v>
      </c>
      <c r="U135" s="136" t="s">
        <v>801</v>
      </c>
      <c r="V135" s="254" t="n">
        <f aca="false">($J$126-185-(113.25*11))/12</f>
        <v>672.4375</v>
      </c>
      <c r="W135" s="137" t="n">
        <f aca="false">$J$120*T135</f>
        <v>48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9440</v>
      </c>
      <c r="J136" s="134" t="n">
        <f aca="false">$J$120*G136</f>
        <v>2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24</v>
      </c>
      <c r="U136" s="127" t="s">
        <v>360</v>
      </c>
      <c r="V136" s="138" t="n">
        <f aca="false">$J$123-242</f>
        <v>2358</v>
      </c>
      <c r="W136" s="129" t="n">
        <f aca="false">$J$120*T136</f>
        <v>48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2600</v>
      </c>
      <c r="J137" s="134" t="n">
        <f aca="false">$J$120*G137</f>
        <v>2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24</v>
      </c>
      <c r="U137" s="130" t="s">
        <v>360</v>
      </c>
      <c r="V137" s="133" t="n">
        <f aca="false">$J$123-242</f>
        <v>2358</v>
      </c>
      <c r="W137" s="134" t="n">
        <f aca="false">$J$120*T137</f>
        <v>48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2600</v>
      </c>
      <c r="J138" s="134" t="n">
        <f aca="false">$J$120*G138</f>
        <v>2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24</v>
      </c>
      <c r="U138" s="136" t="s">
        <v>360</v>
      </c>
      <c r="V138" s="140" t="n">
        <f aca="false">$J$123-242</f>
        <v>2358</v>
      </c>
      <c r="W138" s="137" t="n">
        <f aca="false">$J$120*T138</f>
        <v>48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2504</v>
      </c>
      <c r="J139" s="134" t="n">
        <f aca="false">$J$120*G139</f>
        <v>2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2504</v>
      </c>
      <c r="J140" s="134" t="n">
        <f aca="false">$J$120*G140</f>
        <v>2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12</v>
      </c>
      <c r="H141" s="321" t="s">
        <v>811</v>
      </c>
      <c r="I141" s="141" t="n">
        <f aca="false">(($J$126/2)-60-(6+1)*4)/6</f>
        <v>777</v>
      </c>
      <c r="J141" s="134" t="n">
        <f aca="false">$J$120*G141</f>
        <v>24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12</v>
      </c>
      <c r="H142" s="321" t="s">
        <v>811</v>
      </c>
      <c r="I142" s="141" t="n">
        <f aca="false">(($J$126/2)-60-(6+1)*4)/6</f>
        <v>777</v>
      </c>
      <c r="J142" s="134" t="n">
        <f aca="false">$J$120*G142</f>
        <v>24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18</v>
      </c>
      <c r="H143" s="130" t="s">
        <v>389</v>
      </c>
      <c r="I143" s="133" t="n">
        <f aca="false">$J$123-92</f>
        <v>2508</v>
      </c>
      <c r="J143" s="134" t="n">
        <f aca="false">$J$120*G143</f>
        <v>36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3</v>
      </c>
      <c r="H144" s="130" t="s">
        <v>389</v>
      </c>
      <c r="I144" s="133" t="n">
        <f aca="false">$J$123-92</f>
        <v>2508</v>
      </c>
      <c r="J144" s="134" t="n">
        <f aca="false">$J$120*G144</f>
        <v>6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390</v>
      </c>
      <c r="C145" s="131" t="s">
        <v>656</v>
      </c>
      <c r="D145" s="132" t="s">
        <v>74</v>
      </c>
      <c r="E145" s="130" t="n">
        <v>1.106</v>
      </c>
      <c r="F145" s="132" t="s">
        <v>563</v>
      </c>
      <c r="G145" s="130" t="n">
        <v>3</v>
      </c>
      <c r="H145" s="130" t="s">
        <v>389</v>
      </c>
      <c r="I145" s="133" t="n">
        <f aca="false">$J$123-92</f>
        <v>2508</v>
      </c>
      <c r="J145" s="134" t="n">
        <f aca="false">$J$120*G145</f>
        <v>6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6" s="131" t="str">
        <f aca="false">IF($D$127=5,Q133,IF($D$127=6,Q133,IF($D$127=8,Q134,IF($D$127=10,Q134,IF($D$127=12,Q134,IF($D$127=14,Q135,IF($D$127=18,Q135,IF($D$127=20,Q135,IF($D$127=22,Q135,)))))))))</f>
        <v>B24008</v>
      </c>
      <c r="E146" s="131" t="n">
        <f aca="false">IF($D$127=5,R133,IF($D$127=6,R133,IF($D$127=8,R134,IF($D$127=10,R134,IF($D$127=12,R134,IF($D$127=14,R135,IF($D$127=18,R135,IF($D$127=20,R135,IF($D$127=22,R135,)))))))))</f>
        <v>0.231</v>
      </c>
      <c r="F146" s="131" t="str">
        <f aca="false">IF($D$127=5,S133,IF($D$127=6,S133,IF($D$127=8,S134,IF($D$127=10,S134,IF($D$127=12,S134,IF($D$127=14,S135,IF($D$127=18,S135,IF($D$127=20,S135,IF($D$127=22,S135,)))))))))</f>
        <v>B24008-001</v>
      </c>
      <c r="G146" s="130" t="n">
        <f aca="false">IF($D$127=5,T133,IF($D$127=6,T133,IF($D$127=8,T134,IF($D$127=10,T134,IF($D$127=12,T134,IF($D$127=14,T135,IF($D$127=18,T135,IF($D$127=20,T135,IF($D$127=22,T135,)))))))))</f>
        <v>24</v>
      </c>
      <c r="H146" s="130" t="str">
        <f aca="false">IF($D$127=5,U133,IF($D$127=6,U133,IF($D$127=8,U134,IF($D$127=10,U134,IF($D$127=12,U134,IF($D$127=14,U135,IF($D$127=18,U135,IF($D$127=20,U135,IF($D$127=22,U135,)))))))))</f>
        <v>(W-185-(113.25 × 11))/12</v>
      </c>
      <c r="I146" s="141" t="n">
        <f aca="false">IF($D$127=5,V133,IF($D$127=6,V133,IF($D$127=8,V134,IF($D$127=10,V134,IF($D$127=12,V134,IF($D$127=14,V135,IF($D$127=18,V135,IF($D$127=20,V135,IF($D$127=22,V135,)))))))))</f>
        <v>672.4375</v>
      </c>
      <c r="J146" s="134" t="n">
        <f aca="false">$J$120*G146</f>
        <v>48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7" s="131" t="str">
        <f aca="false">IF($D$127=5,Q136,IF($D$127=6,Q136,IF($D$127=8,Q137,IF($D$127=10,Q137,IF($D$127=12,Q137,IF($D$127=14,Q138,IF($D$127=18,Q138,IF($D$127=20,Q138,IF($D$127=22,Q138,)))))))))</f>
        <v>B24008</v>
      </c>
      <c r="E147" s="131" t="n">
        <f aca="false">IF($D$127=5,R136,IF($D$127=6,R136,IF($D$127=8,R137,IF($D$127=10,R137,IF($D$127=12,R137,IF($D$127=14,R138,IF($D$127=18,R138,IF($D$127=20,R138,IF($D$127=22,R138,)))))))))</f>
        <v>0.231</v>
      </c>
      <c r="F147" s="131" t="str">
        <f aca="false">IF($D$127=5,S136,IF($D$127=6,S136,IF($D$127=8,S137,IF($D$127=10,S137,IF($D$127=12,S137,IF($D$127=14,S138,IF($D$127=18,S138,IF($D$127=20,S138,IF($D$127=22,S138,)))))))))</f>
        <v>B24008-002</v>
      </c>
      <c r="G147" s="130" t="n">
        <f aca="false">IF($D$127=5,T136,IF($D$127=6,T136,IF($D$127=8,T137,IF($D$127=10,T137,IF($D$127=12,T137,IF($D$127=14,T138,IF($D$127=18,T138,IF($D$127=20,T138,IF($D$127=22,T138,)))))))))</f>
        <v>24</v>
      </c>
      <c r="H147" s="130" t="str">
        <f aca="false">IF($D$127=5,U136,IF($D$127=6,U136,IF($D$127=8,U137,IF($D$127=10,U137,IF($D$127=12,U137,IF($D$127=14,U138,IF($D$127=18,U138,IF($D$127=20,U138,IF($D$127=22,U138,)))))))))</f>
        <v>H-242</v>
      </c>
      <c r="I147" s="133" t="n">
        <f aca="false">IF($D$127=5,V136,IF($D$127=6,V136,IF($D$127=8,V137,IF($D$127=10,V137,IF($D$127=12,V137,IF($D$127=14,V138,IF($D$127=18,V138,IF($D$127=20,V138,IF($D$127=22,V138,)))))))))</f>
        <v>2358</v>
      </c>
      <c r="J147" s="134" t="n">
        <f aca="false">$J$120*G147</f>
        <v>48</v>
      </c>
    </row>
    <row r="148" s="96" customFormat="true" ht="18" hidden="false" customHeight="true" outlineLevel="0" collapsed="false">
      <c r="A148" s="130" t="str">
        <f aca="false">IF(B148="","",+A147+1)</f>
        <v/>
      </c>
      <c r="B148" s="131"/>
      <c r="C148" s="131"/>
      <c r="D148" s="132"/>
      <c r="E148" s="130"/>
      <c r="F148" s="132"/>
      <c r="G148" s="130"/>
      <c r="H148" s="130"/>
      <c r="I148" s="133"/>
      <c r="J148" s="134" t="n">
        <f aca="false">$J$120*G148</f>
        <v>0</v>
      </c>
    </row>
    <row r="149" s="96" customFormat="true" ht="18" hidden="false" customHeight="true" outlineLevel="0" collapsed="false">
      <c r="A149" s="130" t="str">
        <f aca="false">IF(B149="","",+A148+1)</f>
        <v/>
      </c>
      <c r="B149" s="131"/>
      <c r="C149" s="131"/>
      <c r="D149" s="132"/>
      <c r="E149" s="130"/>
      <c r="F149" s="132"/>
      <c r="G149" s="130"/>
      <c r="H149" s="130"/>
      <c r="I149" s="133"/>
      <c r="J149" s="134" t="n">
        <f aca="false">$J$120*G149</f>
        <v>0</v>
      </c>
    </row>
    <row r="150" s="96" customFormat="true" ht="18" hidden="false" customHeight="true" outlineLevel="0" collapsed="false">
      <c r="A150" s="130" t="str">
        <f aca="false">IF(B150="","",+A149+1)</f>
        <v/>
      </c>
      <c r="B150" s="131"/>
      <c r="C150" s="131"/>
      <c r="D150" s="132"/>
      <c r="E150" s="130"/>
      <c r="F150" s="132"/>
      <c r="G150" s="130"/>
      <c r="H150" s="130"/>
      <c r="I150" s="142"/>
      <c r="J150" s="134" t="n">
        <f aca="false">$J$120*G150</f>
        <v>0</v>
      </c>
    </row>
    <row r="151" s="96" customFormat="true" ht="18" hidden="false" customHeight="true" outlineLevel="0" collapsed="false">
      <c r="A151" s="130" t="str">
        <f aca="false">IF(B151="","",+A150+1)</f>
        <v/>
      </c>
      <c r="B151" s="143"/>
      <c r="C151" s="143"/>
      <c r="D151" s="144"/>
      <c r="E151" s="145"/>
      <c r="F151" s="144"/>
      <c r="G151" s="145"/>
      <c r="H151" s="145"/>
      <c r="I151" s="146"/>
      <c r="J151" s="147" t="n">
        <f aca="false">$J$120*G151</f>
        <v>0</v>
      </c>
    </row>
    <row r="152" s="96" customFormat="true" ht="27" hidden="false" customHeight="true" outlineLevel="1" collapsed="false">
      <c r="A152" s="148" t="s">
        <v>319</v>
      </c>
      <c r="B152" s="148" t="s">
        <v>320</v>
      </c>
      <c r="C152" s="148" t="s">
        <v>168</v>
      </c>
      <c r="D152" s="148" t="s">
        <v>166</v>
      </c>
      <c r="E152" s="148" t="s">
        <v>321</v>
      </c>
      <c r="F152" s="149" t="s">
        <v>393</v>
      </c>
      <c r="G152" s="148" t="s">
        <v>394</v>
      </c>
      <c r="H152" s="150" t="s">
        <v>395</v>
      </c>
      <c r="I152" s="151"/>
      <c r="J152" s="151"/>
    </row>
    <row r="153" s="96" customFormat="true" ht="15" hidden="false" customHeight="true" outlineLevel="1" collapsed="false">
      <c r="A153" s="152" t="n">
        <f aca="false">IF(B153="","",1)</f>
        <v>1</v>
      </c>
      <c r="B153" s="153" t="str">
        <f aca="false">B133</f>
        <v>เฟรมบน</v>
      </c>
      <c r="C153" s="153" t="str">
        <f aca="false">C133</f>
        <v>HEAD</v>
      </c>
      <c r="D153" s="154" t="str">
        <f aca="false">VLOOKUP(C153,$C$133:$H$151,2,0)</f>
        <v>B24001</v>
      </c>
      <c r="E153" s="155" t="n">
        <f aca="false">VLOOKUP(C153,$C$133:$H$151,3,0)</f>
        <v>1.603</v>
      </c>
      <c r="F153" s="263" t="n">
        <f aca="false">VLOOKUP(C153,$C$133:$J$151,7,0)</f>
        <v>9440</v>
      </c>
      <c r="G153" s="155" t="n">
        <f aca="false">VLOOKUP(C153,$C$133:$J$151,8,0)</f>
        <v>2</v>
      </c>
      <c r="H153" s="264" t="n">
        <f aca="false">ROUNDUP((F153*G153)/6400,0)</f>
        <v>3</v>
      </c>
      <c r="I153" s="265"/>
      <c r="J153" s="265"/>
    </row>
    <row r="154" s="96" customFormat="true" ht="15" hidden="false" customHeight="true" outlineLevel="1" collapsed="false">
      <c r="A154" s="158" t="n">
        <f aca="false">IF(B154="","",+A153+1)</f>
        <v>2</v>
      </c>
      <c r="B154" s="153" t="str">
        <f aca="false">B134</f>
        <v>บังใบบน</v>
      </c>
      <c r="C154" s="153" t="str">
        <f aca="false">C134</f>
        <v>DOOR STOP HEAD</v>
      </c>
      <c r="D154" s="154" t="str">
        <f aca="false">VLOOKUP(C154,$C$133:$H$151,2,0)</f>
        <v>B24002</v>
      </c>
      <c r="E154" s="155" t="n">
        <f aca="false">VLOOKUP(C154,$C$133:$H$151,3,0)</f>
        <v>0.278</v>
      </c>
      <c r="F154" s="263" t="n">
        <f aca="false">VLOOKUP(C154,$C$133:$I$151,7,0)</f>
        <v>9414</v>
      </c>
      <c r="G154" s="155" t="n">
        <f aca="false">VLOOKUP(C154,$C$133:$J$151,8,0)</f>
        <v>2</v>
      </c>
      <c r="H154" s="266" t="n">
        <f aca="false">ROUNDUP((F154*G154)/6400,0)</f>
        <v>3</v>
      </c>
      <c r="I154" s="265"/>
      <c r="J154" s="265"/>
    </row>
    <row r="155" s="96" customFormat="true" ht="15" hidden="false" customHeight="true" outlineLevel="1" collapsed="false">
      <c r="A155" s="158" t="n">
        <f aca="false">IF(B155="","",+A154+1)</f>
        <v>3</v>
      </c>
      <c r="B155" s="153" t="str">
        <f aca="false">B135</f>
        <v>เฟรมล่าง </v>
      </c>
      <c r="C155" s="153" t="str">
        <f aca="false">C135</f>
        <v>SILL</v>
      </c>
      <c r="D155" s="154" t="str">
        <f aca="false">VLOOKUP(C155,$C$133:$H$151,2,0)</f>
        <v>B24003</v>
      </c>
      <c r="E155" s="155" t="n">
        <f aca="false">VLOOKUP(C155,$C$133:$H$151,3,0)</f>
        <v>1.603</v>
      </c>
      <c r="F155" s="263" t="n">
        <f aca="false">VLOOKUP(C155,$C$133:$I$151,7,0)</f>
        <v>9440</v>
      </c>
      <c r="G155" s="155" t="n">
        <f aca="false">VLOOKUP(C155,$C$133:$J$151,8,0)</f>
        <v>2</v>
      </c>
      <c r="H155" s="266" t="n">
        <f aca="false">ROUNDUP((F155*G155)/6400,0)</f>
        <v>3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4</v>
      </c>
      <c r="B156" s="153" t="str">
        <f aca="false">B136</f>
        <v>ตัวตับธรณี</v>
      </c>
      <c r="C156" s="153" t="str">
        <f aca="false">C136</f>
        <v>DOOR STOP SILL</v>
      </c>
      <c r="D156" s="154" t="str">
        <f aca="false">VLOOKUP(C156,$C$133:$H$151,2,0)</f>
        <v>B24004</v>
      </c>
      <c r="E156" s="155" t="n">
        <f aca="false">VLOOKUP(C156,$C$133:$H$151,3,0)</f>
        <v>0.516</v>
      </c>
      <c r="F156" s="263" t="n">
        <f aca="false">VLOOKUP(C156,$C$133:$I$151,7,0)</f>
        <v>9440</v>
      </c>
      <c r="G156" s="155" t="n">
        <f aca="false">VLOOKUP(C156,$C$133:$J$151,8,0)</f>
        <v>2</v>
      </c>
      <c r="H156" s="266" t="n">
        <f aca="false">ROUNDUP((F156*G156)/6400,0)</f>
        <v>3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5</v>
      </c>
      <c r="B157" s="153" t="str">
        <f aca="false">B137</f>
        <v>เฟรมข้าง (ซ้าย)</v>
      </c>
      <c r="C157" s="153" t="str">
        <f aca="false">C137</f>
        <v>JAMB (L)</v>
      </c>
      <c r="D157" s="159" t="str">
        <f aca="false">VLOOKUP(C157,$C$133:$H$151,2,0)</f>
        <v>B24005</v>
      </c>
      <c r="E157" s="155" t="n">
        <f aca="false">VLOOKUP(C157,$C$133:$H$151,3,0)</f>
        <v>0.893</v>
      </c>
      <c r="F157" s="263" t="n">
        <f aca="false">VLOOKUP(C157,$C$133:$I$151,7,0)</f>
        <v>2600</v>
      </c>
      <c r="G157" s="155" t="n">
        <f aca="false">VLOOKUP(C157,$C$133:$J$151,8,0)</f>
        <v>2</v>
      </c>
      <c r="H157" s="160" t="n">
        <f aca="false">ROUNDUP(((F157*G157)+(F158*G158))/6400,0)</f>
        <v>2</v>
      </c>
      <c r="I157" s="161"/>
      <c r="J157" s="161"/>
    </row>
    <row r="158" s="96" customFormat="true" ht="15" hidden="false" customHeight="true" outlineLevel="1" collapsed="false">
      <c r="A158" s="158" t="n">
        <f aca="false">IF(B158="","",+A157+1)</f>
        <v>6</v>
      </c>
      <c r="B158" s="153" t="str">
        <f aca="false">B138</f>
        <v>เฟรมข้าง (ขวา)</v>
      </c>
      <c r="C158" s="153" t="str">
        <f aca="false">C138</f>
        <v>JAMB (R)</v>
      </c>
      <c r="D158" s="159"/>
      <c r="E158" s="155" t="n">
        <f aca="false">VLOOKUP(C158,$C$133:$H$151,3,0)</f>
        <v>0.893</v>
      </c>
      <c r="F158" s="263" t="n">
        <f aca="false">VLOOKUP(C158,$C$133:$I$151,7,0)</f>
        <v>2600</v>
      </c>
      <c r="G158" s="155" t="n">
        <f aca="false">VLOOKUP(C158,$C$133:$J$151,8,0)</f>
        <v>2</v>
      </c>
      <c r="H158" s="160"/>
      <c r="I158" s="161"/>
      <c r="J158" s="161"/>
    </row>
    <row r="159" s="96" customFormat="true" ht="15" hidden="false" customHeight="true" outlineLevel="1" collapsed="false">
      <c r="A159" s="158" t="n">
        <f aca="false">IF(B159="","",+A158+1)</f>
        <v>7</v>
      </c>
      <c r="B159" s="153" t="str">
        <f aca="false">B139</f>
        <v>บังใบข้าง (ซ้าย)</v>
      </c>
      <c r="C159" s="153" t="str">
        <f aca="false">C139</f>
        <v>DOOR STOP JAMB (L)</v>
      </c>
      <c r="D159" s="159" t="str">
        <f aca="false">VLOOKUP(C159,$C$133:$H$151,2,0)</f>
        <v>B24006</v>
      </c>
      <c r="E159" s="155" t="n">
        <f aca="false">VLOOKUP(C159,$C$133:$H$151,3,0)</f>
        <v>0.235</v>
      </c>
      <c r="F159" s="263" t="n">
        <f aca="false">VLOOKUP(C159,$C$133:$I$151,7,0)</f>
        <v>2504</v>
      </c>
      <c r="G159" s="155" t="n">
        <f aca="false">VLOOKUP(C159,$C$133:$J$151,8,0)</f>
        <v>2</v>
      </c>
      <c r="H159" s="160" t="n">
        <f aca="false">ROUNDUP(((F159*G159)+(F160*G160))/6400,0)</f>
        <v>2</v>
      </c>
      <c r="I159" s="265"/>
      <c r="J159" s="265"/>
    </row>
    <row r="160" s="96" customFormat="true" ht="15" hidden="false" customHeight="true" outlineLevel="1" collapsed="false">
      <c r="A160" s="158" t="n">
        <f aca="false">IF(B160="","",+A159+1)</f>
        <v>8</v>
      </c>
      <c r="B160" s="153" t="str">
        <f aca="false">B140</f>
        <v>บังใบข้าง (ขวา)</v>
      </c>
      <c r="C160" s="153" t="str">
        <f aca="false">C140</f>
        <v>DOOR STOP JAMB (R)</v>
      </c>
      <c r="D160" s="159"/>
      <c r="E160" s="155" t="n">
        <f aca="false">VLOOKUP(C160,$C$133:$H$151,3,0)</f>
        <v>0.235</v>
      </c>
      <c r="F160" s="263" t="n">
        <f aca="false">VLOOKUP(C160,$C$133:$I$151,7,0)</f>
        <v>2504</v>
      </c>
      <c r="G160" s="155" t="n">
        <f aca="false">VLOOKUP(C160,$C$133:$J$151,8,0)</f>
        <v>2</v>
      </c>
      <c r="H160" s="160"/>
      <c r="I160" s="161"/>
      <c r="J160" s="161"/>
    </row>
    <row r="161" s="96" customFormat="true" ht="13.5" hidden="false" customHeight="true" outlineLevel="1" collapsed="false">
      <c r="A161" s="158" t="n">
        <f aca="false">IF(B161="","",+A160+1)</f>
        <v>9</v>
      </c>
      <c r="B161" s="153" t="str">
        <f aca="false">B141</f>
        <v>ขวางบน</v>
      </c>
      <c r="C161" s="153" t="str">
        <f aca="false">C141</f>
        <v>SASH (Hor) (T)</v>
      </c>
      <c r="D161" s="159" t="str">
        <f aca="false">VLOOKUP(C161,$C$133:$H$151,2,0)</f>
        <v>B24007</v>
      </c>
      <c r="E161" s="155" t="n">
        <f aca="false">VLOOKUP(C161,$C$133:$H$151,3,0)</f>
        <v>1.106</v>
      </c>
      <c r="F161" s="263" t="n">
        <f aca="false">VLOOKUP(C161,$C$133:$I$151,7,0)</f>
        <v>777</v>
      </c>
      <c r="G161" s="155" t="n">
        <f aca="false">VLOOKUP(C161,$C$133:$J$151,8,0)</f>
        <v>24</v>
      </c>
      <c r="H161" s="160" t="n">
        <f aca="false">ROUNDUP(((F161*G161)+(F162*G162)+(F163*G163)+(F164*G164)+(F165*G165))/6400,0)</f>
        <v>25</v>
      </c>
      <c r="I161" s="161"/>
      <c r="J161" s="161"/>
    </row>
    <row r="162" s="96" customFormat="true" ht="13.5" hidden="false" customHeight="true" outlineLevel="1" collapsed="false">
      <c r="A162" s="158" t="n">
        <f aca="false">IF(B162="","",+A161+1)</f>
        <v>10</v>
      </c>
      <c r="B162" s="153" t="str">
        <f aca="false">B142</f>
        <v>ขวางล่าง</v>
      </c>
      <c r="C162" s="153" t="str">
        <f aca="false">C142</f>
        <v>SASH (Hor) (B)</v>
      </c>
      <c r="D162" s="159"/>
      <c r="E162" s="155" t="n">
        <f aca="false">VLOOKUP(C162,$C$133:$H$151,3,0)</f>
        <v>1.106</v>
      </c>
      <c r="F162" s="263" t="n">
        <f aca="false">VLOOKUP(C162,$C$133:$I$151,7,0)</f>
        <v>777</v>
      </c>
      <c r="G162" s="155" t="n">
        <f aca="false">VLOOKUP(C162,$C$133:$J$151,8,0)</f>
        <v>24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11</v>
      </c>
      <c r="B163" s="153" t="str">
        <f aca="false">B143</f>
        <v>เสา</v>
      </c>
      <c r="C163" s="153" t="str">
        <f aca="false">C143</f>
        <v>SASH (Ver) </v>
      </c>
      <c r="D163" s="159"/>
      <c r="E163" s="155" t="n">
        <f aca="false">VLOOKUP(C163,$C$133:$H$151,3,0)</f>
        <v>1.106</v>
      </c>
      <c r="F163" s="263" t="n">
        <f aca="false">VLOOKUP(C163,$C$133:$I$151,7,0)</f>
        <v>2508</v>
      </c>
      <c r="G163" s="155" t="n">
        <f aca="false">VLOOKUP(C163,$C$133:$J$151,8,0)</f>
        <v>36</v>
      </c>
      <c r="H163" s="160"/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12</v>
      </c>
      <c r="B164" s="153" t="str">
        <f aca="false">B144</f>
        <v>เสากุญแจ</v>
      </c>
      <c r="C164" s="153" t="str">
        <f aca="false">C144</f>
        <v>SASH (Ver) LOCK </v>
      </c>
      <c r="D164" s="159"/>
      <c r="E164" s="155" t="n">
        <f aca="false">VLOOKUP(C164,$C$133:$H$151,3,0)</f>
        <v>1.106</v>
      </c>
      <c r="F164" s="263" t="n">
        <f aca="false">VLOOKUP(C164,$C$133:$I$151,7,0)</f>
        <v>2508</v>
      </c>
      <c r="G164" s="155" t="n">
        <f aca="false">VLOOKUP(C164,$C$133:$J$151,8,0)</f>
        <v>6</v>
      </c>
      <c r="H164" s="160"/>
      <c r="I164" s="161"/>
      <c r="J164" s="161"/>
    </row>
    <row r="165" s="96" customFormat="true" ht="15" hidden="false" customHeight="true" outlineLevel="1" collapsed="false">
      <c r="A165" s="158" t="n">
        <f aca="false">IF(B165="","",+A164+1)</f>
        <v>13</v>
      </c>
      <c r="B165" s="153" t="str">
        <f aca="false">B145</f>
        <v>เสากุญแจ</v>
      </c>
      <c r="C165" s="153" t="str">
        <f aca="false">C145</f>
        <v>SASH (Ver) LOCK  </v>
      </c>
      <c r="D165" s="159"/>
      <c r="E165" s="155" t="n">
        <f aca="false">VLOOKUP(C165,$C$133:$H$151,3,0)</f>
        <v>1.106</v>
      </c>
      <c r="F165" s="263" t="n">
        <f aca="false">VLOOKUP(C165,$C$133:$I$151,7,0)</f>
        <v>2508</v>
      </c>
      <c r="G165" s="155" t="n">
        <f aca="false">VLOOKUP(C165,$C$133:$J$151,8,0)</f>
        <v>6</v>
      </c>
      <c r="H165" s="160"/>
      <c r="I165" s="161"/>
      <c r="J165" s="161"/>
    </row>
    <row r="166" s="96" customFormat="true" ht="15" hidden="false" customHeight="true" outlineLevel="1" collapsed="false">
      <c r="A166" s="158" t="n">
        <f aca="false">IF(B166="","",+A165+1)</f>
        <v>14</v>
      </c>
      <c r="B166" s="153" t="str">
        <f aca="false">B146</f>
        <v>5-6mm คิ้วตบกระจกแนวนอน</v>
      </c>
      <c r="C166" s="153" t="str">
        <f aca="false">C146</f>
        <v>5-6mm GLAZING BEAD HORIZONTAL</v>
      </c>
      <c r="D166" s="159" t="str">
        <f aca="false">VLOOKUP(C166,$C$133:$H$151,2,0)</f>
        <v>B24008</v>
      </c>
      <c r="E166" s="155" t="n">
        <f aca="false">VLOOKUP(C166,$C$133:$H$151,3,0)</f>
        <v>0.231</v>
      </c>
      <c r="F166" s="267" t="n">
        <f aca="false">VLOOKUP(C166,$C$133:$I$151,7,0)</f>
        <v>672.4375</v>
      </c>
      <c r="G166" s="155" t="n">
        <f aca="false">VLOOKUP(C166,$C$133:$J$151,8,0)</f>
        <v>48</v>
      </c>
      <c r="H166" s="160" t="n">
        <f aca="false">ROUNDUP(((F166*G166)+(F167*G167))/6400,0)</f>
        <v>23</v>
      </c>
      <c r="I166" s="265"/>
      <c r="J166" s="265"/>
    </row>
    <row r="167" s="96" customFormat="true" ht="15" hidden="false" customHeight="true" outlineLevel="1" collapsed="false">
      <c r="A167" s="158" t="n">
        <f aca="false">IF(B167="","",+A166+1)</f>
        <v>15</v>
      </c>
      <c r="B167" s="153" t="str">
        <f aca="false">B147</f>
        <v>5-6mm คิ้วตบกระจกแนวตั้ง</v>
      </c>
      <c r="C167" s="153" t="str">
        <f aca="false">C147</f>
        <v>5-6mm GLAZING BEAD VERTICAL</v>
      </c>
      <c r="D167" s="159"/>
      <c r="E167" s="155" t="n">
        <f aca="false">VLOOKUP(C167,$C$133:$H$151,3,0)</f>
        <v>0.231</v>
      </c>
      <c r="F167" s="263" t="n">
        <f aca="false">VLOOKUP(C167,$C$133:$I$151,7,0)</f>
        <v>2358</v>
      </c>
      <c r="G167" s="155" t="n">
        <f aca="false">VLOOKUP(C167,$C$133:$J$151,8,0)</f>
        <v>48</v>
      </c>
      <c r="H167" s="160"/>
      <c r="I167" s="196"/>
      <c r="J167" s="196"/>
    </row>
    <row r="168" s="96" customFormat="true" ht="15" hidden="false" customHeight="true" outlineLevel="1" collapsed="false">
      <c r="A168" s="158" t="str">
        <f aca="false">IF(B168="","",+A167+1)</f>
        <v/>
      </c>
      <c r="B168" s="153" t="n">
        <f aca="false">B148</f>
        <v>0</v>
      </c>
      <c r="C168" s="153" t="n">
        <f aca="false">C148</f>
        <v>0</v>
      </c>
      <c r="D168" s="154" t="str">
        <f aca="false">IFERROR(VLOOKUP(C168,$C$133:$H$151,2,0),"")</f>
        <v/>
      </c>
      <c r="E168" s="155" t="str">
        <f aca="false">IFERROR(VLOOKUP(C168,$C$133:$H$151,3,0),"")</f>
        <v/>
      </c>
      <c r="F168" s="263" t="str">
        <f aca="false">IFERROR(VLOOKUP(C168,$C$133:$I$151,7,0),"")</f>
        <v/>
      </c>
      <c r="G168" s="155" t="str">
        <f aca="false">IFERROR(VLOOKUP(C168,$C$133:$J$151,8,0),"")</f>
        <v/>
      </c>
      <c r="H168" s="266" t="str">
        <f aca="false">IFERROR(ROUNDUP((F168*G168)/6400,0),"")</f>
        <v/>
      </c>
      <c r="I168" s="196"/>
      <c r="J168" s="196"/>
    </row>
    <row r="169" s="96" customFormat="true" ht="13.5" hidden="false" customHeight="true" outlineLevel="1" collapsed="false">
      <c r="A169" s="158" t="str">
        <f aca="false">IF(B169="","",+A168+1)</f>
        <v/>
      </c>
      <c r="B169" s="153" t="n">
        <f aca="false">B149</f>
        <v>0</v>
      </c>
      <c r="C169" s="153" t="n">
        <f aca="false">C149</f>
        <v>0</v>
      </c>
      <c r="D169" s="154" t="str">
        <f aca="false">IFERROR(VLOOKUP(C169,$C$133:$H$151,2,0),"")</f>
        <v/>
      </c>
      <c r="E169" s="155" t="str">
        <f aca="false">IFERROR(VLOOKUP(C169,$C$133:$H$151,3,0),"")</f>
        <v/>
      </c>
      <c r="F169" s="263" t="str">
        <f aca="false">IFERROR(VLOOKUP(C169,$C$133:$I$151,7,0),"")</f>
        <v/>
      </c>
      <c r="G169" s="155" t="str">
        <f aca="false">IFERROR(VLOOKUP(C169,$C$133:$J$151,8,0),"")</f>
        <v/>
      </c>
      <c r="H169" s="266" t="str">
        <f aca="false">IFERROR(ROUNDUP((F169*G169)/6400,0),"")</f>
        <v/>
      </c>
      <c r="I169" s="196"/>
      <c r="J169" s="196"/>
    </row>
    <row r="170" s="96" customFormat="true" ht="14.25" hidden="false" customHeight="false" outlineLevel="1" collapsed="false">
      <c r="A170" s="158" t="str">
        <f aca="false">IF(B170="","",+A169+1)</f>
        <v/>
      </c>
      <c r="B170" s="153" t="n">
        <f aca="false">B150</f>
        <v>0</v>
      </c>
      <c r="C170" s="153" t="n">
        <f aca="false">C150</f>
        <v>0</v>
      </c>
      <c r="D170" s="154" t="str">
        <f aca="false">IFERROR(VLOOKUP(C170,$C$133:$H$151,2,0),"")</f>
        <v/>
      </c>
      <c r="E170" s="155" t="str">
        <f aca="false">IFERROR(VLOOKUP(C170,$C$133:$H$151,3,0),"")</f>
        <v/>
      </c>
      <c r="F170" s="263" t="str">
        <f aca="false">IFERROR(VLOOKUP(C170,$C$133:$I$151,7,0),"")</f>
        <v/>
      </c>
      <c r="G170" s="155" t="str">
        <f aca="false">IFERROR(VLOOKUP(C170,$C$133:$J$151,8,0),"")</f>
        <v/>
      </c>
      <c r="H170" s="266" t="str">
        <f aca="false">IFERROR(ROUNDUP((F170*G170)/6400,0),"")</f>
        <v/>
      </c>
      <c r="I170" s="196"/>
      <c r="J170" s="196"/>
    </row>
    <row r="171" s="96" customFormat="true" ht="24.75" hidden="false" customHeight="true" outlineLevel="0" collapsed="false">
      <c r="A171" s="113" t="s">
        <v>396</v>
      </c>
      <c r="B171" s="113"/>
      <c r="C171" s="113"/>
      <c r="D171" s="113"/>
      <c r="E171" s="113"/>
      <c r="F171" s="113"/>
      <c r="G171" s="113"/>
      <c r="H171" s="113"/>
      <c r="I171" s="113"/>
      <c r="J171" s="113"/>
    </row>
    <row r="172" s="96" customFormat="true" ht="34.5" hidden="false" customHeight="true" outlineLevel="0" collapsed="false">
      <c r="A172" s="114" t="s">
        <v>319</v>
      </c>
      <c r="B172" s="115" t="s">
        <v>320</v>
      </c>
      <c r="C172" s="115" t="s">
        <v>168</v>
      </c>
      <c r="D172" s="115" t="s">
        <v>397</v>
      </c>
      <c r="E172" s="115" t="s">
        <v>321</v>
      </c>
      <c r="F172" s="116" t="s">
        <v>398</v>
      </c>
      <c r="G172" s="115" t="s">
        <v>399</v>
      </c>
      <c r="H172" s="116" t="s">
        <v>400</v>
      </c>
      <c r="I172" s="116" t="s">
        <v>401</v>
      </c>
      <c r="J172" s="117" t="s">
        <v>402</v>
      </c>
      <c r="N172" s="107" t="s">
        <v>288</v>
      </c>
      <c r="O172" s="165" t="s">
        <v>320</v>
      </c>
      <c r="P172" s="165" t="s">
        <v>168</v>
      </c>
      <c r="Q172" s="165" t="s">
        <v>397</v>
      </c>
      <c r="R172" s="165" t="s">
        <v>321</v>
      </c>
      <c r="S172" s="165" t="s">
        <v>398</v>
      </c>
      <c r="T172" s="165" t="s">
        <v>399</v>
      </c>
      <c r="U172" s="165" t="s">
        <v>400</v>
      </c>
      <c r="V172" s="165" t="s">
        <v>401</v>
      </c>
      <c r="W172" s="165" t="s">
        <v>402</v>
      </c>
    </row>
    <row r="173" s="96" customFormat="true" ht="18" hidden="false" customHeight="true" outlineLevel="0" collapsed="false">
      <c r="A173" s="166" t="n">
        <f aca="false">IF(B173="","",1)</f>
        <v>1</v>
      </c>
      <c r="B173" s="131" t="s">
        <v>410</v>
      </c>
      <c r="C173" s="131" t="s">
        <v>411</v>
      </c>
      <c r="D173" s="132" t="s">
        <v>267</v>
      </c>
      <c r="E173" s="130"/>
      <c r="F173" s="130" t="s">
        <v>267</v>
      </c>
      <c r="G173" s="130" t="s">
        <v>405</v>
      </c>
      <c r="H173" s="130" t="n">
        <v>24</v>
      </c>
      <c r="I173" s="133"/>
      <c r="J173" s="134" t="n">
        <f aca="false">$J$120*H173</f>
        <v>48</v>
      </c>
      <c r="N173" s="107" t="s">
        <v>406</v>
      </c>
      <c r="O173" s="55" t="s">
        <v>407</v>
      </c>
      <c r="P173" s="62" t="s">
        <v>408</v>
      </c>
      <c r="Q173" s="55" t="s">
        <v>227</v>
      </c>
      <c r="R173" s="158"/>
      <c r="S173" s="158" t="s">
        <v>227</v>
      </c>
      <c r="T173" s="158" t="s">
        <v>409</v>
      </c>
      <c r="U173" s="168" t="n">
        <f aca="false">((($I$141*$G$141)+($I$142*$G$142)+($I$143*$G$143)+($I$144*$G$144)+($I$145*$G$145)+($I$140*$G$140))/1000)*$J$120</f>
        <v>162.688</v>
      </c>
      <c r="V173" s="168" t="n">
        <v>100</v>
      </c>
      <c r="W173" s="169" t="n">
        <f aca="false">ROUNDUP((U173)/100,0)</f>
        <v>2</v>
      </c>
    </row>
    <row r="174" s="96" customFormat="true" ht="18" hidden="false" customHeight="true" outlineLevel="0" collapsed="false">
      <c r="A174" s="170" t="n">
        <f aca="false">IF(B174="","",+A173+1)</f>
        <v>2</v>
      </c>
      <c r="B174" s="131" t="s">
        <v>415</v>
      </c>
      <c r="C174" s="131" t="s">
        <v>416</v>
      </c>
      <c r="D174" s="132" t="s">
        <v>222</v>
      </c>
      <c r="E174" s="130"/>
      <c r="F174" s="130" t="s">
        <v>222</v>
      </c>
      <c r="G174" s="130" t="s">
        <v>405</v>
      </c>
      <c r="H174" s="130" t="n">
        <v>2</v>
      </c>
      <c r="I174" s="133"/>
      <c r="J174" s="134" t="n">
        <f aca="false">$J$120*H174</f>
        <v>4</v>
      </c>
      <c r="N174" s="107" t="s">
        <v>412</v>
      </c>
      <c r="O174" s="55" t="s">
        <v>413</v>
      </c>
      <c r="P174" s="62" t="s">
        <v>414</v>
      </c>
      <c r="Q174" s="55" t="s">
        <v>234</v>
      </c>
      <c r="R174" s="158"/>
      <c r="S174" s="158" t="s">
        <v>234</v>
      </c>
      <c r="T174" s="158" t="s">
        <v>409</v>
      </c>
      <c r="U174" s="168" t="n">
        <f aca="false">((($I$141*$G$141)+($I$142*$G$142)+($I$143*$G$143)+($I$144*$G$144)+($I$145*$G$145)+($I$140*$G$140))/1000)*$J$120</f>
        <v>162.688</v>
      </c>
      <c r="V174" s="168" t="n">
        <v>100</v>
      </c>
      <c r="W174" s="169" t="n">
        <f aca="false">ROUNDUP((U174)/100,0)</f>
        <v>2</v>
      </c>
    </row>
    <row r="175" s="96" customFormat="true" ht="18" hidden="false" customHeight="true" outlineLevel="0" collapsed="false">
      <c r="A175" s="170" t="n">
        <f aca="false">IF(B175="","",+A174+1)</f>
        <v>3</v>
      </c>
      <c r="B175" s="131" t="s">
        <v>420</v>
      </c>
      <c r="C175" s="131" t="s">
        <v>421</v>
      </c>
      <c r="D175" s="132" t="s">
        <v>225</v>
      </c>
      <c r="E175" s="130"/>
      <c r="F175" s="130" t="s">
        <v>225</v>
      </c>
      <c r="G175" s="130" t="s">
        <v>405</v>
      </c>
      <c r="H175" s="130" t="n">
        <v>2</v>
      </c>
      <c r="I175" s="133"/>
      <c r="J175" s="134" t="n">
        <f aca="false">$J$120*H175</f>
        <v>4</v>
      </c>
      <c r="N175" s="107" t="s">
        <v>417</v>
      </c>
      <c r="O175" s="62" t="s">
        <v>418</v>
      </c>
      <c r="P175" s="62" t="s">
        <v>419</v>
      </c>
      <c r="Q175" s="55" t="s">
        <v>236</v>
      </c>
      <c r="R175" s="158"/>
      <c r="S175" s="158" t="s">
        <v>236</v>
      </c>
      <c r="T175" s="158" t="s">
        <v>409</v>
      </c>
      <c r="U175" s="168" t="n">
        <f aca="false">((($I$141*$G$141)+($I$142*$G$142)+($I$143*$G$143)+($I$144*$G$144)+($I$145*$G$145)+($I$140*$G$140))/1000)*$J$120</f>
        <v>162.688</v>
      </c>
      <c r="V175" s="168" t="n">
        <v>100</v>
      </c>
      <c r="W175" s="169" t="n">
        <f aca="false">ROUNDUP((U175)/100,0)</f>
        <v>2</v>
      </c>
    </row>
    <row r="176" s="96" customFormat="true" ht="18" hidden="false" customHeight="true" outlineLevel="0" collapsed="false">
      <c r="A176" s="170" t="n">
        <f aca="false">IF(B176="","",+A175+1)</f>
        <v>4</v>
      </c>
      <c r="B176" s="131" t="s">
        <v>425</v>
      </c>
      <c r="C176" s="131" t="s">
        <v>426</v>
      </c>
      <c r="D176" s="132" t="n">
        <v>9</v>
      </c>
      <c r="E176" s="130"/>
      <c r="F176" s="130" t="n">
        <v>9</v>
      </c>
      <c r="G176" s="130" t="s">
        <v>405</v>
      </c>
      <c r="H176" s="130" t="n">
        <v>8</v>
      </c>
      <c r="I176" s="133"/>
      <c r="J176" s="134" t="n">
        <f aca="false">$J$120*H176</f>
        <v>16</v>
      </c>
      <c r="N176" s="107" t="s">
        <v>422</v>
      </c>
      <c r="O176" s="62" t="s">
        <v>423</v>
      </c>
      <c r="P176" s="62" t="s">
        <v>424</v>
      </c>
      <c r="Q176" s="55" t="s">
        <v>238</v>
      </c>
      <c r="R176" s="158"/>
      <c r="S176" s="158" t="s">
        <v>238</v>
      </c>
      <c r="T176" s="158" t="s">
        <v>409</v>
      </c>
      <c r="U176" s="168" t="n">
        <f aca="false">((($I$141*$G$141)+($I$142*$G$142)+($I$143*$G$143)+($I$144*$G$144)+($I$145*$G$145)+($I$140*$G$140))/1000)*$J$120</f>
        <v>162.688</v>
      </c>
      <c r="V176" s="168" t="n">
        <v>100</v>
      </c>
      <c r="W176" s="169" t="n">
        <f aca="false">ROUNDUP((U176)/100,0)</f>
        <v>2</v>
      </c>
    </row>
    <row r="177" s="96" customFormat="true" ht="18" hidden="false" customHeight="true" outlineLevel="0" collapsed="false">
      <c r="A177" s="170" t="n">
        <f aca="false">IF(B177="","",+A176+1)</f>
        <v>5</v>
      </c>
      <c r="B177" s="131" t="s">
        <v>430</v>
      </c>
      <c r="C177" s="131" t="s">
        <v>431</v>
      </c>
      <c r="D177" s="132" t="n">
        <v>9</v>
      </c>
      <c r="E177" s="130"/>
      <c r="F177" s="130" t="n">
        <v>9</v>
      </c>
      <c r="G177" s="130" t="s">
        <v>405</v>
      </c>
      <c r="H177" s="130" t="n">
        <v>110</v>
      </c>
      <c r="I177" s="133"/>
      <c r="J177" s="134" t="n">
        <f aca="false">$J$120*H177</f>
        <v>220</v>
      </c>
      <c r="N177" s="107" t="s">
        <v>427</v>
      </c>
      <c r="O177" s="62" t="s">
        <v>428</v>
      </c>
      <c r="P177" s="62" t="s">
        <v>429</v>
      </c>
      <c r="Q177" s="55" t="s">
        <v>240</v>
      </c>
      <c r="R177" s="158"/>
      <c r="S177" s="158" t="s">
        <v>240</v>
      </c>
      <c r="T177" s="158" t="s">
        <v>409</v>
      </c>
      <c r="U177" s="168" t="n">
        <f aca="false">((($I$141*$G$141)+($I$142*$G$142)+($I$143*$G$143)+($I$144*$G$144)+($I$145*$G$145)+($I$140*$G$140))/1000)*$J$120</f>
        <v>162.688</v>
      </c>
      <c r="V177" s="168" t="n">
        <v>100</v>
      </c>
      <c r="W177" s="169" t="n">
        <f aca="false">ROUNDUP((U177)/100,0)</f>
        <v>2</v>
      </c>
    </row>
    <row r="178" s="96" customFormat="true" ht="18" hidden="false" customHeight="true" outlineLevel="0" collapsed="false">
      <c r="A178" s="170" t="n">
        <f aca="false">IF(B178="","",+A177+1)</f>
        <v>6</v>
      </c>
      <c r="B178" s="131" t="s">
        <v>603</v>
      </c>
      <c r="C178" s="131" t="s">
        <v>438</v>
      </c>
      <c r="D178" s="132" t="s">
        <v>4</v>
      </c>
      <c r="E178" s="130"/>
      <c r="F178" s="130" t="s">
        <v>4</v>
      </c>
      <c r="G178" s="130" t="s">
        <v>434</v>
      </c>
      <c r="H178" s="130" t="n">
        <v>2</v>
      </c>
      <c r="I178" s="133"/>
      <c r="J178" s="134" t="n">
        <f aca="false">$J$120*H178</f>
        <v>4</v>
      </c>
    </row>
    <row r="179" s="96" customFormat="true" ht="18" hidden="false" customHeight="true" outlineLevel="0" collapsed="false">
      <c r="A179" s="170" t="n">
        <f aca="false">IF(B179="","",+A178+1)</f>
        <v>7</v>
      </c>
      <c r="B179" s="131" t="s">
        <v>556</v>
      </c>
      <c r="C179" s="131" t="s">
        <v>557</v>
      </c>
      <c r="D179" s="132" t="s">
        <v>5</v>
      </c>
      <c r="E179" s="130"/>
      <c r="F179" s="130" t="s">
        <v>5</v>
      </c>
      <c r="G179" s="130" t="s">
        <v>434</v>
      </c>
      <c r="H179" s="130" t="n">
        <v>4</v>
      </c>
      <c r="I179" s="133"/>
      <c r="J179" s="134" t="n">
        <f aca="false">$J$120*H179</f>
        <v>8</v>
      </c>
    </row>
    <row r="180" s="96" customFormat="true" ht="18" hidden="false" customHeight="true" outlineLevel="0" collapsed="false">
      <c r="A180" s="170" t="n">
        <f aca="false">IF(B180="","",+A179+1)</f>
        <v>8</v>
      </c>
      <c r="B180" s="131" t="s">
        <v>432</v>
      </c>
      <c r="C180" s="131" t="s">
        <v>433</v>
      </c>
      <c r="D180" s="132" t="s">
        <v>6</v>
      </c>
      <c r="E180" s="130"/>
      <c r="F180" s="130" t="s">
        <v>6</v>
      </c>
      <c r="G180" s="130" t="s">
        <v>434</v>
      </c>
      <c r="H180" s="130" t="n">
        <v>1</v>
      </c>
      <c r="I180" s="133"/>
      <c r="J180" s="134" t="n">
        <f aca="false">$J$120*H180</f>
        <v>2</v>
      </c>
    </row>
    <row r="181" s="96" customFormat="true" ht="18" hidden="false" customHeight="true" outlineLevel="0" collapsed="false">
      <c r="A181" s="170" t="n">
        <f aca="false">IF(B181="","",+A180+1)</f>
        <v>9</v>
      </c>
      <c r="B181" s="131" t="s">
        <v>512</v>
      </c>
      <c r="C181" s="131" t="s">
        <v>513</v>
      </c>
      <c r="D181" s="132" t="s">
        <v>7</v>
      </c>
      <c r="E181" s="130"/>
      <c r="F181" s="130" t="s">
        <v>7</v>
      </c>
      <c r="G181" s="130" t="s">
        <v>434</v>
      </c>
      <c r="H181" s="130" t="n">
        <v>1</v>
      </c>
      <c r="I181" s="133"/>
      <c r="J181" s="134" t="n">
        <f aca="false">$J$120*H181</f>
        <v>2</v>
      </c>
    </row>
    <row r="182" s="96" customFormat="true" ht="18" hidden="false" customHeight="true" outlineLevel="0" collapsed="false">
      <c r="A182" s="170" t="n">
        <f aca="false">IF(B182="","",+A181+1)</f>
        <v>10</v>
      </c>
      <c r="B182" s="131" t="s">
        <v>554</v>
      </c>
      <c r="C182" s="131" t="s">
        <v>604</v>
      </c>
      <c r="D182" s="132" t="s">
        <v>10</v>
      </c>
      <c r="E182" s="130"/>
      <c r="F182" s="130" t="s">
        <v>10</v>
      </c>
      <c r="G182" s="130" t="s">
        <v>434</v>
      </c>
      <c r="H182" s="130" t="n">
        <v>1</v>
      </c>
      <c r="I182" s="133"/>
      <c r="J182" s="134" t="n">
        <f aca="false">$J$120*H182</f>
        <v>2</v>
      </c>
      <c r="Q182" s="172"/>
      <c r="R182" s="172"/>
      <c r="S182" s="172"/>
      <c r="T182" s="97"/>
      <c r="U182" s="97"/>
      <c r="V182" s="97"/>
    </row>
    <row r="183" s="96" customFormat="true" ht="18" hidden="false" customHeight="true" outlineLevel="0" collapsed="false">
      <c r="A183" s="170" t="n">
        <f aca="false">IF(B183="","",+A182+1)</f>
        <v>11</v>
      </c>
      <c r="B183" s="131" t="s">
        <v>554</v>
      </c>
      <c r="C183" s="131" t="s">
        <v>555</v>
      </c>
      <c r="D183" s="132" t="s">
        <v>11</v>
      </c>
      <c r="E183" s="130"/>
      <c r="F183" s="130" t="s">
        <v>11</v>
      </c>
      <c r="G183" s="130" t="s">
        <v>434</v>
      </c>
      <c r="H183" s="130" t="n">
        <v>4</v>
      </c>
      <c r="I183" s="142"/>
      <c r="J183" s="134" t="n">
        <f aca="false">$J$120*H183</f>
        <v>8</v>
      </c>
      <c r="N183" s="107" t="s">
        <v>289</v>
      </c>
      <c r="O183" s="165" t="s">
        <v>320</v>
      </c>
      <c r="P183" s="165" t="s">
        <v>168</v>
      </c>
      <c r="Q183" s="165" t="s">
        <v>397</v>
      </c>
      <c r="R183" s="165" t="s">
        <v>321</v>
      </c>
      <c r="S183" s="165" t="s">
        <v>398</v>
      </c>
      <c r="T183" s="165" t="s">
        <v>399</v>
      </c>
      <c r="U183" s="165" t="s">
        <v>400</v>
      </c>
      <c r="V183" s="165" t="s">
        <v>401</v>
      </c>
      <c r="W183" s="165" t="s">
        <v>402</v>
      </c>
    </row>
    <row r="184" s="96" customFormat="true" ht="18" hidden="false" customHeight="true" outlineLevel="0" collapsed="false">
      <c r="A184" s="170" t="n">
        <f aca="false">IF(B184="","",+A183+1)</f>
        <v>12</v>
      </c>
      <c r="B184" s="131" t="s">
        <v>439</v>
      </c>
      <c r="C184" s="131" t="s">
        <v>440</v>
      </c>
      <c r="D184" s="132" t="s">
        <v>12</v>
      </c>
      <c r="E184" s="130"/>
      <c r="F184" s="130" t="s">
        <v>12</v>
      </c>
      <c r="G184" s="130" t="s">
        <v>434</v>
      </c>
      <c r="H184" s="130" t="n">
        <v>6</v>
      </c>
      <c r="I184" s="142"/>
      <c r="J184" s="134" t="n">
        <f aca="false">$J$120*H184</f>
        <v>12</v>
      </c>
      <c r="N184" s="107" t="s">
        <v>445</v>
      </c>
      <c r="O184" s="62" t="s">
        <v>446</v>
      </c>
      <c r="P184" s="62" t="s">
        <v>447</v>
      </c>
      <c r="Q184" s="55" t="s">
        <v>230</v>
      </c>
      <c r="R184" s="158"/>
      <c r="S184" s="158" t="s">
        <v>230</v>
      </c>
      <c r="T184" s="158" t="s">
        <v>409</v>
      </c>
      <c r="U184" s="168" t="n">
        <f aca="false">((($I$134*$G$134)+($I$136*$G$136)+($I$139*$G$139))/1000)*$J$120</f>
        <v>42.716</v>
      </c>
      <c r="V184" s="168" t="n">
        <v>300</v>
      </c>
      <c r="W184" s="169" t="n">
        <f aca="false">ROUNDUP((U184)/V184,0)</f>
        <v>1</v>
      </c>
    </row>
    <row r="185" s="96" customFormat="true" ht="18" hidden="false" customHeight="true" outlineLevel="0" collapsed="false">
      <c r="A185" s="170" t="n">
        <f aca="false">IF(B185="","",+A184+1)</f>
        <v>13</v>
      </c>
      <c r="B185" s="131" t="s">
        <v>441</v>
      </c>
      <c r="C185" s="131" t="s">
        <v>442</v>
      </c>
      <c r="D185" s="132" t="s">
        <v>274</v>
      </c>
      <c r="E185" s="130"/>
      <c r="F185" s="130" t="s">
        <v>274</v>
      </c>
      <c r="G185" s="130" t="s">
        <v>405</v>
      </c>
      <c r="H185" s="130" t="n">
        <v>10</v>
      </c>
      <c r="I185" s="133"/>
      <c r="J185" s="134" t="n">
        <f aca="false">$J$120*H185</f>
        <v>20</v>
      </c>
      <c r="N185" s="107" t="s">
        <v>448</v>
      </c>
      <c r="O185" s="62" t="s">
        <v>449</v>
      </c>
      <c r="P185" s="62" t="s">
        <v>450</v>
      </c>
      <c r="Q185" s="55" t="s">
        <v>451</v>
      </c>
      <c r="R185" s="158"/>
      <c r="S185" s="158" t="s">
        <v>451</v>
      </c>
      <c r="T185" s="158" t="s">
        <v>409</v>
      </c>
      <c r="U185" s="168" t="n">
        <f aca="false">((($I$134*$G$134)+($I$136*$G$136)+($I$139*$G$139))/1000)*$J$120</f>
        <v>42.716</v>
      </c>
      <c r="V185" s="168" t="n">
        <v>100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14</v>
      </c>
      <c r="B186" s="131" t="s">
        <v>443</v>
      </c>
      <c r="C186" s="131" t="s">
        <v>444</v>
      </c>
      <c r="D186" s="132" t="s">
        <v>272</v>
      </c>
      <c r="E186" s="130"/>
      <c r="F186" s="130" t="s">
        <v>272</v>
      </c>
      <c r="G186" s="130" t="s">
        <v>405</v>
      </c>
      <c r="H186" s="130" t="n">
        <v>1</v>
      </c>
      <c r="I186" s="133"/>
      <c r="J186" s="134" t="n">
        <f aca="false">$J$120*H186</f>
        <v>2</v>
      </c>
      <c r="N186" s="107" t="s">
        <v>445</v>
      </c>
      <c r="O186" s="62" t="s">
        <v>452</v>
      </c>
      <c r="P186" s="62" t="s">
        <v>453</v>
      </c>
      <c r="Q186" s="55" t="s">
        <v>232</v>
      </c>
      <c r="R186" s="158"/>
      <c r="S186" s="158" t="s">
        <v>232</v>
      </c>
      <c r="T186" s="158" t="s">
        <v>409</v>
      </c>
      <c r="U186" s="168" t="n">
        <f aca="false">((($I$141*$G$141*2)+($I$143*$G$143*2)+($I$144*$G$144*2)+($I$145*($G$145-1)*2))/1000)*$J$120</f>
        <v>268.032</v>
      </c>
      <c r="V186" s="168" t="n">
        <v>350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15</v>
      </c>
      <c r="B187" s="131" t="s">
        <v>403</v>
      </c>
      <c r="C187" s="131" t="s">
        <v>404</v>
      </c>
      <c r="D187" s="132" t="s">
        <v>276</v>
      </c>
      <c r="E187" s="130"/>
      <c r="F187" s="130" t="s">
        <v>276</v>
      </c>
      <c r="G187" s="130" t="s">
        <v>405</v>
      </c>
      <c r="H187" s="130" t="n">
        <v>6</v>
      </c>
      <c r="I187" s="133"/>
      <c r="J187" s="134" t="n">
        <f aca="false">$J$120*H187</f>
        <v>12</v>
      </c>
      <c r="N187" s="107" t="s">
        <v>448</v>
      </c>
      <c r="O187" s="62" t="s">
        <v>454</v>
      </c>
      <c r="P187" s="62" t="s">
        <v>455</v>
      </c>
      <c r="Q187" s="55" t="s">
        <v>456</v>
      </c>
      <c r="R187" s="158"/>
      <c r="S187" s="158" t="s">
        <v>456</v>
      </c>
      <c r="T187" s="158" t="s">
        <v>409</v>
      </c>
      <c r="U187" s="168" t="n">
        <f aca="false">((($I$141*$G$141*2)+($I$143*$G$143*2)+($I$144*$G$144*2)+($I$145*($G$145-1)*2))/1000)*$J$120</f>
        <v>268.032</v>
      </c>
      <c r="V187" s="168" t="n">
        <v>100</v>
      </c>
      <c r="W187" s="169" t="n">
        <f aca="false">ROUNDUP((U187)/V187,0)</f>
        <v>3</v>
      </c>
    </row>
    <row r="188" s="96" customFormat="true" ht="18" hidden="false" customHeight="true" outlineLevel="0" collapsed="false">
      <c r="A188" s="170" t="n">
        <f aca="false">IF(B188="","",+A187+1)</f>
        <v>16</v>
      </c>
      <c r="B188" s="132" t="str">
        <f aca="false">IF($D$129="Standard",$O$184,IF($D$129="Soumdproof",$O$185,))</f>
        <v>ยางเฟรมกันน้ำ (ธรรมดา)</v>
      </c>
      <c r="C188" s="132" t="str">
        <f aca="false">IF($D$129="Standard",$P$184,IF($D$129="Soumdproof",$P$185,))</f>
        <v>FRAME SEAL (Standard)</v>
      </c>
      <c r="D188" s="132" t="str">
        <f aca="false">IF($D$129="Standard",$Q$184,IF($D$129="Soumdproof",$Q$185,))</f>
        <v>02-026</v>
      </c>
      <c r="E188" s="130" t="n">
        <f aca="false">IF($D$129="Standard",R190,IF($D$129="Soumdproof",R191,))</f>
        <v>0</v>
      </c>
      <c r="F188" s="130" t="str">
        <f aca="false">IF($D$129="Standard",$S$184,IF($D$129="Soumdproof",$S$185,))</f>
        <v>02-026</v>
      </c>
      <c r="G188" s="130" t="str">
        <f aca="false">IF($D$129="Standard",$T$184,IF($D$129="Soumdproof",$T$185,))</f>
        <v>M</v>
      </c>
      <c r="H188" s="173" t="n">
        <f aca="false">IF($D$129="Standard",$U$184,IF($D$129="Soumdproof",$U$185,))</f>
        <v>42.716</v>
      </c>
      <c r="I188" s="174" t="n">
        <f aca="false">IF($D$129="Standard",$V$184,IF($D$129="Soumdproof",$V$185,))</f>
        <v>300</v>
      </c>
      <c r="J188" s="175" t="n">
        <f aca="false">ROUNDUP((H188)/100,0)</f>
        <v>1</v>
      </c>
    </row>
    <row r="189" s="96" customFormat="true" ht="18" hidden="false" customHeight="true" outlineLevel="0" collapsed="false">
      <c r="A189" s="170" t="n">
        <f aca="false">IF(B189="","",+A188+1)</f>
        <v>17</v>
      </c>
      <c r="B189" s="132" t="str">
        <f aca="false">IF($D$129="Standard",$O$186,IF($D$129="Soumdproof",$O$187,))</f>
        <v>ยางแซชกันน้ำ (ธรรมดา)</v>
      </c>
      <c r="C189" s="132" t="str">
        <f aca="false">IF($D$129="Standard",$P$186,IF($D$129="Soumdproof",$P$187,))</f>
        <v>SASH SEAL FOAM (Standard)</v>
      </c>
      <c r="D189" s="132" t="str">
        <f aca="false">IF($D$129="Standard",$Q$186,IF($D$129="Soumdproof",$Q$187,))</f>
        <v>02-031</v>
      </c>
      <c r="E189" s="130" t="n">
        <f aca="false">IF($D$129="Standard",R192,IF($D$129="Soumdproof",R193,))</f>
        <v>0</v>
      </c>
      <c r="F189" s="130" t="str">
        <f aca="false">IF($D$129="Standard",$S$186,IF($D$129="Soumdproof",$S$187,))</f>
        <v>02-031</v>
      </c>
      <c r="G189" s="130" t="str">
        <f aca="false">IF($D$129="Standard",$T$186,IF($D$129="Soumdproof",$T$187,))</f>
        <v>M</v>
      </c>
      <c r="H189" s="173" t="n">
        <f aca="false">IF($D$129="Standard",$U$186,IF($D$129="Soumdproof",$U$187,))</f>
        <v>268.032</v>
      </c>
      <c r="I189" s="174" t="n">
        <f aca="false">IF($D$129="Standard",$V$186,IF($D$129="Soumdproof",$V$187,))</f>
        <v>350</v>
      </c>
      <c r="J189" s="177" t="n">
        <f aca="false">ROUNDUP((H189)/100,0)</f>
        <v>3</v>
      </c>
    </row>
    <row r="190" s="96" customFormat="true" ht="18" hidden="false" customHeight="true" outlineLevel="0" collapsed="false">
      <c r="A190" s="170" t="n">
        <f aca="false">IF(B190="","",+A189+1)</f>
        <v>18</v>
      </c>
      <c r="B190" s="176" t="str">
        <f aca="false">IF($D$127=5,$O$175,IF($D$127=6,$O$176,IF($D$127=8,$O$177,IF($D$127=10,$O$175,IF($D$127=12,$O$175,IF($D$127=14,$O$177,IF($D$127=18,$O$175,IF($D$127=20,$O$176,IF($D$127=22,"")))))))))</f>
        <v>6,20 mm ยางอัดกระจก</v>
      </c>
      <c r="C190" s="176" t="str">
        <f aca="false">IF($D$127=5,$P$175,IF($D$127=6,$P$176,IF($D$127=8,$P$177,IF($D$127=10,$P$175,IF($D$127=12,$P$175,IF($D$127=14,$P$177,IF($D$127=18,$P$175,IF($D$127=20,$P$176,IF($D$127=22,"")))))))))</f>
        <v>6,20 mm ROLL IN WEDGE</v>
      </c>
      <c r="D190" s="176" t="str">
        <f aca="false">IF($D$127=5,$Q$175,IF($D$127=6,$Q$176,IF($D$127=8,$Q$177,IF($D$127=10,$Q$175,IF($D$127=12,$Q$175,IF($D$127=14,$Q$177,IF($D$127=18,$Q$175,IF($D$127=20,$Q$176,IF($D$127=22,"")))))))))</f>
        <v>02-034</v>
      </c>
      <c r="E190" s="176" t="n">
        <f aca="false">IF($D$127=5,R181,IF($D$127=6,R182,IF($D$127=8,R183,IF($D$127=10,R181,IF($D$127=12,R181,IF($D$127=14,R183,IF($D$127=18,R181,IF($D$127=20,R182,IF($D$127=22,"",)))))))))</f>
        <v>0</v>
      </c>
      <c r="F190" s="167" t="str">
        <f aca="false">IF($D$127=5,$S$175,IF($D$127=6,$S$176,IF($D$127=8,$S$177,IF($D$127=10,$S$175,IF($D$127=12,$S$175,IF($D$127=14,$S$177,IF($D$127=18,$S$175,IF($D$127=20,$S$176,IF($D$127=22,"")))))))))</f>
        <v>02-034</v>
      </c>
      <c r="G190" s="167" t="str">
        <f aca="false">IF($D$127=5,$T$175,IF($D$127=6,$T$176,IF($D$127=8,$T$177,IF($D$127=10,$T$175,IF($D$127=12,$T$175,IF($D$127=14,$T$177,IF($D$127=18,$T$175,IF($D$127=20,$T$176,IF($D$127=22,"")))))))))</f>
        <v>M</v>
      </c>
      <c r="H190" s="173" t="n">
        <f aca="false">IF($D$127=5,$U$175,IF($D$127=6,$U$176,IF($D$127=8,$U$177,IF($D$127=10,$U$175*2,IF($D$127=12,$U$175,IF($D$127=14,$U$177*2,IF($D$127=18,$U$175,IF($D$127=20,$U$176,IF($D$127=22,"")))))))))</f>
        <v>162.688</v>
      </c>
      <c r="I190" s="174" t="n">
        <f aca="false">IF($D$127=5,$V$175,IF($D$127=6,$V$176,IF($D$127=8,$V$177,IF($D$127=10,$V$175,IF($D$127=12,$V$175,IF($D$127=14,$V$177,IF($D$127=18,$V$175,IF($D$127=20,$V$176,IF($D$127=22,"")))))))))</f>
        <v>100</v>
      </c>
      <c r="J190" s="177" t="n">
        <f aca="false">ROUNDUP((H190)/100,0)</f>
        <v>2</v>
      </c>
    </row>
    <row r="191" s="96" customFormat="true" ht="18" hidden="false" customHeight="true" outlineLevel="0" collapsed="false">
      <c r="A191" s="170" t="n">
        <f aca="false">IF(B191="","",+A190+1)</f>
        <v>19</v>
      </c>
      <c r="B191" s="176" t="str">
        <f aca="false">IF($D$127=5,$O$173,IF($D$127=6,$O$173,IF($D$127=8,$O$175,IF($D$127=10,"",IF($D$127=12,$O$174,IF($D$127=14,"",IF($D$127=18,$O$173,IF($D$127=20,$O$174,IF($D$127=22,"",)))))))))</f>
        <v>5,6,18 mm ยางรองกระจก</v>
      </c>
      <c r="C191" s="176" t="str">
        <f aca="false">IF($D$127=5,$P$173,IF($D$127=6,$P$173,IF($D$127=8,$P$175,IF($D$127=10,"",IF($D$127=12,$P$174,IF($D$127=14,"",IF($D$127=18,$P$173,IF($D$127=20,$P$174,IF($D$127=22,"",)))))))))</f>
        <v>5,6,18 mm CAPTIVE WEDGE</v>
      </c>
      <c r="D191" s="176" t="str">
        <f aca="false">IF($D$127=5,$Q$173,IF($D$127=6,$Q$173,IF($D$127=8,$Q$175,IF($D$127=10,"",IF($D$127=12,$Q$174,IF($D$127=14,"",IF($D$127=18,$Q$173,IF($D$127=20,$Q$174,IF($D$127=22,"",)))))))))</f>
        <v>02-022</v>
      </c>
      <c r="E191" s="176" t="n">
        <f aca="false">IF($D$127=5,R179,IF($D$127=6,R179,IF($D$127=8,R181,IF($D$127=10,"",IF($D$127=12,R180,IF($D$127=14,"",IF($D$127=18,R179,IF($D$127=20,R180,IF($D$127=22,"",)))))))))</f>
        <v>0</v>
      </c>
      <c r="F191" s="167" t="str">
        <f aca="false">IF($D$127=5,$S$173,IF($D$127=6,$S$173,IF($D$127=8,$S$175,IF($D$127=10,"",IF($D$127=12,$S$174,IF($D$127=14,"",IF($D$127=18,$S$173,IF($D$127=20,$S$174,IF($D$127=22,"",)))))))))</f>
        <v>02-022</v>
      </c>
      <c r="G191" s="167" t="str">
        <f aca="false">IF($D$127=5,$T$173,IF($D$127=6,$T$173,IF($D$127=8,$T$175,IF($D$127=10,"",IF($D$127=12,$T$174,IF($D$127=14,"",IF($D$127=18,$T$173,IF($D$127=20,$T$174,IF($D$127=22,"",)))))))))</f>
        <v>M</v>
      </c>
      <c r="H191" s="173" t="n">
        <f aca="false">IF($D$127=5,$U$173,IF($D$127=6,$U$173,IF($D$127=8,$U$175,IF($D$127=10,"",IF($D$127=12,$U$174,IF($D$127=14,"",IF($D$127=18,$U$173,IF($D$127=20,$U$174,IF($D$127=22,"")))))))))</f>
        <v>162.688</v>
      </c>
      <c r="I191" s="174" t="n">
        <f aca="false">IF($D$127=5,$V$173,IF($D$127=6,$V$173,IF($D$127=8,$V$175,IF($D$127=10,"",IF($D$127=12,$V$174,IF($D$127=14,"",IF($D$127=18,$V$173,IF($D$127=20,$V$174,IF($D$127=22,"",)))))))))</f>
        <v>100</v>
      </c>
      <c r="J191" s="177" t="n">
        <f aca="false">ROUNDUP((H191)/100,0)</f>
        <v>2</v>
      </c>
    </row>
    <row r="192" s="96" customFormat="true" ht="18" hidden="false" customHeight="true" outlineLevel="0" collapsed="false">
      <c r="A192" s="170" t="str">
        <f aca="false">IF(B192="","",+A191+1)</f>
        <v/>
      </c>
      <c r="B192" s="131"/>
      <c r="C192" s="131"/>
      <c r="D192" s="132"/>
      <c r="E192" s="130"/>
      <c r="F192" s="130"/>
      <c r="G192" s="130"/>
      <c r="H192" s="130"/>
      <c r="I192" s="133"/>
      <c r="J192" s="134" t="n">
        <f aca="false">$J$120*H192</f>
        <v>0</v>
      </c>
    </row>
    <row r="193" customFormat="false" ht="18" hidden="false" customHeight="true" outlineLevel="0" collapsed="false">
      <c r="A193" s="170" t="str">
        <f aca="false">IF(B193="","",+A192+1)</f>
        <v/>
      </c>
      <c r="B193" s="131"/>
      <c r="C193" s="131"/>
      <c r="D193" s="132"/>
      <c r="E193" s="130"/>
      <c r="F193" s="130"/>
      <c r="G193" s="130"/>
      <c r="H193" s="130"/>
      <c r="I193" s="133"/>
      <c r="J193" s="134" t="n">
        <f aca="false">$J$120*H193</f>
        <v>0</v>
      </c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</row>
    <row r="194" s="96" customFormat="true" ht="18" hidden="false" customHeight="true" outlineLevel="0" collapsed="false">
      <c r="A194" s="170" t="str">
        <f aca="false">IF(B194="","",+A193+1)</f>
        <v/>
      </c>
      <c r="B194" s="131"/>
      <c r="C194" s="131"/>
      <c r="D194" s="132"/>
      <c r="E194" s="130"/>
      <c r="F194" s="130"/>
      <c r="G194" s="130"/>
      <c r="H194" s="130"/>
      <c r="I194" s="133"/>
      <c r="J194" s="134" t="n">
        <f aca="false">$J$120*H194</f>
        <v>0</v>
      </c>
    </row>
    <row r="195" s="96" customFormat="true" ht="18" hidden="false" customHeight="true" outlineLevel="0" collapsed="false">
      <c r="A195" s="170" t="str">
        <f aca="false">IF(B195="","",+A194+1)</f>
        <v/>
      </c>
      <c r="B195" s="131"/>
      <c r="C195" s="131"/>
      <c r="D195" s="132"/>
      <c r="E195" s="130"/>
      <c r="F195" s="130"/>
      <c r="G195" s="130"/>
      <c r="H195" s="130"/>
      <c r="I195" s="133"/>
      <c r="J195" s="134" t="n">
        <f aca="false">$J$120*H195</f>
        <v>0</v>
      </c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73"/>
      <c r="I196" s="174"/>
      <c r="J196" s="134" t="n">
        <f aca="false">$J$120*H196</f>
        <v>0</v>
      </c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73"/>
      <c r="I197" s="174"/>
      <c r="J197" s="134" t="n">
        <f aca="false">$J$120*H197</f>
        <v>0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 t="n">
        <f aca="false">$J$120*H198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33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42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42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$J$120*H204</f>
        <v>0</v>
      </c>
    </row>
    <row r="205" s="96" customFormat="true" ht="18" hidden="false" customHeight="true" outlineLevel="0" collapsed="false">
      <c r="A205" s="179" t="str">
        <f aca="false">IF(B205="","",+A204+1)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$J$120*H205</f>
        <v>0</v>
      </c>
    </row>
    <row r="206" s="96" customFormat="true" ht="18" hidden="false" customHeight="true" outlineLevel="0" collapsed="false">
      <c r="A206" s="200"/>
      <c r="B206" s="98"/>
      <c r="D206" s="98"/>
      <c r="E206" s="97"/>
      <c r="F206" s="98"/>
      <c r="G206" s="98"/>
      <c r="H206" s="98"/>
      <c r="I206" s="196"/>
      <c r="J206" s="196"/>
    </row>
    <row r="207" customFormat="false" ht="18" hidden="false" customHeight="true" outlineLevel="0" collapsed="false">
      <c r="A207" s="97"/>
      <c r="J207" s="92" t="str">
        <f aca="false">LEFT($J$111,14)&amp;"-02"</f>
        <v>FG-240-12P6L6R-02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458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9440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2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461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9414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2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464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9440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2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97"/>
      <c r="H252" s="97"/>
      <c r="I252" s="196"/>
      <c r="J252" s="196"/>
    </row>
    <row r="253" s="96" customFormat="true" ht="15.75" hidden="false" customHeight="true" outlineLevel="0" collapsed="false">
      <c r="A253" s="191"/>
      <c r="B253" s="191"/>
      <c r="D253" s="192"/>
      <c r="E253" s="191"/>
      <c r="F253" s="191"/>
      <c r="G253" s="97"/>
      <c r="H253" s="97"/>
      <c r="I253" s="196"/>
      <c r="J253" s="196"/>
    </row>
    <row r="254" s="96" customFormat="true" ht="15.75" hidden="false" customHeight="true" outlineLevel="0" collapsed="false">
      <c r="A254" s="190"/>
      <c r="B254" s="190"/>
      <c r="C254" s="184" t="s">
        <v>465</v>
      </c>
      <c r="D254" s="194"/>
      <c r="E254" s="190"/>
      <c r="F254" s="189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459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460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5" t="n">
        <f aca="false">$I$136</f>
        <v>9440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7" t="n">
        <f aca="false">$J$136</f>
        <v>2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C262" s="98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184" t="s">
        <v>466</v>
      </c>
      <c r="D264" s="98"/>
      <c r="E264" s="97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522</v>
      </c>
      <c r="D265" s="181"/>
      <c r="E265" s="181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468</v>
      </c>
      <c r="D266" s="181"/>
      <c r="E266" s="181"/>
      <c r="F266" s="97"/>
      <c r="G266" s="97"/>
      <c r="H266" s="97"/>
      <c r="J266" s="97"/>
    </row>
    <row r="267" s="96" customFormat="true" ht="15.75" hidden="false" customHeight="true" outlineLevel="0" collapsed="false">
      <c r="A267" s="200"/>
      <c r="C267" s="185" t="n">
        <f aca="false">$I$137</f>
        <v>2600</v>
      </c>
      <c r="D267" s="98"/>
      <c r="E267" s="97"/>
      <c r="F267" s="97"/>
      <c r="J267" s="97"/>
    </row>
    <row r="268" s="96" customFormat="true" ht="15.75" hidden="false" customHeight="true" outlineLevel="0" collapsed="false">
      <c r="A268" s="200"/>
      <c r="C268" s="187" t="n">
        <f aca="false">$J$137+$J$138</f>
        <v>4</v>
      </c>
      <c r="D268" s="98"/>
      <c r="E268" s="97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I272" s="196"/>
      <c r="J272" s="196"/>
    </row>
    <row r="273" s="96" customFormat="true" ht="15.75" hidden="false" customHeight="true" outlineLevel="0" collapsed="false">
      <c r="A273" s="200"/>
      <c r="D273" s="98"/>
      <c r="E273" s="97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C274" s="184" t="s">
        <v>469</v>
      </c>
      <c r="D274" s="201"/>
      <c r="E274" s="196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1" t="s">
        <v>470</v>
      </c>
      <c r="D275" s="181"/>
      <c r="E275" s="181"/>
      <c r="F275" s="97"/>
      <c r="G275" s="97"/>
      <c r="I275" s="97"/>
      <c r="J275" s="196"/>
    </row>
    <row r="276" s="96" customFormat="true" ht="15.75" hidden="false" customHeight="true" outlineLevel="0" collapsed="false">
      <c r="A276" s="200"/>
      <c r="C276" s="181" t="s">
        <v>471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5" t="n">
        <f aca="false">$I$139</f>
        <v>2504</v>
      </c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7" t="n">
        <f aca="false">$J$139+$J$140</f>
        <v>4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F279" s="97"/>
      <c r="G279" s="97"/>
      <c r="H279" s="97"/>
      <c r="J279" s="97"/>
    </row>
    <row r="280" s="96" customFormat="true" ht="15.75" hidden="false" customHeight="true" outlineLevel="0" collapsed="false">
      <c r="A280" s="200"/>
      <c r="D280" s="98"/>
      <c r="E280" s="97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I282" s="201"/>
      <c r="J282" s="196"/>
    </row>
    <row r="283" s="96" customFormat="true" ht="15.75" hidden="false" customHeight="true" outlineLevel="0" collapsed="false">
      <c r="A283" s="200"/>
      <c r="C283" s="184" t="s">
        <v>472</v>
      </c>
      <c r="F283" s="97"/>
      <c r="G283" s="97"/>
      <c r="H283" s="97"/>
      <c r="I283" s="97"/>
      <c r="J283" s="196"/>
    </row>
    <row r="284" s="96" customFormat="true" ht="15.75" hidden="false" customHeight="true" outlineLevel="0" collapsed="false">
      <c r="A284" s="200"/>
      <c r="C284" s="83" t="s">
        <v>803</v>
      </c>
      <c r="D284" s="98"/>
      <c r="E284" s="97"/>
      <c r="F284" s="97"/>
      <c r="G284" s="97"/>
      <c r="H284" s="97"/>
      <c r="I284" s="196"/>
      <c r="J284" s="196"/>
    </row>
    <row r="285" s="96" customFormat="true" ht="15.75" hidden="false" customHeight="true" outlineLevel="0" collapsed="false">
      <c r="A285" s="200"/>
      <c r="C285" s="181" t="s">
        <v>804</v>
      </c>
      <c r="D285" s="98"/>
      <c r="E285" s="97"/>
      <c r="F285" s="97"/>
      <c r="G285" s="97"/>
      <c r="H285" s="97"/>
      <c r="I285" s="196"/>
      <c r="J285" s="196"/>
    </row>
    <row r="286" s="96" customFormat="true" ht="15.75" hidden="false" customHeight="true" outlineLevel="0" collapsed="false">
      <c r="A286" s="200"/>
      <c r="C286" s="181" t="s">
        <v>475</v>
      </c>
      <c r="D286" s="181"/>
      <c r="E286" s="181"/>
      <c r="F286" s="97"/>
      <c r="G286" s="97"/>
      <c r="I286" s="196"/>
      <c r="J286" s="196"/>
    </row>
    <row r="287" s="202" customFormat="true" ht="15.75" hidden="false" customHeight="true" outlineLevel="0" collapsed="false">
      <c r="A287" s="200"/>
      <c r="B287" s="96"/>
      <c r="C287" s="181" t="s">
        <v>476</v>
      </c>
      <c r="D287" s="181"/>
      <c r="E287" s="181"/>
      <c r="F287" s="97"/>
      <c r="G287" s="97"/>
      <c r="H287" s="96"/>
      <c r="I287" s="97"/>
      <c r="J287" s="97"/>
    </row>
    <row r="288" s="96" customFormat="true" ht="15.75" hidden="false" customHeight="true" outlineLevel="0" collapsed="false">
      <c r="A288" s="200"/>
      <c r="C288" s="185" t="n">
        <f aca="false">$I$141</f>
        <v>777</v>
      </c>
      <c r="F288" s="97"/>
      <c r="G288" s="97"/>
      <c r="I288" s="191"/>
      <c r="J288" s="199"/>
    </row>
    <row r="289" s="96" customFormat="true" ht="15.75" hidden="false" customHeight="true" outlineLevel="0" collapsed="false">
      <c r="A289" s="200"/>
      <c r="C289" s="187" t="n">
        <f aca="false">$J$141+$J$142</f>
        <v>48</v>
      </c>
      <c r="D289" s="98"/>
      <c r="E289" s="97"/>
      <c r="F289" s="97"/>
      <c r="G289" s="97"/>
      <c r="H289" s="98"/>
      <c r="I289" s="189"/>
      <c r="J289" s="190"/>
    </row>
    <row r="290" s="96" customFormat="true" ht="15.75" hidden="false" customHeight="true" outlineLevel="0" collapsed="false">
      <c r="A290" s="200"/>
      <c r="C290" s="185" t="n">
        <f aca="false">$I$143</f>
        <v>2508</v>
      </c>
      <c r="D290" s="98"/>
      <c r="E290" s="97"/>
      <c r="F290" s="97"/>
      <c r="G290" s="97"/>
      <c r="H290" s="97"/>
      <c r="I290" s="196"/>
      <c r="J290" s="196"/>
    </row>
    <row r="291" s="96" customFormat="true" ht="15.75" hidden="false" customHeight="true" outlineLevel="0" collapsed="false">
      <c r="A291" s="200"/>
      <c r="C291" s="187" t="n">
        <f aca="false">$J$143+$J$144+$J$145</f>
        <v>48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D292" s="98"/>
      <c r="E292" s="97"/>
      <c r="F292" s="97"/>
      <c r="G292" s="97"/>
      <c r="H292" s="97"/>
      <c r="I292" s="97"/>
      <c r="J292" s="196"/>
    </row>
    <row r="293" s="96" customFormat="true" ht="15.75" hidden="false" customHeight="true" outlineLevel="0" collapsed="false">
      <c r="A293" s="200"/>
      <c r="C293" s="202"/>
      <c r="D293" s="98"/>
      <c r="E293" s="97"/>
      <c r="F293" s="97"/>
      <c r="G293" s="97"/>
      <c r="H293" s="97"/>
      <c r="I293" s="97"/>
      <c r="J293" s="196"/>
    </row>
    <row r="294" s="96" customFormat="true" ht="15.75" hidden="false" customHeight="true" outlineLevel="0" collapsed="false">
      <c r="A294" s="200"/>
      <c r="C294" s="184" t="s">
        <v>477</v>
      </c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83" t="s">
        <v>803</v>
      </c>
      <c r="D295" s="98"/>
      <c r="E295" s="97"/>
      <c r="F295" s="97"/>
      <c r="G295" s="191"/>
      <c r="H295" s="191"/>
      <c r="I295" s="97"/>
      <c r="J295" s="196"/>
    </row>
    <row r="296" s="96" customFormat="true" ht="15.75" hidden="false" customHeight="true" outlineLevel="0" collapsed="false">
      <c r="A296" s="200"/>
      <c r="C296" s="181" t="s">
        <v>805</v>
      </c>
      <c r="D296" s="181"/>
      <c r="E296" s="181"/>
      <c r="F296" s="97"/>
      <c r="G296" s="190"/>
      <c r="H296" s="189"/>
      <c r="I296" s="97"/>
      <c r="J296" s="196"/>
    </row>
    <row r="297" s="96" customFormat="true" ht="15.75" hidden="false" customHeight="true" outlineLevel="0" collapsed="false">
      <c r="A297" s="107"/>
      <c r="C297" s="181" t="s">
        <v>478</v>
      </c>
      <c r="D297" s="181"/>
      <c r="E297" s="181"/>
      <c r="F297" s="97"/>
      <c r="G297" s="97"/>
      <c r="H297" s="97"/>
      <c r="I297" s="97"/>
      <c r="J297" s="196"/>
    </row>
    <row r="298" s="96" customFormat="true" ht="15.75" hidden="false" customHeight="true" outlineLevel="0" collapsed="false">
      <c r="A298" s="191"/>
      <c r="B298" s="191"/>
      <c r="C298" s="181" t="s">
        <v>479</v>
      </c>
      <c r="D298" s="203"/>
      <c r="E298" s="204"/>
      <c r="F298" s="191"/>
      <c r="G298" s="97"/>
      <c r="H298" s="97"/>
      <c r="I298" s="97"/>
      <c r="J298" s="196"/>
    </row>
    <row r="299" s="96" customFormat="true" ht="15.75" hidden="false" customHeight="true" outlineLevel="0" collapsed="false">
      <c r="A299" s="190"/>
      <c r="B299" s="190"/>
      <c r="C299" s="185" t="n">
        <f aca="false">$I$146</f>
        <v>672.4375</v>
      </c>
      <c r="D299" s="205"/>
      <c r="E299" s="206"/>
      <c r="F299" s="189"/>
      <c r="G299" s="97"/>
      <c r="H299" s="97"/>
      <c r="I299" s="97"/>
      <c r="J299" s="196"/>
    </row>
    <row r="300" s="96" customFormat="true" ht="15.75" hidden="false" customHeight="true" outlineLevel="0" collapsed="false">
      <c r="A300" s="97"/>
      <c r="C300" s="187" t="n">
        <f aca="false">$J$146</f>
        <v>48</v>
      </c>
      <c r="D300" s="98"/>
      <c r="F300" s="97"/>
      <c r="G300" s="97"/>
      <c r="H300" s="97"/>
      <c r="I300" s="97"/>
      <c r="J300" s="196"/>
    </row>
    <row r="301" s="96" customFormat="true" ht="15.75" hidden="false" customHeight="true" outlineLevel="0" collapsed="false">
      <c r="A301" s="97"/>
      <c r="C301" s="185" t="n">
        <f aca="false">$I$147</f>
        <v>2358</v>
      </c>
      <c r="D301" s="98"/>
      <c r="F301" s="97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7" t="n">
        <f aca="false">$J$147</f>
        <v>48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C306" s="184"/>
      <c r="D306" s="98"/>
      <c r="E306" s="97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1"/>
      <c r="D307" s="181"/>
      <c r="E307" s="181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249"/>
      <c r="D308" s="249"/>
      <c r="E308" s="249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5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7"/>
      <c r="D310" s="181"/>
      <c r="E310" s="181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C311" s="181"/>
      <c r="D311" s="181"/>
      <c r="E311" s="181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C312" s="181"/>
      <c r="D312" s="181"/>
      <c r="E312" s="181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LEFT($J$111,14)&amp;"-03"</f>
        <v>FG-240-12P6L6R-03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I316" s="76"/>
      <c r="J316" s="77" t="str">
        <f aca="false">$J$2</f>
        <v>HOMELIFE</v>
      </c>
      <c r="K316" s="83"/>
      <c r="L316" s="83"/>
      <c r="M316" s="79"/>
      <c r="N316" s="79"/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240-12 Panel (6L6R)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195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91"/>
      <c r="D405" s="98"/>
      <c r="E405" s="97"/>
      <c r="F405" s="97"/>
      <c r="G405" s="97"/>
      <c r="H405" s="97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LEFT($J$111,14)&amp;"-04"</f>
        <v>FG-240-12P6L6R-04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B423" s="96"/>
      <c r="C423" s="96"/>
      <c r="D423" s="98"/>
      <c r="E423" s="97"/>
      <c r="F423" s="97"/>
      <c r="G423" s="97"/>
      <c r="H423" s="97"/>
      <c r="I423" s="76"/>
      <c r="J423" s="77" t="str">
        <f aca="false">J2</f>
        <v>HOMELIFE</v>
      </c>
      <c r="K423" s="83"/>
      <c r="L423" s="83"/>
      <c r="M423" s="79"/>
      <c r="N423" s="79"/>
    </row>
    <row r="424" customFormat="false" ht="24.75" hidden="false" customHeight="true" outlineLevel="0" collapsed="false">
      <c r="C424" s="75"/>
      <c r="D424" s="76"/>
      <c r="E424" s="76"/>
      <c r="F424" s="76"/>
      <c r="G424" s="76"/>
      <c r="H424" s="76"/>
      <c r="I424" s="82"/>
      <c r="J424" s="80" t="str">
        <f aca="false">J3</f>
        <v>Fabricators Guide</v>
      </c>
      <c r="K424" s="83"/>
      <c r="L424" s="83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J4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240-12 Panel (6L6R)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191"/>
      <c r="C442" s="212"/>
      <c r="D442" s="98"/>
      <c r="E442" s="97"/>
      <c r="F442" s="97"/>
      <c r="H442" s="191"/>
      <c r="I442" s="191"/>
      <c r="J442" s="199"/>
    </row>
    <row r="443" s="96" customFormat="true" ht="15.75" hidden="false" customHeight="true" outlineLevel="0" collapsed="false">
      <c r="A443" s="190"/>
      <c r="C443" s="191"/>
      <c r="D443" s="192"/>
      <c r="E443" s="191"/>
      <c r="F443" s="191"/>
      <c r="H443" s="191"/>
      <c r="I443" s="191"/>
      <c r="J443" s="199"/>
    </row>
    <row r="444" s="96" customFormat="true" ht="34.5" hidden="false" customHeight="true" outlineLevel="0" collapsed="false">
      <c r="A444" s="97"/>
      <c r="C444" s="98"/>
      <c r="D444" s="194"/>
      <c r="E444" s="190"/>
      <c r="F444" s="189"/>
      <c r="H444" s="191"/>
      <c r="I444" s="196"/>
      <c r="J444" s="196"/>
    </row>
    <row r="445" customFormat="false" ht="15" hidden="false" customHeight="true" outlineLevel="0" collapsed="false">
      <c r="B445" s="211"/>
      <c r="C445" s="98"/>
      <c r="D445" s="98"/>
      <c r="E445" s="97"/>
      <c r="F445" s="98"/>
      <c r="G445" s="97"/>
      <c r="H445" s="97"/>
    </row>
    <row r="450" s="96" customFormat="true" ht="15.75" hidden="false" customHeight="true" outlineLevel="0" collapsed="false">
      <c r="A450" s="97"/>
      <c r="D450" s="73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191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97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196"/>
      <c r="J457" s="196"/>
    </row>
    <row r="458" s="96" customFormat="true" ht="15.7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195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202" customFormat="true" ht="15.75" hidden="false" customHeight="true" outlineLevel="0" collapsed="false">
      <c r="A477" s="97"/>
      <c r="B477" s="96"/>
      <c r="C477" s="96"/>
      <c r="D477" s="98"/>
      <c r="E477" s="97"/>
      <c r="F477" s="97"/>
      <c r="G477" s="97"/>
      <c r="H477" s="97"/>
      <c r="I477" s="97"/>
      <c r="J477" s="97"/>
    </row>
    <row r="478" s="96" customFormat="true" ht="15.75" hidden="false" customHeight="true" outlineLevel="0" collapsed="false">
      <c r="A478" s="191"/>
      <c r="D478" s="98"/>
      <c r="E478" s="97"/>
      <c r="F478" s="97"/>
      <c r="G478" s="97"/>
      <c r="H478" s="97"/>
      <c r="I478" s="191"/>
      <c r="J478" s="199"/>
    </row>
    <row r="479" s="96" customFormat="true" ht="15.75" hidden="false" customHeight="true" outlineLevel="0" collapsed="false">
      <c r="A479" s="190"/>
      <c r="B479" s="191"/>
      <c r="C479" s="191"/>
      <c r="D479" s="192"/>
      <c r="E479" s="191"/>
      <c r="F479" s="191"/>
      <c r="G479" s="191"/>
      <c r="H479" s="191"/>
      <c r="I479" s="189"/>
      <c r="J479" s="190"/>
    </row>
    <row r="480" s="96" customFormat="true" ht="15.75" hidden="false" customHeight="true" outlineLevel="0" collapsed="false">
      <c r="A480" s="200"/>
      <c r="B480" s="190"/>
      <c r="C480" s="191"/>
      <c r="D480" s="194"/>
      <c r="E480" s="190"/>
      <c r="F480" s="189"/>
      <c r="G480" s="190"/>
      <c r="H480" s="189"/>
      <c r="I480" s="196"/>
      <c r="J480" s="196"/>
    </row>
    <row r="481" s="96" customFormat="true" ht="15.75" hidden="false" customHeight="true" outlineLevel="0" collapsed="false">
      <c r="A481" s="200"/>
      <c r="C481" s="182"/>
      <c r="D481" s="98"/>
      <c r="E481" s="97"/>
      <c r="F481" s="97"/>
      <c r="G481" s="97"/>
      <c r="H481" s="182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C487" s="98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182"/>
      <c r="J499" s="97"/>
    </row>
    <row r="500" s="96" customFormat="true" ht="15.75" hidden="false" customHeight="true" outlineLevel="0" collapsed="false">
      <c r="A500" s="200"/>
      <c r="C500" s="188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I501" s="196"/>
      <c r="J501" s="196"/>
    </row>
    <row r="502" s="96" customFormat="true" ht="15.75" hidden="false" customHeight="true" outlineLevel="0" collapsed="false">
      <c r="A502" s="200"/>
      <c r="C502" s="98"/>
      <c r="D502" s="98"/>
      <c r="E502" s="97"/>
      <c r="F502" s="97"/>
      <c r="G502" s="97"/>
      <c r="H502" s="182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191"/>
      <c r="D513" s="98"/>
      <c r="E513" s="97"/>
      <c r="F513" s="97"/>
      <c r="G513" s="97"/>
      <c r="I513" s="191"/>
      <c r="J513" s="199"/>
    </row>
    <row r="514" s="96" customFormat="true" ht="15.75" hidden="false" customHeight="true" outlineLevel="0" collapsed="false">
      <c r="A514" s="191"/>
      <c r="B514" s="191"/>
      <c r="C514" s="191"/>
      <c r="D514" s="192"/>
      <c r="E514" s="191"/>
      <c r="F514" s="191"/>
      <c r="G514" s="191"/>
      <c r="H514" s="191"/>
      <c r="I514" s="191"/>
      <c r="J514" s="199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B516" s="191"/>
      <c r="C516" s="191"/>
      <c r="D516" s="192"/>
      <c r="E516" s="191"/>
      <c r="F516" s="191"/>
      <c r="G516" s="191"/>
      <c r="H516" s="191"/>
    </row>
    <row r="517" s="96" customFormat="true" ht="15.75" hidden="false" customHeight="true" outlineLevel="0" collapsed="false"/>
    <row r="518" s="96" customFormat="true" ht="24.75" hidden="false" customHeight="true" outlineLevel="0" collapsed="false">
      <c r="A518" s="88" t="s">
        <v>482</v>
      </c>
      <c r="B518" s="88"/>
      <c r="C518" s="88"/>
      <c r="D518" s="88"/>
      <c r="E518" s="88"/>
      <c r="F518" s="88"/>
      <c r="G518" s="88"/>
      <c r="H518" s="88"/>
      <c r="I518" s="88"/>
      <c r="J518" s="88"/>
    </row>
    <row r="519" s="96" customFormat="true" ht="34.5" hidden="false" customHeight="true" outlineLevel="0" collapsed="false">
      <c r="A519" s="322" t="s">
        <v>319</v>
      </c>
      <c r="B519" s="323" t="s">
        <v>168</v>
      </c>
      <c r="C519" s="115" t="s">
        <v>168</v>
      </c>
      <c r="D519" s="116" t="s">
        <v>483</v>
      </c>
      <c r="E519" s="115" t="s">
        <v>321</v>
      </c>
      <c r="F519" s="239" t="s">
        <v>484</v>
      </c>
      <c r="G519" s="240"/>
      <c r="H519" s="116" t="s">
        <v>484</v>
      </c>
      <c r="I519" s="116" t="s">
        <v>485</v>
      </c>
      <c r="J519" s="117" t="s">
        <v>323</v>
      </c>
      <c r="N519" s="118" t="s">
        <v>168</v>
      </c>
      <c r="O519" s="118" t="s">
        <v>168</v>
      </c>
    </row>
    <row r="520" s="96" customFormat="true" ht="15.75" hidden="false" customHeight="true" outlineLevel="0" collapsed="false">
      <c r="A520" s="324" t="n">
        <f aca="false">IF(C520="","",1)</f>
        <v>1</v>
      </c>
      <c r="B520" s="121" t="str">
        <f aca="false"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 aca="false">IF($D$127=5,O520,IF($D$127=6,O521,IF($D$127=8,O522,IF($D$127=10,O523,IF($D$127=12,O524,IF($D$127=14,O525,IF($D$127=18,O526,IF($D$127=20,O527,IF($D$127=22,O528,)))))))))</f>
        <v>GLASS thk.6 mm (H) (W)</v>
      </c>
      <c r="D520" s="123" t="n">
        <f aca="false">$J$123-215</f>
        <v>2385</v>
      </c>
      <c r="E520" s="120" t="s">
        <v>486</v>
      </c>
      <c r="F520" s="224" t="s">
        <v>487</v>
      </c>
      <c r="G520" s="224"/>
      <c r="H520" s="120" t="s">
        <v>806</v>
      </c>
      <c r="I520" s="225" t="n">
        <f aca="false">(($J$126-185-(113.25*11))/12)-13</f>
        <v>659.4375</v>
      </c>
      <c r="J520" s="226" t="n">
        <f aca="false">$J$120*12</f>
        <v>24</v>
      </c>
      <c r="N520" s="62" t="s">
        <v>489</v>
      </c>
      <c r="O520" s="62" t="s">
        <v>490</v>
      </c>
    </row>
    <row r="521" s="96" customFormat="true" ht="15.75" hidden="false" customHeight="true" outlineLevel="0" collapsed="false">
      <c r="A521" s="227"/>
      <c r="B521" s="131"/>
      <c r="C521" s="131"/>
      <c r="D521" s="132" t="s">
        <v>208</v>
      </c>
      <c r="E521" s="130"/>
      <c r="F521" s="233"/>
      <c r="G521" s="234"/>
      <c r="H521" s="131"/>
      <c r="I521" s="133"/>
      <c r="J521" s="235"/>
      <c r="N521" s="62" t="s">
        <v>491</v>
      </c>
      <c r="O521" s="62" t="s">
        <v>492</v>
      </c>
    </row>
    <row r="522" s="96" customFormat="true" ht="15.75" hidden="false" customHeight="true" outlineLevel="0" collapsed="false">
      <c r="A522" s="227"/>
      <c r="B522" s="131"/>
      <c r="C522" s="131"/>
      <c r="D522" s="132"/>
      <c r="E522" s="130"/>
      <c r="F522" s="233"/>
      <c r="G522" s="234"/>
      <c r="H522" s="130"/>
      <c r="I522" s="133"/>
      <c r="J522" s="235"/>
      <c r="N522" s="62" t="s">
        <v>493</v>
      </c>
      <c r="O522" s="62" t="s">
        <v>494</v>
      </c>
    </row>
    <row r="523" s="96" customFormat="true" ht="15.75" hidden="false" customHeight="true" outlineLevel="0" collapsed="false">
      <c r="A523" s="130" t="str">
        <f aca="false">IF(B523="","",+A521+1)</f>
        <v/>
      </c>
      <c r="B523" s="131"/>
      <c r="C523" s="131"/>
      <c r="D523" s="132"/>
      <c r="E523" s="130"/>
      <c r="F523" s="233"/>
      <c r="G523" s="270"/>
      <c r="H523" s="130"/>
      <c r="I523" s="142"/>
      <c r="J523" s="133"/>
      <c r="N523" s="62" t="s">
        <v>495</v>
      </c>
      <c r="O523" s="62" t="s">
        <v>496</v>
      </c>
    </row>
    <row r="524" s="96" customFormat="true" ht="15.75" hidden="false" customHeight="true" outlineLevel="0" collapsed="false">
      <c r="A524" s="136" t="str">
        <f aca="false">IF(B524="","",+A523+1)</f>
        <v/>
      </c>
      <c r="B524" s="135"/>
      <c r="C524" s="135"/>
      <c r="D524" s="139"/>
      <c r="E524" s="136"/>
      <c r="F524" s="236"/>
      <c r="G524" s="237"/>
      <c r="H524" s="136"/>
      <c r="I524" s="180"/>
      <c r="J524" s="140"/>
      <c r="N524" s="62" t="s">
        <v>497</v>
      </c>
      <c r="O524" s="62" t="s">
        <v>498</v>
      </c>
    </row>
    <row r="525" s="96" customFormat="true" ht="15.75" hidden="false" customHeight="true" outlineLevel="0" collapsed="false">
      <c r="A525" s="97"/>
      <c r="D525" s="98"/>
      <c r="E525" s="97"/>
      <c r="F525" s="97"/>
      <c r="G525" s="97"/>
      <c r="H525" s="97"/>
      <c r="I525" s="97"/>
      <c r="J525" s="196"/>
      <c r="N525" s="62" t="s">
        <v>499</v>
      </c>
      <c r="O525" s="62" t="s">
        <v>500</v>
      </c>
    </row>
    <row r="526" customFormat="false" ht="14.25" hidden="false" customHeight="false" outlineLevel="0" collapsed="false">
      <c r="J526" s="92" t="str">
        <f aca="false">LEFT($J$111,14)&amp;"-05"</f>
        <v>FG-240-12P6L6R-05</v>
      </c>
      <c r="M526" s="96"/>
      <c r="N526" s="62" t="s">
        <v>501</v>
      </c>
      <c r="O526" s="62" t="s">
        <v>502</v>
      </c>
      <c r="P526" s="96"/>
      <c r="Q526" s="96"/>
      <c r="R526" s="96"/>
      <c r="S526" s="96"/>
      <c r="T526" s="96"/>
      <c r="U526" s="96"/>
      <c r="V526" s="96"/>
    </row>
    <row r="527" customFormat="false" ht="14.25" hidden="false" customHeight="false" outlineLevel="0" collapsed="false">
      <c r="M527" s="96"/>
      <c r="N527" s="62" t="s">
        <v>503</v>
      </c>
      <c r="O527" s="62" t="s">
        <v>504</v>
      </c>
      <c r="P527" s="96"/>
      <c r="Q527" s="96"/>
      <c r="R527" s="96"/>
      <c r="S527" s="96"/>
      <c r="T527" s="96"/>
      <c r="U527" s="96"/>
      <c r="V527" s="96"/>
    </row>
    <row r="528" customFormat="false" ht="14.25" hidden="false" customHeight="false" outlineLevel="0" collapsed="false">
      <c r="N528" s="62" t="s">
        <v>505</v>
      </c>
      <c r="O528" s="62" t="s">
        <v>506</v>
      </c>
    </row>
  </sheetData>
  <mergeCells count="44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2:J152"/>
    <mergeCell ref="I153:J153"/>
    <mergeCell ref="I154:J154"/>
    <mergeCell ref="I155:J155"/>
    <mergeCell ref="I156:J156"/>
    <mergeCell ref="D157:D158"/>
    <mergeCell ref="H157:H158"/>
    <mergeCell ref="I157:J158"/>
    <mergeCell ref="D159:D160"/>
    <mergeCell ref="H159:H160"/>
    <mergeCell ref="I159:J159"/>
    <mergeCell ref="I160:J163"/>
    <mergeCell ref="D161:D165"/>
    <mergeCell ref="H161:H165"/>
    <mergeCell ref="I164:J165"/>
    <mergeCell ref="D166:D167"/>
    <mergeCell ref="H166:H167"/>
    <mergeCell ref="I166:J166"/>
    <mergeCell ref="A171:J171"/>
    <mergeCell ref="A213:J213"/>
    <mergeCell ref="C308:E308"/>
    <mergeCell ref="A320:J320"/>
    <mergeCell ref="F330:G330"/>
    <mergeCell ref="F331:G331"/>
    <mergeCell ref="F334:G334"/>
    <mergeCell ref="A427:J427"/>
    <mergeCell ref="A518:J518"/>
    <mergeCell ref="F520:G520"/>
  </mergeCells>
  <dataValidations count="4">
    <dataValidation allowBlank="true" errorStyle="stop" operator="between" showDropDown="false" showErrorMessage="true" showInputMessage="true" sqref="C206" type="list">
      <formula1>$O$173:$O$191</formula1>
      <formula2>0</formula2>
    </dataValidation>
    <dataValidation allowBlank="true" errorStyle="stop" operator="between" showDropDown="false" showErrorMessage="true" showInputMessage="true" sqref="D127:G127" type="list">
      <formula1>$N$119:$N$127</formula1>
      <formula2>0</formula2>
    </dataValidation>
    <dataValidation allowBlank="true" errorStyle="stop" operator="between" showDropDown="false" showErrorMessage="true" showInputMessage="true" sqref="D129:G129" type="list">
      <formula1>$O$119</formula1>
      <formula2>0</formula2>
    </dataValidation>
    <dataValidation allowBlank="true" errorStyle="stop" operator="between" showDropDown="false" showErrorMessage="true" showInputMessage="true" sqref="D123:G123" type="list">
      <formula1>$P$118:$P$128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AJ528"/>
  <sheetViews>
    <sheetView showFormulas="false" showGridLines="false" showRowColHeaders="true" showZeros="true" rightToLeft="false" tabSelected="false" showOutlineSymbols="true" defaultGridColor="true" view="pageBreakPreview" topLeftCell="A118" colorId="64" zoomScale="75" zoomScaleNormal="75" zoomScalePageLayoutView="75" workbookViewId="0">
      <selection pane="topLeft" activeCell="I135" activeCellId="0" sqref="I135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55.67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20.66"/>
    <col collapsed="false" customWidth="true" hidden="false" outlineLevel="0" max="7" min="7" style="0" width="7.56"/>
    <col collapsed="false" customWidth="true" hidden="false" outlineLevel="0" max="8" min="8" style="0" width="29"/>
    <col collapsed="false" customWidth="true" hidden="false" outlineLevel="0" max="9" min="9" style="0" width="15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2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812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>
      <c r="G55" s="91"/>
    </row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813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  <c r="N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  <c r="N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  <c r="N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  <c r="N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  <c r="N117" s="87"/>
    </row>
    <row r="118" s="96" customFormat="true" ht="18" hidden="false" customHeight="true" outlineLevel="0" collapsed="false">
      <c r="A118" s="97"/>
      <c r="C118" s="81"/>
      <c r="D118" s="98"/>
      <c r="E118" s="83"/>
      <c r="J118" s="99"/>
      <c r="K118" s="83"/>
      <c r="N118" s="102" t="s">
        <v>288</v>
      </c>
      <c r="O118" s="97" t="s">
        <v>289</v>
      </c>
      <c r="P118" s="102" t="s">
        <v>290</v>
      </c>
    </row>
    <row r="119" s="96" customFormat="true" ht="15" hidden="false" customHeight="true" outlineLevel="0" collapsed="false">
      <c r="A119" s="97"/>
      <c r="C119" s="100" t="s">
        <v>286</v>
      </c>
      <c r="D119" s="101"/>
      <c r="E119" s="101"/>
      <c r="F119" s="101"/>
      <c r="G119" s="101"/>
      <c r="I119" s="83"/>
      <c r="J119" s="97"/>
      <c r="N119" s="102" t="n">
        <v>5</v>
      </c>
      <c r="O119" s="97" t="s">
        <v>509</v>
      </c>
      <c r="P119" s="106" t="s">
        <v>294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102" t="n">
        <v>6</v>
      </c>
      <c r="O120" s="97" t="s">
        <v>296</v>
      </c>
      <c r="P120" s="106" t="s">
        <v>297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102" t="n">
        <v>8</v>
      </c>
      <c r="P121" s="106" t="s">
        <v>299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102" t="n">
        <v>10</v>
      </c>
      <c r="P122" s="106" t="s">
        <v>303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2500</v>
      </c>
      <c r="N123" s="102" t="n">
        <v>12</v>
      </c>
      <c r="P123" s="106" t="s">
        <v>305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102" t="n">
        <v>14</v>
      </c>
      <c r="P124" s="106" t="s">
        <v>308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102" t="n">
        <v>18</v>
      </c>
      <c r="P125" s="106" t="s">
        <v>311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2000</v>
      </c>
      <c r="K126" s="110"/>
      <c r="L126" s="110"/>
      <c r="N126" s="102" t="n">
        <v>20</v>
      </c>
      <c r="P126" s="106" t="s">
        <v>313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5</v>
      </c>
      <c r="E127" s="111"/>
      <c r="F127" s="111"/>
      <c r="G127" s="111"/>
      <c r="H127" s="104"/>
      <c r="I127" s="104"/>
      <c r="J127" s="105"/>
      <c r="N127" s="102" t="n">
        <v>22</v>
      </c>
      <c r="P127" s="106" t="s">
        <v>315</v>
      </c>
    </row>
    <row r="128" s="96" customFormat="true" ht="18.75" hidden="false" customHeight="true" outlineLevel="0" collapsed="false">
      <c r="C128" s="108" t="s">
        <v>314</v>
      </c>
      <c r="I128" s="97"/>
      <c r="J128" s="97"/>
    </row>
    <row r="129" s="96" customFormat="true" ht="15" hidden="false" customHeight="true" outlineLevel="0" collapsed="false">
      <c r="A129" s="89" t="str">
        <f aca="false">A18</f>
        <v>240-14 Panel (7L7R)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1940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28</v>
      </c>
      <c r="U133" s="127" t="s">
        <v>814</v>
      </c>
      <c r="V133" s="331" t="n">
        <f aca="false">($J$126-185-(113.25*13))/14</f>
        <v>24.4821428571429</v>
      </c>
      <c r="W133" s="129" t="n">
        <f aca="false">$J$120*T133</f>
        <v>28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1914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28</v>
      </c>
      <c r="U134" s="130" t="s">
        <v>814</v>
      </c>
      <c r="V134" s="332" t="n">
        <f aca="false">($J$126-185-(113.25*13))/14</f>
        <v>24.4821428571429</v>
      </c>
      <c r="W134" s="134" t="n">
        <f aca="false">$J$120*T134</f>
        <v>28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1940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28</v>
      </c>
      <c r="U135" s="136" t="s">
        <v>814</v>
      </c>
      <c r="V135" s="333" t="n">
        <f aca="false">($J$126-185-(113.25*13))/14</f>
        <v>24.4821428571429</v>
      </c>
      <c r="W135" s="137" t="n">
        <f aca="false">$J$120*T135</f>
        <v>28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1940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28</v>
      </c>
      <c r="U136" s="127" t="s">
        <v>360</v>
      </c>
      <c r="V136" s="138" t="n">
        <f aca="false">$J$123-242</f>
        <v>2258</v>
      </c>
      <c r="W136" s="129" t="n">
        <f aca="false">$J$120*T136</f>
        <v>28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2500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28</v>
      </c>
      <c r="U137" s="130" t="s">
        <v>360</v>
      </c>
      <c r="V137" s="133" t="n">
        <f aca="false">$J$123-242</f>
        <v>2258</v>
      </c>
      <c r="W137" s="134" t="n">
        <f aca="false">$J$120*T137</f>
        <v>28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2500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28</v>
      </c>
      <c r="U138" s="136" t="s">
        <v>360</v>
      </c>
      <c r="V138" s="140" t="n">
        <f aca="false">$J$123-242</f>
        <v>2258</v>
      </c>
      <c r="W138" s="137" t="n">
        <f aca="false">$J$120*T138</f>
        <v>28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2404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2404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14</v>
      </c>
      <c r="H141" s="321" t="s">
        <v>815</v>
      </c>
      <c r="I141" s="141" t="n">
        <f aca="false">(($J$126/2)-60-(7+1)*4)/7</f>
        <v>129.714285714286</v>
      </c>
      <c r="J141" s="134" t="n">
        <f aca="false">$J$120*G141</f>
        <v>14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14</v>
      </c>
      <c r="H142" s="321" t="s">
        <v>815</v>
      </c>
      <c r="I142" s="141" t="n">
        <f aca="false">(($J$126/2)-60-(7+1)*4)/7</f>
        <v>129.714285714286</v>
      </c>
      <c r="J142" s="134" t="n">
        <f aca="false">$J$120*G142</f>
        <v>14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21</v>
      </c>
      <c r="H143" s="130" t="s">
        <v>389</v>
      </c>
      <c r="I143" s="133" t="n">
        <f aca="false">$J$123-92</f>
        <v>2408</v>
      </c>
      <c r="J143" s="134" t="n">
        <f aca="false">$J$120*G143</f>
        <v>21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3</v>
      </c>
      <c r="H144" s="130" t="s">
        <v>389</v>
      </c>
      <c r="I144" s="133" t="n">
        <f aca="false">$J$123-92</f>
        <v>2408</v>
      </c>
      <c r="J144" s="134" t="n">
        <f aca="false">$J$120*G144</f>
        <v>3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390</v>
      </c>
      <c r="C145" s="131" t="s">
        <v>391</v>
      </c>
      <c r="D145" s="132" t="s">
        <v>74</v>
      </c>
      <c r="E145" s="130" t="n">
        <v>1.106</v>
      </c>
      <c r="F145" s="132" t="s">
        <v>563</v>
      </c>
      <c r="G145" s="130" t="n">
        <v>3</v>
      </c>
      <c r="H145" s="130" t="s">
        <v>389</v>
      </c>
      <c r="I145" s="133" t="n">
        <f aca="false">$J$123-92</f>
        <v>2408</v>
      </c>
      <c r="J145" s="134" t="n">
        <f aca="false">$J$120*G145</f>
        <v>3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">
        <v>531</v>
      </c>
      <c r="C146" s="131" t="s">
        <v>532</v>
      </c>
      <c r="D146" s="132" t="s">
        <v>74</v>
      </c>
      <c r="E146" s="130" t="n">
        <v>1.106</v>
      </c>
      <c r="F146" s="132" t="s">
        <v>533</v>
      </c>
      <c r="G146" s="130" t="n">
        <v>1</v>
      </c>
      <c r="H146" s="130" t="s">
        <v>389</v>
      </c>
      <c r="I146" s="133" t="n">
        <f aca="false">$J$123-92</f>
        <v>2408</v>
      </c>
      <c r="J146" s="134" t="n">
        <f aca="false">$J$120*G146</f>
        <v>1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7" s="131" t="str">
        <f aca="false">IF($D$127=5,Q133,IF($D$127=6,Q133,IF($D$127=8,Q134,IF($D$127=10,Q134,IF($D$127=12,Q134,IF($D$127=14,Q135,IF($D$127=18,Q135,IF($D$127=20,Q135,IF($D$127=22,Q135,)))))))))</f>
        <v>B24008</v>
      </c>
      <c r="E147" s="131" t="n">
        <f aca="false">IF($D$127=5,R133,IF($D$127=6,R133,IF($D$127=8,R134,IF($D$127=10,R134,IF($D$127=12,R134,IF($D$127=14,R135,IF($D$127=18,R135,IF($D$127=20,R135,IF($D$127=22,R135,)))))))))</f>
        <v>0.231</v>
      </c>
      <c r="F147" s="131" t="str">
        <f aca="false">IF($D$127=5,S133,IF($D$127=6,S133,IF($D$127=8,S134,IF($D$127=10,S134,IF($D$127=12,S134,IF($D$127=14,S135,IF($D$127=18,S135,IF($D$127=20,S135,IF($D$127=22,S135,)))))))))</f>
        <v>B24008-001</v>
      </c>
      <c r="G147" s="130" t="n">
        <f aca="false">IF($D$127=5,T133,IF($D$127=6,T133,IF($D$127=8,T134,IF($D$127=10,T134,IF($D$127=12,T134,IF($D$127=14,T135,IF($D$127=18,T135,IF($D$127=20,T135,IF($D$127=22,T135,)))))))))</f>
        <v>28</v>
      </c>
      <c r="H147" s="130" t="str">
        <f aca="false">IF($D$127=5,U133,IF($D$127=6,U133,IF($D$127=8,U134,IF($D$127=10,U134,IF($D$127=12,U134,IF($D$127=14,U135,IF($D$127=18,U135,IF($D$127=20,U135,IF($D$127=22,U135,)))))))))</f>
        <v>(W-185-(113.25 × 13))/14</v>
      </c>
      <c r="I147" s="141" t="n">
        <f aca="false">IF($D$127=5,V133,IF($D$127=6,V133,IF($D$127=8,V134,IF($D$127=10,V134,IF($D$127=12,V134,IF($D$127=14,V135,IF($D$127=18,V135,IF($D$127=20,V135,IF($D$127=22,V135,)))))))))</f>
        <v>24.4821428571429</v>
      </c>
      <c r="J147" s="134" t="n">
        <f aca="false">$J$120*G147</f>
        <v>28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8" s="131" t="str">
        <f aca="false">IF($D$127=5,Q136,IF($D$127=6,Q136,IF($D$127=8,Q137,IF($D$127=10,Q137,IF($D$127=12,Q137,IF($D$127=14,Q138,IF($D$127=18,Q138,IF($D$127=20,Q138,IF($D$127=22,Q138,)))))))))</f>
        <v>B24008</v>
      </c>
      <c r="E148" s="131" t="n">
        <f aca="false">IF($D$127=5,R136,IF($D$127=6,R136,IF($D$127=8,R137,IF($D$127=10,R137,IF($D$127=12,R137,IF($D$127=14,R138,IF($D$127=18,R138,IF($D$127=20,R138,IF($D$127=22,R138,)))))))))</f>
        <v>0.231</v>
      </c>
      <c r="F148" s="131" t="str">
        <f aca="false">IF($D$127=5,S136,IF($D$127=6,S136,IF($D$127=8,S137,IF($D$127=10,S137,IF($D$127=12,S137,IF($D$127=14,S138,IF($D$127=18,S138,IF($D$127=20,S138,IF($D$127=22,S138,)))))))))</f>
        <v>B24008-002</v>
      </c>
      <c r="G148" s="130" t="n">
        <f aca="false">IF($D$127=5,T136,IF($D$127=6,T136,IF($D$127=8,T137,IF($D$127=10,T137,IF($D$127=12,T137,IF($D$127=14,T138,IF($D$127=18,T138,IF($D$127=20,T138,IF($D$127=22,T138,)))))))))</f>
        <v>28</v>
      </c>
      <c r="H148" s="130" t="str">
        <f aca="false">IF($D$127=5,U136,IF($D$127=6,U136,IF($D$127=8,U137,IF($D$127=10,U137,IF($D$127=12,U137,IF($D$127=14,U138,IF($D$127=18,U138,IF($D$127=20,U138,IF($D$127=22,U138,)))))))))</f>
        <v>H-242</v>
      </c>
      <c r="I148" s="133" t="n">
        <f aca="false">IF($D$127=5,V136,IF($D$127=6,V136,IF($D$127=8,V137,IF($D$127=10,V137,IF($D$127=12,V137,IF($D$127=14,V138,IF($D$127=18,V138,IF($D$127=20,V138,IF($D$127=22,V138,)))))))))</f>
        <v>2258</v>
      </c>
      <c r="J148" s="134" t="n">
        <f aca="false">$J$120*G148</f>
        <v>28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535</v>
      </c>
      <c r="D149" s="132" t="s">
        <v>536</v>
      </c>
      <c r="E149" s="130"/>
      <c r="F149" s="132" t="s">
        <v>537</v>
      </c>
      <c r="G149" s="130" t="n">
        <v>1</v>
      </c>
      <c r="H149" s="130" t="s">
        <v>389</v>
      </c>
      <c r="I149" s="133" t="n">
        <f aca="false">$J$123-92</f>
        <v>2408</v>
      </c>
      <c r="J149" s="134" t="n">
        <f aca="false">$J$120*G149</f>
        <v>1</v>
      </c>
    </row>
    <row r="150" s="96" customFormat="true" ht="18" hidden="false" customHeight="true" outlineLevel="0" collapsed="false">
      <c r="A150" s="130" t="n">
        <f aca="false">IF(B150="","",+A149+1)</f>
        <v>18</v>
      </c>
      <c r="B150" s="131" t="s">
        <v>534</v>
      </c>
      <c r="C150" s="131" t="s">
        <v>535</v>
      </c>
      <c r="D150" s="132" t="s">
        <v>536</v>
      </c>
      <c r="E150" s="130"/>
      <c r="F150" s="132" t="s">
        <v>539</v>
      </c>
      <c r="G150" s="130" t="n">
        <v>1</v>
      </c>
      <c r="H150" s="130" t="s">
        <v>389</v>
      </c>
      <c r="I150" s="133" t="n">
        <f aca="false">$J$123-92</f>
        <v>2408</v>
      </c>
      <c r="J150" s="134" t="n">
        <f aca="false">$J$120*G150</f>
        <v>1</v>
      </c>
    </row>
    <row r="151" s="96" customFormat="true" ht="18" hidden="false" customHeight="true" outlineLevel="0" collapsed="false">
      <c r="A151" s="130" t="str">
        <f aca="false">IF(B151="","",+A140+1)</f>
        <v/>
      </c>
      <c r="B151" s="143"/>
      <c r="C151" s="143"/>
      <c r="D151" s="144"/>
      <c r="E151" s="145"/>
      <c r="F151" s="144"/>
      <c r="G151" s="145"/>
      <c r="H151" s="145"/>
      <c r="I151" s="146"/>
      <c r="J151" s="147" t="n">
        <f aca="false">$J$120*G151</f>
        <v>0</v>
      </c>
    </row>
    <row r="152" s="96" customFormat="true" ht="27" hidden="false" customHeight="true" outlineLevel="1" collapsed="false">
      <c r="A152" s="148" t="s">
        <v>319</v>
      </c>
      <c r="B152" s="148" t="s">
        <v>320</v>
      </c>
      <c r="C152" s="148" t="s">
        <v>168</v>
      </c>
      <c r="D152" s="148" t="s">
        <v>166</v>
      </c>
      <c r="E152" s="148" t="s">
        <v>321</v>
      </c>
      <c r="F152" s="149" t="s">
        <v>393</v>
      </c>
      <c r="G152" s="148" t="s">
        <v>394</v>
      </c>
      <c r="H152" s="150" t="s">
        <v>395</v>
      </c>
      <c r="I152" s="151"/>
      <c r="J152" s="151"/>
    </row>
    <row r="153" s="96" customFormat="true" ht="15" hidden="false" customHeight="true" outlineLevel="1" collapsed="false">
      <c r="A153" s="152" t="n">
        <f aca="false">IF(B153="","",1)</f>
        <v>1</v>
      </c>
      <c r="B153" s="153" t="str">
        <f aca="false">B133</f>
        <v>เฟรมบน</v>
      </c>
      <c r="C153" s="153" t="str">
        <f aca="false">C133</f>
        <v>HEAD</v>
      </c>
      <c r="D153" s="154" t="str">
        <f aca="false">VLOOKUP(C153,$C$133:$H$151,2,0)</f>
        <v>B24001</v>
      </c>
      <c r="E153" s="155" t="n">
        <f aca="false">VLOOKUP(C153,$C$133:$H$151,3,0)</f>
        <v>1.603</v>
      </c>
      <c r="F153" s="263" t="n">
        <f aca="false">VLOOKUP(C153,$C$133:$J$151,7,0)</f>
        <v>1940</v>
      </c>
      <c r="G153" s="155" t="n">
        <f aca="false">VLOOKUP(C153,$C$133:$J$151,8,0)</f>
        <v>1</v>
      </c>
      <c r="H153" s="264" t="n">
        <f aca="false">ROUNDUP((F153*G153)/6400,0)</f>
        <v>1</v>
      </c>
      <c r="I153" s="265"/>
      <c r="J153" s="265"/>
    </row>
    <row r="154" s="96" customFormat="true" ht="15" hidden="false" customHeight="true" outlineLevel="1" collapsed="false">
      <c r="A154" s="158" t="n">
        <f aca="false">IF(B154="","",+A153+1)</f>
        <v>2</v>
      </c>
      <c r="B154" s="153" t="str">
        <f aca="false">B134</f>
        <v>บังใบบน</v>
      </c>
      <c r="C154" s="153" t="str">
        <f aca="false">C134</f>
        <v>DOOR STOP HEAD</v>
      </c>
      <c r="D154" s="154" t="str">
        <f aca="false">VLOOKUP(C154,$C$133:$H$151,2,0)</f>
        <v>B24002</v>
      </c>
      <c r="E154" s="155" t="n">
        <f aca="false">VLOOKUP(C154,$C$133:$H$151,3,0)</f>
        <v>0.278</v>
      </c>
      <c r="F154" s="263" t="n">
        <f aca="false">VLOOKUP(C154,$C$133:$I$151,7,0)</f>
        <v>1914</v>
      </c>
      <c r="G154" s="155" t="n">
        <f aca="false">VLOOKUP(C154,$C$133:$J$151,8,0)</f>
        <v>1</v>
      </c>
      <c r="H154" s="266" t="n">
        <f aca="false">ROUNDUP((F154*G154)/6400,0)</f>
        <v>1</v>
      </c>
      <c r="I154" s="265"/>
      <c r="J154" s="265"/>
    </row>
    <row r="155" s="96" customFormat="true" ht="15" hidden="false" customHeight="true" outlineLevel="1" collapsed="false">
      <c r="A155" s="158" t="n">
        <f aca="false">IF(B155="","",+A154+1)</f>
        <v>3</v>
      </c>
      <c r="B155" s="153" t="str">
        <f aca="false">B135</f>
        <v>เฟรมล่าง </v>
      </c>
      <c r="C155" s="153" t="str">
        <f aca="false">C135</f>
        <v>SILL</v>
      </c>
      <c r="D155" s="154" t="str">
        <f aca="false">VLOOKUP(C155,$C$133:$H$151,2,0)</f>
        <v>B24003</v>
      </c>
      <c r="E155" s="155" t="n">
        <f aca="false">VLOOKUP(C155,$C$133:$H$151,3,0)</f>
        <v>1.603</v>
      </c>
      <c r="F155" s="263" t="n">
        <f aca="false">VLOOKUP(C155,$C$133:$I$151,7,0)</f>
        <v>1940</v>
      </c>
      <c r="G155" s="155" t="n">
        <f aca="false">VLOOKUP(C155,$C$133:$J$151,8,0)</f>
        <v>1</v>
      </c>
      <c r="H155" s="266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4</v>
      </c>
      <c r="B156" s="153" t="str">
        <f aca="false">B136</f>
        <v>ตัวตับธรณี</v>
      </c>
      <c r="C156" s="153" t="str">
        <f aca="false">C136</f>
        <v>DOOR STOP SILL</v>
      </c>
      <c r="D156" s="154" t="str">
        <f aca="false">VLOOKUP(C156,$C$133:$H$151,2,0)</f>
        <v>B24004</v>
      </c>
      <c r="E156" s="155" t="n">
        <f aca="false">VLOOKUP(C156,$C$133:$H$151,3,0)</f>
        <v>0.516</v>
      </c>
      <c r="F156" s="263" t="n">
        <f aca="false">VLOOKUP(C156,$C$133:$I$151,7,0)</f>
        <v>1940</v>
      </c>
      <c r="G156" s="155" t="n">
        <f aca="false">VLOOKUP(C156,$C$133:$J$151,8,0)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5</v>
      </c>
      <c r="B157" s="153" t="str">
        <f aca="false">B137</f>
        <v>เฟรมข้าง (ซ้าย)</v>
      </c>
      <c r="C157" s="153" t="str">
        <f aca="false">C137</f>
        <v>JAMB (L)</v>
      </c>
      <c r="D157" s="159" t="str">
        <f aca="false">VLOOKUP(C157,$C$133:$H$151,2,0)</f>
        <v>B24005</v>
      </c>
      <c r="E157" s="155" t="n">
        <f aca="false">VLOOKUP(C157,$C$133:$H$151,3,0)</f>
        <v>0.893</v>
      </c>
      <c r="F157" s="263" t="n">
        <f aca="false">VLOOKUP(C157,$C$133:$I$151,7,0)</f>
        <v>2500</v>
      </c>
      <c r="G157" s="155" t="n">
        <f aca="false">VLOOKUP(C157,$C$133:$J$151,8,0)</f>
        <v>1</v>
      </c>
      <c r="H157" s="160" t="n">
        <f aca="false">ROUNDUP(((F157*G157)+(F158*G158))/6400,0)</f>
        <v>1</v>
      </c>
      <c r="I157" s="161"/>
      <c r="J157" s="161"/>
    </row>
    <row r="158" s="96" customFormat="true" ht="15" hidden="false" customHeight="true" outlineLevel="1" collapsed="false">
      <c r="A158" s="158" t="n">
        <f aca="false">IF(B158="","",+A157+1)</f>
        <v>6</v>
      </c>
      <c r="B158" s="153" t="str">
        <f aca="false">B138</f>
        <v>เฟรมข้าง (ขวา)</v>
      </c>
      <c r="C158" s="153" t="str">
        <f aca="false">C138</f>
        <v>JAMB (R)</v>
      </c>
      <c r="D158" s="159"/>
      <c r="E158" s="155" t="n">
        <f aca="false">VLOOKUP(C158,$C$133:$H$151,3,0)</f>
        <v>0.893</v>
      </c>
      <c r="F158" s="263" t="n">
        <f aca="false">VLOOKUP(C158,$C$133:$I$151,7,0)</f>
        <v>2500</v>
      </c>
      <c r="G158" s="155" t="n">
        <f aca="false">VLOOKUP(C158,$C$133:$J$151,8,0)</f>
        <v>1</v>
      </c>
      <c r="H158" s="160"/>
      <c r="I158" s="161"/>
      <c r="J158" s="161"/>
    </row>
    <row r="159" s="96" customFormat="true" ht="15" hidden="false" customHeight="true" outlineLevel="1" collapsed="false">
      <c r="A159" s="158" t="n">
        <f aca="false">IF(B159="","",+A158+1)</f>
        <v>7</v>
      </c>
      <c r="B159" s="153" t="str">
        <f aca="false">B139</f>
        <v>บังใบข้าง (ซ้าย)</v>
      </c>
      <c r="C159" s="153" t="str">
        <f aca="false">C139</f>
        <v>DOOR STOP JAMB (L)</v>
      </c>
      <c r="D159" s="159" t="str">
        <f aca="false">VLOOKUP(C159,$C$133:$H$151,2,0)</f>
        <v>B24006</v>
      </c>
      <c r="E159" s="155" t="n">
        <f aca="false">VLOOKUP(C159,$C$133:$H$151,3,0)</f>
        <v>0.235</v>
      </c>
      <c r="F159" s="263" t="n">
        <f aca="false">VLOOKUP(C159,$C$133:$I$151,7,0)</f>
        <v>2404</v>
      </c>
      <c r="G159" s="155" t="n">
        <f aca="false">VLOOKUP(C159,$C$133:$J$151,8,0)</f>
        <v>1</v>
      </c>
      <c r="H159" s="160" t="n">
        <f aca="false">ROUNDUP(((F159*G159)+(F160*G160))/6400,0)</f>
        <v>1</v>
      </c>
      <c r="I159" s="265"/>
      <c r="J159" s="265"/>
    </row>
    <row r="160" s="96" customFormat="true" ht="15" hidden="false" customHeight="true" outlineLevel="1" collapsed="false">
      <c r="A160" s="158" t="n">
        <f aca="false">IF(B160="","",+A159+1)</f>
        <v>8</v>
      </c>
      <c r="B160" s="153" t="str">
        <f aca="false">B140</f>
        <v>บังใบข้าง (ขวา)</v>
      </c>
      <c r="C160" s="153" t="str">
        <f aca="false">C140</f>
        <v>DOOR STOP JAMB (R)</v>
      </c>
      <c r="D160" s="159"/>
      <c r="E160" s="155" t="n">
        <f aca="false">VLOOKUP(C160,$C$133:$H$151,3,0)</f>
        <v>0.235</v>
      </c>
      <c r="F160" s="263" t="n">
        <f aca="false">VLOOKUP(C160,$C$133:$I$151,7,0)</f>
        <v>2404</v>
      </c>
      <c r="G160" s="155" t="n">
        <f aca="false">VLOOKUP(C160,$C$133:$J$151,8,0)</f>
        <v>1</v>
      </c>
      <c r="H160" s="160"/>
      <c r="I160" s="161"/>
      <c r="J160" s="161"/>
    </row>
    <row r="161" s="96" customFormat="true" ht="13.5" hidden="false" customHeight="true" outlineLevel="1" collapsed="false">
      <c r="A161" s="158" t="n">
        <f aca="false">IF(B161="","",+A160+1)</f>
        <v>9</v>
      </c>
      <c r="B161" s="153" t="str">
        <f aca="false">B141</f>
        <v>ขวางบน</v>
      </c>
      <c r="C161" s="153" t="str">
        <f aca="false">C141</f>
        <v>SASH (Hor) (T)</v>
      </c>
      <c r="D161" s="159" t="str">
        <f aca="false">VLOOKUP(C161,$C$133:$H$151,2,0)</f>
        <v>B24007</v>
      </c>
      <c r="E161" s="155" t="n">
        <f aca="false">VLOOKUP(C161,$C$133:$H$151,3,0)</f>
        <v>1.106</v>
      </c>
      <c r="F161" s="267" t="n">
        <f aca="false">VLOOKUP(C161,$C$133:$I$151,7,0)</f>
        <v>129.714285714286</v>
      </c>
      <c r="G161" s="155" t="n">
        <f aca="false">VLOOKUP(C161,$C$133:$J$151,8,0)</f>
        <v>14</v>
      </c>
      <c r="H161" s="160" t="n">
        <f aca="false">ROUNDUP(((F161*G161)+(F162*G162)+(F163*G163)+(F164*G164)+(F165*G165)+(F166*G166))/6400,0)</f>
        <v>12</v>
      </c>
      <c r="I161" s="161"/>
      <c r="J161" s="161"/>
    </row>
    <row r="162" s="96" customFormat="true" ht="13.5" hidden="false" customHeight="true" outlineLevel="1" collapsed="false">
      <c r="A162" s="158" t="n">
        <f aca="false">IF(B162="","",+A161+1)</f>
        <v>10</v>
      </c>
      <c r="B162" s="153" t="str">
        <f aca="false">B142</f>
        <v>ขวางล่าง</v>
      </c>
      <c r="C162" s="153" t="str">
        <f aca="false">C142</f>
        <v>SASH (Hor) (B)</v>
      </c>
      <c r="D162" s="159"/>
      <c r="E162" s="155" t="n">
        <f aca="false">VLOOKUP(C162,$C$133:$H$151,3,0)</f>
        <v>1.106</v>
      </c>
      <c r="F162" s="267" t="n">
        <f aca="false">VLOOKUP(C162,$C$133:$I$151,7,0)</f>
        <v>129.714285714286</v>
      </c>
      <c r="G162" s="155" t="n">
        <f aca="false">VLOOKUP(C162,$C$133:$J$151,8,0)</f>
        <v>14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11</v>
      </c>
      <c r="B163" s="153" t="str">
        <f aca="false">B143</f>
        <v>เสา</v>
      </c>
      <c r="C163" s="153" t="str">
        <f aca="false">C143</f>
        <v>SASH (Ver) </v>
      </c>
      <c r="D163" s="159"/>
      <c r="E163" s="155" t="n">
        <f aca="false">VLOOKUP(C163,$C$133:$H$151,3,0)</f>
        <v>1.106</v>
      </c>
      <c r="F163" s="263" t="n">
        <f aca="false">VLOOKUP(C163,$C$133:$I$151,7,0)</f>
        <v>2408</v>
      </c>
      <c r="G163" s="155" t="n">
        <f aca="false">VLOOKUP(C163,$C$133:$J$151,8,0)</f>
        <v>21</v>
      </c>
      <c r="H163" s="160"/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12</v>
      </c>
      <c r="B164" s="153" t="str">
        <f aca="false">B144</f>
        <v>เสากุญแจ</v>
      </c>
      <c r="C164" s="153" t="str">
        <f aca="false">C144</f>
        <v>SASH (Ver) LOCK </v>
      </c>
      <c r="D164" s="159"/>
      <c r="E164" s="155" t="n">
        <f aca="false">VLOOKUP(C164,$C$133:$H$151,3,0)</f>
        <v>1.106</v>
      </c>
      <c r="F164" s="263" t="n">
        <f aca="false">VLOOKUP(C164,$C$133:$I$151,7,0)</f>
        <v>2408</v>
      </c>
      <c r="G164" s="155" t="n">
        <f aca="false">VLOOKUP(C164,$C$133:$J$151,8,0)</f>
        <v>3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13</v>
      </c>
      <c r="B165" s="153" t="str">
        <f aca="false">B145</f>
        <v>เสากุญแจ</v>
      </c>
      <c r="C165" s="153" t="str">
        <f aca="false">C145</f>
        <v>SASH (Ver) LOCK </v>
      </c>
      <c r="D165" s="159"/>
      <c r="E165" s="155" t="n">
        <f aca="false">VLOOKUP(C165,$C$133:$H$151,3,0)</f>
        <v>1.106</v>
      </c>
      <c r="F165" s="263" t="n">
        <f aca="false">VLOOKUP(C165,$C$133:$I$151,7,0)</f>
        <v>2408</v>
      </c>
      <c r="G165" s="155" t="n">
        <f aca="false">VLOOKUP(C165,$C$133:$J$151,8,0)</f>
        <v>3</v>
      </c>
      <c r="H165" s="160"/>
      <c r="I165" s="161"/>
      <c r="J165" s="161"/>
    </row>
    <row r="166" s="96" customFormat="true" ht="15" hidden="false" customHeight="true" outlineLevel="1" collapsed="false">
      <c r="A166" s="158" t="n">
        <f aca="false">IF(B166="","",+A165+1)</f>
        <v>14</v>
      </c>
      <c r="B166" s="153" t="str">
        <f aca="false">B146</f>
        <v>เสากุญแจมือจับ</v>
      </c>
      <c r="C166" s="153" t="str">
        <f aca="false">C146</f>
        <v>SASH (Ver) LOCK HANDLE</v>
      </c>
      <c r="D166" s="159"/>
      <c r="E166" s="155" t="n">
        <f aca="false">VLOOKUP(C166,$C$133:$H$151,3,0)</f>
        <v>1.106</v>
      </c>
      <c r="F166" s="263" t="n">
        <f aca="false">VLOOKUP(C166,$C$133:$I$151,7,0)</f>
        <v>2408</v>
      </c>
      <c r="G166" s="155" t="n">
        <f aca="false">VLOOKUP(C166,$C$133:$J$151,8,0)</f>
        <v>1</v>
      </c>
      <c r="H166" s="160"/>
      <c r="I166" s="265"/>
      <c r="J166" s="265"/>
    </row>
    <row r="167" s="96" customFormat="true" ht="15" hidden="false" customHeight="true" outlineLevel="1" collapsed="false">
      <c r="A167" s="158" t="n">
        <f aca="false">IF(B167="","",+A166+1)</f>
        <v>15</v>
      </c>
      <c r="B167" s="153" t="str">
        <f aca="false">B147</f>
        <v>5-6mm คิ้วตบกระจกแนวนอน</v>
      </c>
      <c r="C167" s="153" t="str">
        <f aca="false">C147</f>
        <v>5-6mm GLAZING BEAD HORIZONTAL</v>
      </c>
      <c r="D167" s="159" t="str">
        <f aca="false">VLOOKUP(C167,$C$133:$H$151,2,0)</f>
        <v>B24008</v>
      </c>
      <c r="E167" s="155" t="n">
        <f aca="false">VLOOKUP(C167,$C$133:$H$151,3,0)</f>
        <v>0.231</v>
      </c>
      <c r="F167" s="267" t="n">
        <f aca="false">VLOOKUP(C167,$C$133:$I$151,7,0)</f>
        <v>24.4821428571429</v>
      </c>
      <c r="G167" s="155" t="n">
        <f aca="false">VLOOKUP(C167,$C$133:$J$151,8,0)</f>
        <v>28</v>
      </c>
      <c r="H167" s="160" t="n">
        <f aca="false">ROUNDUP(((F167*G167)+(F168*G168))/6400,0)</f>
        <v>10</v>
      </c>
      <c r="I167" s="196"/>
      <c r="J167" s="196"/>
    </row>
    <row r="168" s="96" customFormat="true" ht="15" hidden="false" customHeight="true" outlineLevel="1" collapsed="false">
      <c r="A168" s="158" t="n">
        <f aca="false">IF(B168="","",+A167+1)</f>
        <v>16</v>
      </c>
      <c r="B168" s="153" t="str">
        <f aca="false">B148</f>
        <v>5-6mm คิ้วตบกระจกแนวตั้ง</v>
      </c>
      <c r="C168" s="153" t="str">
        <f aca="false">C148</f>
        <v>5-6mm GLAZING BEAD VERTICAL</v>
      </c>
      <c r="D168" s="159"/>
      <c r="E168" s="155" t="n">
        <f aca="false">VLOOKUP(C168,$C$133:$H$151,3,0)</f>
        <v>0.231</v>
      </c>
      <c r="F168" s="263" t="n">
        <f aca="false">VLOOKUP(C168,$C$133:$I$151,7,0)</f>
        <v>2258</v>
      </c>
      <c r="G168" s="155" t="n">
        <f aca="false">VLOOKUP(C168,$C$133:$J$151,8,0)</f>
        <v>28</v>
      </c>
      <c r="H168" s="160"/>
      <c r="I168" s="196"/>
      <c r="J168" s="196"/>
    </row>
    <row r="169" s="96" customFormat="true" ht="13.5" hidden="false" customHeight="true" outlineLevel="1" collapsed="false">
      <c r="A169" s="158" t="n">
        <f aca="false">IF(B169="","",+A168+1)</f>
        <v>17</v>
      </c>
      <c r="B169" s="153" t="str">
        <f aca="false">B149</f>
        <v>บังใบ</v>
      </c>
      <c r="C169" s="153" t="str">
        <f aca="false">C149</f>
        <v>SASH STOP</v>
      </c>
      <c r="D169" s="163" t="str">
        <f aca="false">VLOOKUP(C169,$C$133:$H$151,2,0)</f>
        <v>B24009</v>
      </c>
      <c r="E169" s="155" t="n">
        <f aca="false">VLOOKUP(C169,$C$133:$H$151,3,0)</f>
        <v>0</v>
      </c>
      <c r="F169" s="263" t="n">
        <f aca="false">VLOOKUP(C169,$C$133:$I$151,7,0)</f>
        <v>2408</v>
      </c>
      <c r="G169" s="155" t="n">
        <f aca="false">VLOOKUP(C169,$C$133:$J$151,8,0)</f>
        <v>1</v>
      </c>
      <c r="H169" s="160" t="n">
        <f aca="false">ROUNDUP(((F169*G169)+(F170*G170))/6400,0)</f>
        <v>1</v>
      </c>
      <c r="I169" s="196"/>
      <c r="J169" s="196"/>
    </row>
    <row r="170" s="202" customFormat="true" ht="15" hidden="false" customHeight="true" outlineLevel="1" collapsed="false">
      <c r="A170" s="158" t="n">
        <f aca="false">IF(B170="","",+A169+1)</f>
        <v>18</v>
      </c>
      <c r="B170" s="153" t="str">
        <f aca="false">B150</f>
        <v>บังใบ</v>
      </c>
      <c r="C170" s="153" t="str">
        <f aca="false">C150</f>
        <v>SASH STOP</v>
      </c>
      <c r="D170" s="163"/>
      <c r="E170" s="155" t="n">
        <f aca="false">VLOOKUP(C170,$C$133:$H$151,3,0)</f>
        <v>0</v>
      </c>
      <c r="F170" s="263" t="n">
        <f aca="false">VLOOKUP(C170,$C$133:$I$151,7,0)</f>
        <v>2408</v>
      </c>
      <c r="G170" s="155" t="n">
        <f aca="false">VLOOKUP(C170,$C$133:$J$151,8,0)</f>
        <v>1</v>
      </c>
      <c r="H170" s="160"/>
      <c r="I170" s="157"/>
      <c r="J170" s="157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Z170" s="96"/>
      <c r="AA170" s="96"/>
      <c r="AB170" s="96"/>
      <c r="AC170" s="96"/>
      <c r="AD170" s="96"/>
      <c r="AE170" s="96"/>
      <c r="AF170" s="96"/>
      <c r="AG170" s="96"/>
      <c r="AH170" s="96"/>
      <c r="AI170" s="96"/>
      <c r="AJ170" s="96"/>
    </row>
    <row r="171" s="96" customFormat="true" ht="24.75" hidden="false" customHeight="true" outlineLevel="0" collapsed="false">
      <c r="A171" s="113" t="s">
        <v>396</v>
      </c>
      <c r="B171" s="113"/>
      <c r="C171" s="113"/>
      <c r="D171" s="113"/>
      <c r="E171" s="113"/>
      <c r="F171" s="113"/>
      <c r="G171" s="113"/>
      <c r="H171" s="113"/>
      <c r="I171" s="113"/>
      <c r="J171" s="113"/>
    </row>
    <row r="172" s="96" customFormat="true" ht="34.5" hidden="false" customHeight="true" outlineLevel="0" collapsed="false">
      <c r="A172" s="114" t="s">
        <v>319</v>
      </c>
      <c r="B172" s="115" t="s">
        <v>320</v>
      </c>
      <c r="C172" s="115" t="s">
        <v>168</v>
      </c>
      <c r="D172" s="115" t="s">
        <v>397</v>
      </c>
      <c r="E172" s="115" t="s">
        <v>321</v>
      </c>
      <c r="F172" s="116" t="s">
        <v>398</v>
      </c>
      <c r="G172" s="115" t="s">
        <v>399</v>
      </c>
      <c r="H172" s="116" t="s">
        <v>400</v>
      </c>
      <c r="I172" s="116" t="s">
        <v>401</v>
      </c>
      <c r="J172" s="117" t="s">
        <v>402</v>
      </c>
      <c r="N172" s="107" t="s">
        <v>288</v>
      </c>
      <c r="O172" s="165" t="s">
        <v>320</v>
      </c>
      <c r="P172" s="165" t="s">
        <v>168</v>
      </c>
      <c r="Q172" s="165" t="s">
        <v>397</v>
      </c>
      <c r="R172" s="165" t="s">
        <v>321</v>
      </c>
      <c r="S172" s="165" t="s">
        <v>398</v>
      </c>
      <c r="T172" s="165" t="s">
        <v>399</v>
      </c>
      <c r="U172" s="165" t="s">
        <v>400</v>
      </c>
      <c r="V172" s="165" t="s">
        <v>401</v>
      </c>
      <c r="W172" s="165" t="s">
        <v>402</v>
      </c>
    </row>
    <row r="173" s="96" customFormat="true" ht="18" hidden="false" customHeight="true" outlineLevel="0" collapsed="false">
      <c r="A173" s="166" t="n">
        <f aca="false">IF(B173="","",1)</f>
        <v>1</v>
      </c>
      <c r="B173" s="131" t="s">
        <v>410</v>
      </c>
      <c r="C173" s="131" t="s">
        <v>411</v>
      </c>
      <c r="D173" s="132" t="s">
        <v>267</v>
      </c>
      <c r="E173" s="130"/>
      <c r="F173" s="130" t="s">
        <v>267</v>
      </c>
      <c r="G173" s="130" t="s">
        <v>405</v>
      </c>
      <c r="H173" s="130" t="n">
        <v>26</v>
      </c>
      <c r="I173" s="133"/>
      <c r="J173" s="134" t="n">
        <f aca="false">$J$120*H173</f>
        <v>26</v>
      </c>
      <c r="N173" s="107" t="s">
        <v>406</v>
      </c>
      <c r="O173" s="55" t="s">
        <v>407</v>
      </c>
      <c r="P173" s="62" t="s">
        <v>408</v>
      </c>
      <c r="Q173" s="55" t="s">
        <v>227</v>
      </c>
      <c r="R173" s="158"/>
      <c r="S173" s="158" t="s">
        <v>227</v>
      </c>
      <c r="T173" s="158" t="s">
        <v>409</v>
      </c>
      <c r="U173" s="168" t="n">
        <f aca="false">((($I$141*$G$141)+($I$142*$G$142)+($I$143*$G$143)+($I$144*$G$144)+($I$145*$G$145)+($I$146*$G$146))/1000)*$J$120</f>
        <v>71.056</v>
      </c>
      <c r="V173" s="168" t="n">
        <v>100</v>
      </c>
      <c r="W173" s="169" t="n">
        <f aca="false">ROUNDUP((U173)/100,0)</f>
        <v>1</v>
      </c>
    </row>
    <row r="174" s="96" customFormat="true" ht="18" hidden="false" customHeight="true" outlineLevel="0" collapsed="false">
      <c r="A174" s="170" t="n">
        <f aca="false">IF(B174="","",+A173+1)</f>
        <v>2</v>
      </c>
      <c r="B174" s="131" t="s">
        <v>415</v>
      </c>
      <c r="C174" s="131" t="s">
        <v>416</v>
      </c>
      <c r="D174" s="132" t="s">
        <v>222</v>
      </c>
      <c r="E174" s="130"/>
      <c r="F174" s="130" t="s">
        <v>222</v>
      </c>
      <c r="G174" s="130" t="s">
        <v>405</v>
      </c>
      <c r="H174" s="130" t="n">
        <v>2</v>
      </c>
      <c r="I174" s="133"/>
      <c r="J174" s="134" t="n">
        <f aca="false">$J$120*H174</f>
        <v>2</v>
      </c>
      <c r="N174" s="107" t="s">
        <v>412</v>
      </c>
      <c r="O174" s="55" t="s">
        <v>413</v>
      </c>
      <c r="P174" s="62" t="s">
        <v>414</v>
      </c>
      <c r="Q174" s="55" t="s">
        <v>234</v>
      </c>
      <c r="R174" s="158"/>
      <c r="S174" s="158" t="s">
        <v>234</v>
      </c>
      <c r="T174" s="158" t="s">
        <v>409</v>
      </c>
      <c r="U174" s="168" t="n">
        <f aca="false">((($I$141*$G$141)+($I$142*$G$142)+($I$143*$G$143)+($I$144*$G$144)+($I$145*$G$145)+($I$146*$G$146))/1000)*$J$120</f>
        <v>71.056</v>
      </c>
      <c r="V174" s="168" t="n">
        <v>100</v>
      </c>
      <c r="W174" s="169" t="n">
        <f aca="false">ROUNDUP((U174)/100,0)</f>
        <v>1</v>
      </c>
    </row>
    <row r="175" s="96" customFormat="true" ht="18" hidden="false" customHeight="true" outlineLevel="0" collapsed="false">
      <c r="A175" s="170" t="n">
        <f aca="false">IF(B175="","",+A174+1)</f>
        <v>3</v>
      </c>
      <c r="B175" s="131" t="s">
        <v>420</v>
      </c>
      <c r="C175" s="131" t="s">
        <v>421</v>
      </c>
      <c r="D175" s="132" t="s">
        <v>225</v>
      </c>
      <c r="E175" s="130"/>
      <c r="F175" s="130" t="s">
        <v>225</v>
      </c>
      <c r="G175" s="130" t="s">
        <v>405</v>
      </c>
      <c r="H175" s="130" t="n">
        <v>2</v>
      </c>
      <c r="I175" s="133"/>
      <c r="J175" s="134" t="n">
        <f aca="false">$J$120*H175</f>
        <v>2</v>
      </c>
      <c r="N175" s="107" t="s">
        <v>417</v>
      </c>
      <c r="O175" s="62" t="s">
        <v>418</v>
      </c>
      <c r="P175" s="62" t="s">
        <v>419</v>
      </c>
      <c r="Q175" s="55" t="s">
        <v>236</v>
      </c>
      <c r="R175" s="158"/>
      <c r="S175" s="158" t="s">
        <v>236</v>
      </c>
      <c r="T175" s="158" t="s">
        <v>409</v>
      </c>
      <c r="U175" s="168" t="n">
        <f aca="false">((($I$141*$G$141)+($I$142*$G$142)+($I$143*$G$143)+($I$144*$G$144)+($I$145*$G$145)+($I$146*$G$146))/1000)*$J$120</f>
        <v>71.056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4</v>
      </c>
      <c r="B176" s="131" t="s">
        <v>425</v>
      </c>
      <c r="C176" s="131" t="s">
        <v>426</v>
      </c>
      <c r="D176" s="132" t="n">
        <v>9</v>
      </c>
      <c r="E176" s="130"/>
      <c r="F176" s="130" t="n">
        <v>9</v>
      </c>
      <c r="G176" s="130" t="s">
        <v>405</v>
      </c>
      <c r="H176" s="130" t="n">
        <v>8</v>
      </c>
      <c r="I176" s="133"/>
      <c r="J176" s="134" t="n">
        <f aca="false">$J$120*H176</f>
        <v>8</v>
      </c>
      <c r="N176" s="107" t="s">
        <v>422</v>
      </c>
      <c r="O176" s="62" t="s">
        <v>423</v>
      </c>
      <c r="P176" s="62" t="s">
        <v>424</v>
      </c>
      <c r="Q176" s="55" t="s">
        <v>238</v>
      </c>
      <c r="R176" s="158"/>
      <c r="S176" s="158" t="s">
        <v>238</v>
      </c>
      <c r="T176" s="158" t="s">
        <v>409</v>
      </c>
      <c r="U176" s="168" t="n">
        <f aca="false">((($I$141*$G$141)+($I$142*$G$142)+($I$143*$G$143)+($I$144*$G$144)+($I$145*$G$145)+($I$146*$G$146))/1000)*$J$120</f>
        <v>71.056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5</v>
      </c>
      <c r="B177" s="131" t="s">
        <v>430</v>
      </c>
      <c r="C177" s="131" t="s">
        <v>431</v>
      </c>
      <c r="D177" s="132" t="n">
        <v>9</v>
      </c>
      <c r="E177" s="130"/>
      <c r="F177" s="130" t="n">
        <v>9</v>
      </c>
      <c r="G177" s="130" t="s">
        <v>405</v>
      </c>
      <c r="H177" s="130" t="n">
        <v>110</v>
      </c>
      <c r="I177" s="133"/>
      <c r="J177" s="134" t="n">
        <f aca="false">$J$120*H177</f>
        <v>110</v>
      </c>
      <c r="N177" s="107" t="s">
        <v>427</v>
      </c>
      <c r="O177" s="62" t="s">
        <v>428</v>
      </c>
      <c r="P177" s="62" t="s">
        <v>429</v>
      </c>
      <c r="Q177" s="55" t="s">
        <v>240</v>
      </c>
      <c r="R177" s="158"/>
      <c r="S177" s="158" t="s">
        <v>240</v>
      </c>
      <c r="T177" s="158" t="s">
        <v>409</v>
      </c>
      <c r="U177" s="168" t="n">
        <f aca="false">((($I$141*$G$141)+($I$142*$G$142)+($I$143*$G$143)+($I$144*$G$144)+($I$145*$G$145)+($I$146*$G$146))/1000)*$J$120</f>
        <v>71.056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6</v>
      </c>
      <c r="B178" s="131" t="s">
        <v>603</v>
      </c>
      <c r="C178" s="131" t="s">
        <v>438</v>
      </c>
      <c r="D178" s="132" t="s">
        <v>4</v>
      </c>
      <c r="E178" s="130"/>
      <c r="F178" s="130" t="s">
        <v>4</v>
      </c>
      <c r="G178" s="130" t="s">
        <v>434</v>
      </c>
      <c r="H178" s="130" t="n">
        <v>4</v>
      </c>
      <c r="I178" s="133"/>
      <c r="J178" s="134" t="n">
        <f aca="false">$J$120*H178</f>
        <v>4</v>
      </c>
    </row>
    <row r="179" s="96" customFormat="true" ht="18" hidden="false" customHeight="true" outlineLevel="0" collapsed="false">
      <c r="A179" s="170" t="n">
        <f aca="false">IF(B179="","",+A178+1)</f>
        <v>7</v>
      </c>
      <c r="B179" s="131" t="s">
        <v>556</v>
      </c>
      <c r="C179" s="131" t="s">
        <v>557</v>
      </c>
      <c r="D179" s="132" t="s">
        <v>5</v>
      </c>
      <c r="E179" s="130"/>
      <c r="F179" s="130" t="s">
        <v>5</v>
      </c>
      <c r="G179" s="130" t="s">
        <v>434</v>
      </c>
      <c r="H179" s="130" t="n">
        <v>2</v>
      </c>
      <c r="I179" s="133"/>
      <c r="J179" s="134" t="n">
        <f aca="false">$J$120*H179</f>
        <v>2</v>
      </c>
    </row>
    <row r="180" s="96" customFormat="true" ht="18" hidden="false" customHeight="true" outlineLevel="0" collapsed="false">
      <c r="A180" s="170" t="n">
        <f aca="false">IF(B180="","",+A179+1)</f>
        <v>8</v>
      </c>
      <c r="B180" s="131" t="s">
        <v>432</v>
      </c>
      <c r="C180" s="131" t="s">
        <v>433</v>
      </c>
      <c r="D180" s="132" t="s">
        <v>6</v>
      </c>
      <c r="E180" s="130"/>
      <c r="F180" s="130" t="s">
        <v>6</v>
      </c>
      <c r="G180" s="130" t="s">
        <v>434</v>
      </c>
      <c r="H180" s="130" t="n">
        <v>1</v>
      </c>
      <c r="I180" s="133"/>
      <c r="J180" s="134" t="n">
        <f aca="false">$J$120*H180</f>
        <v>1</v>
      </c>
    </row>
    <row r="181" s="96" customFormat="true" ht="18" hidden="false" customHeight="true" outlineLevel="0" collapsed="false">
      <c r="A181" s="170" t="n">
        <f aca="false">IF(B181="","",+A180+1)</f>
        <v>9</v>
      </c>
      <c r="B181" s="131" t="s">
        <v>512</v>
      </c>
      <c r="C181" s="131" t="s">
        <v>513</v>
      </c>
      <c r="D181" s="132" t="s">
        <v>7</v>
      </c>
      <c r="E181" s="130"/>
      <c r="F181" s="130" t="s">
        <v>7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10</v>
      </c>
      <c r="B182" s="131" t="s">
        <v>554</v>
      </c>
      <c r="C182" s="131" t="s">
        <v>555</v>
      </c>
      <c r="D182" s="132" t="s">
        <v>11</v>
      </c>
      <c r="E182" s="130"/>
      <c r="F182" s="130" t="s">
        <v>11</v>
      </c>
      <c r="G182" s="130" t="s">
        <v>434</v>
      </c>
      <c r="H182" s="130" t="n">
        <v>6</v>
      </c>
      <c r="I182" s="133"/>
      <c r="J182" s="134" t="n">
        <f aca="false">$J$120*H182</f>
        <v>6</v>
      </c>
      <c r="Q182" s="172"/>
      <c r="R182" s="172"/>
      <c r="S182" s="172"/>
      <c r="T182" s="97"/>
      <c r="U182" s="97"/>
      <c r="V182" s="97"/>
    </row>
    <row r="183" s="96" customFormat="true" ht="18" hidden="false" customHeight="true" outlineLevel="0" collapsed="false">
      <c r="A183" s="170" t="n">
        <f aca="false">IF(B183="","",+A182+1)</f>
        <v>11</v>
      </c>
      <c r="B183" s="131" t="s">
        <v>439</v>
      </c>
      <c r="C183" s="131" t="s">
        <v>440</v>
      </c>
      <c r="D183" s="132" t="s">
        <v>12</v>
      </c>
      <c r="E183" s="130"/>
      <c r="F183" s="130" t="s">
        <v>12</v>
      </c>
      <c r="G183" s="130" t="s">
        <v>434</v>
      </c>
      <c r="H183" s="130" t="n">
        <v>6</v>
      </c>
      <c r="I183" s="142"/>
      <c r="J183" s="134" t="n">
        <f aca="false">$J$120*H183</f>
        <v>6</v>
      </c>
      <c r="N183" s="107" t="s">
        <v>289</v>
      </c>
      <c r="O183" s="165" t="s">
        <v>320</v>
      </c>
      <c r="P183" s="165" t="s">
        <v>168</v>
      </c>
      <c r="Q183" s="165" t="s">
        <v>397</v>
      </c>
      <c r="R183" s="165" t="s">
        <v>321</v>
      </c>
      <c r="S183" s="165" t="s">
        <v>398</v>
      </c>
      <c r="T183" s="165" t="s">
        <v>399</v>
      </c>
      <c r="U183" s="165" t="s">
        <v>400</v>
      </c>
      <c r="V183" s="165" t="s">
        <v>401</v>
      </c>
      <c r="W183" s="165" t="s">
        <v>402</v>
      </c>
    </row>
    <row r="184" s="96" customFormat="true" ht="18" hidden="false" customHeight="true" outlineLevel="0" collapsed="false">
      <c r="A184" s="170" t="n">
        <f aca="false">IF(B184="","",+A183+1)</f>
        <v>12</v>
      </c>
      <c r="B184" s="131" t="s">
        <v>540</v>
      </c>
      <c r="C184" s="131" t="s">
        <v>541</v>
      </c>
      <c r="D184" s="132" t="s">
        <v>542</v>
      </c>
      <c r="E184" s="130"/>
      <c r="F184" s="130" t="s">
        <v>542</v>
      </c>
      <c r="G184" s="130" t="s">
        <v>434</v>
      </c>
      <c r="H184" s="130" t="n">
        <v>1</v>
      </c>
      <c r="I184" s="142"/>
      <c r="J184" s="134" t="n">
        <f aca="false">$J$120*H184</f>
        <v>1</v>
      </c>
      <c r="N184" s="107" t="s">
        <v>445</v>
      </c>
      <c r="O184" s="62" t="s">
        <v>446</v>
      </c>
      <c r="P184" s="62" t="s">
        <v>447</v>
      </c>
      <c r="Q184" s="55" t="s">
        <v>230</v>
      </c>
      <c r="R184" s="158"/>
      <c r="S184" s="158" t="s">
        <v>230</v>
      </c>
      <c r="T184" s="158" t="s">
        <v>409</v>
      </c>
      <c r="U184" s="168" t="n">
        <f aca="false">((($I$134*$G$134)+($I$136*$G$136)+($I$139*$G$139))/1000)*$J$120</f>
        <v>6.258</v>
      </c>
      <c r="V184" s="168" t="n">
        <v>300</v>
      </c>
      <c r="W184" s="169" t="n">
        <f aca="false">ROUNDUP((U184)/V184,0)</f>
        <v>1</v>
      </c>
    </row>
    <row r="185" s="96" customFormat="true" ht="18" hidden="false" customHeight="true" outlineLevel="0" collapsed="false">
      <c r="A185" s="170" t="n">
        <f aca="false">IF(B185="","",+A184+1)</f>
        <v>13</v>
      </c>
      <c r="B185" s="131" t="s">
        <v>441</v>
      </c>
      <c r="C185" s="131" t="s">
        <v>442</v>
      </c>
      <c r="D185" s="132" t="s">
        <v>274</v>
      </c>
      <c r="E185" s="130"/>
      <c r="F185" s="130" t="s">
        <v>274</v>
      </c>
      <c r="G185" s="130" t="s">
        <v>405</v>
      </c>
      <c r="H185" s="130" t="n">
        <v>12</v>
      </c>
      <c r="I185" s="133"/>
      <c r="J185" s="134" t="n">
        <f aca="false">$J$120*H185</f>
        <v>12</v>
      </c>
      <c r="N185" s="107" t="s">
        <v>448</v>
      </c>
      <c r="O185" s="62" t="s">
        <v>449</v>
      </c>
      <c r="P185" s="62" t="s">
        <v>450</v>
      </c>
      <c r="Q185" s="55" t="s">
        <v>451</v>
      </c>
      <c r="R185" s="158"/>
      <c r="S185" s="158" t="s">
        <v>451</v>
      </c>
      <c r="T185" s="158" t="s">
        <v>409</v>
      </c>
      <c r="U185" s="168" t="n">
        <f aca="false">((($I$134*$G$134)+($I$136*$G$136)+($I$139*$G$139))/1000)*$J$120</f>
        <v>6.258</v>
      </c>
      <c r="V185" s="168" t="n">
        <v>100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14</v>
      </c>
      <c r="B186" s="131" t="s">
        <v>443</v>
      </c>
      <c r="C186" s="131" t="s">
        <v>444</v>
      </c>
      <c r="D186" s="132" t="s">
        <v>272</v>
      </c>
      <c r="E186" s="130"/>
      <c r="F186" s="130" t="s">
        <v>272</v>
      </c>
      <c r="G186" s="130" t="s">
        <v>405</v>
      </c>
      <c r="H186" s="130" t="n">
        <v>1</v>
      </c>
      <c r="I186" s="133"/>
      <c r="J186" s="134" t="n">
        <f aca="false">$J$120*H186</f>
        <v>1</v>
      </c>
      <c r="N186" s="107" t="s">
        <v>445</v>
      </c>
      <c r="O186" s="62" t="s">
        <v>452</v>
      </c>
      <c r="P186" s="62" t="s">
        <v>453</v>
      </c>
      <c r="Q186" s="55" t="s">
        <v>232</v>
      </c>
      <c r="R186" s="158"/>
      <c r="S186" s="158" t="s">
        <v>232</v>
      </c>
      <c r="T186" s="158" t="s">
        <v>409</v>
      </c>
      <c r="U186" s="168" t="n">
        <f aca="false">((($I$141*$G$141*2)+($I$143*$G$143*2)+($I$144*$G$144*2)+($I$145*($G$145-1)*2))/1000)*$J$120</f>
        <v>128.848</v>
      </c>
      <c r="V186" s="168" t="n">
        <v>350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15</v>
      </c>
      <c r="B187" s="131" t="s">
        <v>403</v>
      </c>
      <c r="C187" s="131" t="s">
        <v>404</v>
      </c>
      <c r="D187" s="132" t="s">
        <v>276</v>
      </c>
      <c r="E187" s="130"/>
      <c r="F187" s="130" t="s">
        <v>276</v>
      </c>
      <c r="G187" s="130" t="s">
        <v>405</v>
      </c>
      <c r="H187" s="130" t="n">
        <v>6</v>
      </c>
      <c r="I187" s="133"/>
      <c r="J187" s="134" t="n">
        <f aca="false">$J$120*H187</f>
        <v>6</v>
      </c>
      <c r="N187" s="107" t="s">
        <v>448</v>
      </c>
      <c r="O187" s="62" t="s">
        <v>454</v>
      </c>
      <c r="P187" s="62" t="s">
        <v>455</v>
      </c>
      <c r="Q187" s="55" t="s">
        <v>456</v>
      </c>
      <c r="R187" s="158"/>
      <c r="S187" s="158" t="s">
        <v>456</v>
      </c>
      <c r="T187" s="158" t="s">
        <v>409</v>
      </c>
      <c r="U187" s="168" t="n">
        <f aca="false">((($I$141*$G$141*2)+($I$143*$G$143*2)+($I$144*$G$144*2)+($I$145*($G$145-1)*2))/1000)*$J$120</f>
        <v>128.848</v>
      </c>
      <c r="V187" s="168" t="n">
        <v>100</v>
      </c>
      <c r="W187" s="169" t="n">
        <f aca="false">ROUNDUP((U187)/V187,0)</f>
        <v>2</v>
      </c>
    </row>
    <row r="188" s="96" customFormat="true" ht="18" hidden="false" customHeight="true" outlineLevel="0" collapsed="false">
      <c r="A188" s="170" t="n">
        <f aca="false">IF(B188="","",+A187+1)</f>
        <v>16</v>
      </c>
      <c r="B188" s="131" t="s">
        <v>577</v>
      </c>
      <c r="C188" s="131" t="s">
        <v>578</v>
      </c>
      <c r="D188" s="132" t="s">
        <v>215</v>
      </c>
      <c r="E188" s="130"/>
      <c r="F188" s="130" t="s">
        <v>215</v>
      </c>
      <c r="G188" s="130" t="s">
        <v>434</v>
      </c>
      <c r="H188" s="130" t="n">
        <v>1</v>
      </c>
      <c r="I188" s="133"/>
      <c r="J188" s="134" t="n">
        <f aca="false">$J$120*H188</f>
        <v>1</v>
      </c>
    </row>
    <row r="189" s="96" customFormat="true" ht="18" hidden="false" customHeight="true" outlineLevel="0" collapsed="false">
      <c r="A189" s="170" t="n">
        <f aca="false">IF(B189="","",+A188+1)</f>
        <v>17</v>
      </c>
      <c r="B189" s="131" t="s">
        <v>579</v>
      </c>
      <c r="C189" s="131" t="s">
        <v>578</v>
      </c>
      <c r="D189" s="132" t="s">
        <v>220</v>
      </c>
      <c r="E189" s="130"/>
      <c r="F189" s="130" t="s">
        <v>220</v>
      </c>
      <c r="G189" s="130" t="s">
        <v>434</v>
      </c>
      <c r="H189" s="130" t="n">
        <v>1</v>
      </c>
      <c r="I189" s="133"/>
      <c r="J189" s="134" t="n">
        <f aca="false">$J$120*H189</f>
        <v>1</v>
      </c>
    </row>
    <row r="190" s="96" customFormat="true" ht="18" hidden="false" customHeight="true" outlineLevel="0" collapsed="false">
      <c r="A190" s="170" t="n">
        <f aca="false">IF(B190="","",+A189+1)</f>
        <v>18</v>
      </c>
      <c r="B190" s="131" t="s">
        <v>580</v>
      </c>
      <c r="C190" s="131" t="s">
        <v>581</v>
      </c>
      <c r="D190" s="132" t="s">
        <v>582</v>
      </c>
      <c r="E190" s="130"/>
      <c r="F190" s="130" t="s">
        <v>582</v>
      </c>
      <c r="G190" s="130" t="s">
        <v>409</v>
      </c>
      <c r="H190" s="312" t="n">
        <f aca="false">((($I$149*$G$149)+($I$150*$G$150))/1000)*$J$120</f>
        <v>4.816</v>
      </c>
      <c r="I190" s="313" t="n">
        <v>100</v>
      </c>
      <c r="J190" s="177" t="n">
        <f aca="false">ROUNDUP((H190)/100,0)</f>
        <v>1</v>
      </c>
    </row>
    <row r="191" s="96" customFormat="true" ht="18" hidden="false" customHeight="true" outlineLevel="0" collapsed="false">
      <c r="A191" s="170" t="n">
        <f aca="false">IF(B191="","",+A190+1)</f>
        <v>19</v>
      </c>
      <c r="B191" s="131" t="s">
        <v>583</v>
      </c>
      <c r="C191" s="131" t="s">
        <v>584</v>
      </c>
      <c r="D191" s="132" t="s">
        <v>585</v>
      </c>
      <c r="E191" s="130"/>
      <c r="F191" s="130" t="s">
        <v>585</v>
      </c>
      <c r="G191" s="130" t="s">
        <v>409</v>
      </c>
      <c r="H191" s="312" t="n">
        <f aca="false">((($I$146*$G$146*2))/1000)*$J$120</f>
        <v>4.816</v>
      </c>
      <c r="I191" s="313" t="n">
        <v>100</v>
      </c>
      <c r="J191" s="177" t="n">
        <f aca="false">ROUNDUP((H191)/100,0)</f>
        <v>1</v>
      </c>
    </row>
    <row r="192" s="96" customFormat="true" ht="18" hidden="false" customHeight="true" outlineLevel="0" collapsed="false">
      <c r="A192" s="170" t="n">
        <f aca="false">IF(B192="","",+A191+1)</f>
        <v>20</v>
      </c>
      <c r="B192" s="132" t="str">
        <f aca="false">IF($D$129="Standard",$O$184,IF($D$129="Soumdproof",$O$185,))</f>
        <v>ยางเฟรมกันน้ำ (ธรรมดา)</v>
      </c>
      <c r="C192" s="132" t="str">
        <f aca="false">IF($D$129="Standard",$P$184,IF($D$129="Soumdproof",$P$185,))</f>
        <v>FRAME SEAL (Standard)</v>
      </c>
      <c r="D192" s="132" t="str">
        <f aca="false">IF($D$129="Standard",$Q$184,IF($D$129="Soumdproof",$Q$185,))</f>
        <v>02-026</v>
      </c>
      <c r="E192" s="130" t="n">
        <f aca="false">IF($D$129="Standard",R189,IF($D$129="Soumdproof",R190,))</f>
        <v>0</v>
      </c>
      <c r="F192" s="130" t="str">
        <f aca="false">IF($D$129="Standard",$S$184,IF($D$129="Soumdproof",$S$185,))</f>
        <v>02-026</v>
      </c>
      <c r="G192" s="130" t="str">
        <f aca="false">IF($D$129="Standard",$T$184,IF($D$129="Soumdproof",$T$185,))</f>
        <v>M</v>
      </c>
      <c r="H192" s="173" t="n">
        <f aca="false">IF($D$129="Standard",$U$184,IF($D$129="Soumdproof",$U$185,))</f>
        <v>6.258</v>
      </c>
      <c r="I192" s="174" t="n">
        <f aca="false">IF($D$129="Standard",$V$184,IF($D$129="Soumdproof",$V$185,))</f>
        <v>300</v>
      </c>
      <c r="J192" s="177" t="n">
        <f aca="false">ROUNDUP((H192)/100,0)</f>
        <v>1</v>
      </c>
    </row>
    <row r="193" customFormat="false" ht="18" hidden="false" customHeight="true" outlineLevel="0" collapsed="false">
      <c r="A193" s="170" t="n">
        <f aca="false">IF(B193="","",+A192+1)</f>
        <v>21</v>
      </c>
      <c r="B193" s="132" t="str">
        <f aca="false">IF($D$129="Standard",$O$186,IF($D$129="Soumdproof",$O$187,))</f>
        <v>ยางแซชกันน้ำ (ธรรมดา)</v>
      </c>
      <c r="C193" s="132" t="str">
        <f aca="false">IF($D$129="Standard",$P$186,IF($D$129="Soumdproof",$P$187,))</f>
        <v>SASH SEAL FOAM (Standard)</v>
      </c>
      <c r="D193" s="132" t="str">
        <f aca="false">IF($D$129="Standard",$Q$186,IF($D$129="Soumdproof",$Q$187,))</f>
        <v>02-031</v>
      </c>
      <c r="E193" s="130" t="n">
        <f aca="false">IF($D$129="Standard",R191,IF($D$129="Soumdproof",R192,))</f>
        <v>0</v>
      </c>
      <c r="F193" s="130" t="str">
        <f aca="false">IF($D$129="Standard",$S$186,IF($D$129="Soumdproof",$S$187,))</f>
        <v>02-031</v>
      </c>
      <c r="G193" s="130" t="str">
        <f aca="false">IF($D$129="Standard",$T$186,IF($D$129="Soumdproof",$T$187,))</f>
        <v>M</v>
      </c>
      <c r="H193" s="173" t="n">
        <f aca="false">IF($D$129="Standard",$U$186,IF($D$129="Soumdproof",$U$187,))</f>
        <v>128.848</v>
      </c>
      <c r="I193" s="174" t="n">
        <f aca="false">IF($D$129="Standard",$V$186,IF($D$129="Soumdproof",$V$187,))</f>
        <v>350</v>
      </c>
      <c r="J193" s="177" t="n">
        <f aca="false">ROUNDUP((H193)/100,0)</f>
        <v>2</v>
      </c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</row>
    <row r="194" s="96" customFormat="true" ht="18" hidden="false" customHeight="true" outlineLevel="0" collapsed="false">
      <c r="A194" s="170" t="n">
        <f aca="false">IF(B194="","",+A193+1)</f>
        <v>22</v>
      </c>
      <c r="B194" s="176" t="str">
        <f aca="false">IF($D$127=5,$O$175,IF($D$127=6,$O$176,IF($D$127=8,$O$177,IF($D$127=10,$O$175,IF($D$127=12,$O$175,IF($D$127=14,$O$177,IF($D$127=18,$O$175,IF($D$127=20,$O$176,IF($D$127=22,"")))))))))</f>
        <v>5,8,10,12,18 mmยางอัดกระจก</v>
      </c>
      <c r="C194" s="176" t="str">
        <f aca="false">IF($D$127=5,$P$175,IF($D$127=6,$P$176,IF($D$127=8,$P$177,IF($D$127=10,$P$175,IF($D$127=12,$P$175,IF($D$127=14,$P$177,IF($D$127=18,$P$175,IF($D$127=20,$P$176,IF($D$127=22,"")))))))))</f>
        <v>5,8,10,12,18 mm ROLL IN WEDGE</v>
      </c>
      <c r="D194" s="176" t="str">
        <f aca="false">IF($D$127=5,$Q$175,IF($D$127=6,$Q$176,IF($D$127=8,$Q$177,IF($D$127=10,$Q$175,IF($D$127=12,$Q$175,IF($D$127=14,$Q$177,IF($D$127=18,$Q$175,IF($D$127=20,$Q$176,IF($D$127=22,"")))))))))</f>
        <v>02-033</v>
      </c>
      <c r="E194" s="176" t="n">
        <f aca="false">IF($D$127=5,R180,IF($D$127=6,R181,IF($D$127=8,R182,IF($D$127=10,R180,IF($D$127=12,R180,IF($D$127=14,R182,IF($D$127=18,R180,IF($D$127=20,R181,IF($D$127=22,"",)))))))))</f>
        <v>0</v>
      </c>
      <c r="F194" s="167" t="str">
        <f aca="false">IF($D$127=5,$S$175,IF($D$127=6,$S$176,IF($D$127=8,$S$177,IF($D$127=10,$S$175,IF($D$127=12,$S$175,IF($D$127=14,$S$177,IF($D$127=18,$S$175,IF($D$127=20,$S$176,IF($D$127=22,"")))))))))</f>
        <v>02-033</v>
      </c>
      <c r="G194" s="167" t="str">
        <f aca="false">IF($D$127=5,$T$175,IF($D$127=6,$T$176,IF($D$127=8,$T$177,IF($D$127=10,$T$175,IF($D$127=12,$T$175,IF($D$127=14,$T$177,IF($D$127=18,$T$175,IF($D$127=20,$T$176,IF($D$127=22,"")))))))))</f>
        <v>M</v>
      </c>
      <c r="H194" s="173" t="n">
        <f aca="false">IF($D$127=5,$U$175,IF($D$127=6,$U$176,IF($D$127=8,$U$177,IF($D$127=10,$U$175*2,IF($D$127=12,$U$175,IF($D$127=14,$U$177*2,IF($D$127=18,$U$175,IF($D$127=20,$U$176,IF($D$127=22,"")))))))))</f>
        <v>71.056</v>
      </c>
      <c r="I194" s="174" t="n">
        <f aca="false">IF($D$127=5,$V$175,IF($D$127=6,$V$176,IF($D$127=8,$V$177,IF($D$127=10,$V$175,IF($D$127=12,$V$175,IF($D$127=14,$V$177,IF($D$127=18,$V$175,IF($D$127=20,$V$176,IF($D$127=22,"")))))))))</f>
        <v>100</v>
      </c>
      <c r="J194" s="177" t="n">
        <f aca="false">ROUNDUP((H194)/100,0)</f>
        <v>1</v>
      </c>
    </row>
    <row r="195" s="96" customFormat="true" ht="18" hidden="false" customHeight="true" outlineLevel="0" collapsed="false">
      <c r="A195" s="170" t="n">
        <f aca="false">IF(B195="","",+A194+1)</f>
        <v>23</v>
      </c>
      <c r="B195" s="176" t="str">
        <f aca="false">IF($D$127=5,$O$173,IF($D$127=6,$O$173,IF($D$127=8,$O$175,IF($D$127=10,"",IF($D$127=12,$O$174,IF($D$127=14,"",IF($D$127=18,$O$173,IF($D$127=20,$O$174,IF($D$127=22,"",)))))))))</f>
        <v>5,6,18 mm ยางรองกระจก</v>
      </c>
      <c r="C195" s="176" t="str">
        <f aca="false">IF($D$127=5,$P$173,IF($D$127=6,$P$173,IF($D$127=8,$P$175,IF($D$127=10,"",IF($D$127=12,$P$174,IF($D$127=14,"",IF($D$127=18,$P$173,IF($D$127=20,$P$174,IF($D$127=22,"",)))))))))</f>
        <v>5,6,18 mm CAPTIVE WEDGE</v>
      </c>
      <c r="D195" s="176" t="str">
        <f aca="false">IF($D$127=5,$Q$173,IF($D$127=6,$Q$173,IF($D$127=8,$Q$175,IF($D$127=10,"",IF($D$127=12,$Q$174,IF($D$127=14,"",IF($D$127=18,$Q$173,IF($D$127=20,$Q$174,IF($D$127=22,"",)))))))))</f>
        <v>02-022</v>
      </c>
      <c r="E195" s="176" t="n">
        <f aca="false">IF($D$127=5,R178,IF($D$127=6,R178,IF($D$127=8,R180,IF($D$127=10,"",IF($D$127=12,R179,IF($D$127=14,"",IF($D$127=18,R178,IF($D$127=20,R179,IF($D$127=22,"",)))))))))</f>
        <v>0</v>
      </c>
      <c r="F195" s="167" t="str">
        <f aca="false">IF($D$127=5,$S$173,IF($D$127=6,$S$173,IF($D$127=8,$S$175,IF($D$127=10,"",IF($D$127=12,$S$174,IF($D$127=14,"",IF($D$127=18,$S$173,IF($D$127=20,$S$174,IF($D$127=22,"",)))))))))</f>
        <v>02-022</v>
      </c>
      <c r="G195" s="167" t="str">
        <f aca="false">IF($D$127=5,$T$173,IF($D$127=6,$T$173,IF($D$127=8,$T$175,IF($D$127=10,"",IF($D$127=12,$T$174,IF($D$127=14,"",IF($D$127=18,$T$173,IF($D$127=20,$T$174,IF($D$127=22,"",)))))))))</f>
        <v>M</v>
      </c>
      <c r="H195" s="173" t="n">
        <f aca="false">IF($D$127=5,$U$173,IF($D$127=6,$U$173,IF($D$127=8,$U$175,IF($D$127=10,"",IF($D$127=12,$U$174,IF($D$127=14,"",IF($D$127=18,$U$173,IF($D$127=20,$U$174,IF($D$127=22,"")))))))))</f>
        <v>71.056</v>
      </c>
      <c r="I195" s="174" t="n">
        <f aca="false">IF($D$127=5,$V$173,IF($D$127=6,$V$173,IF($D$127=8,$V$175,IF($D$127=10,"",IF($D$127=12,$V$174,IF($D$127=14,"",IF($D$127=18,$V$173,IF($D$127=20,$V$174,IF($D$127=22,"",)))))))))</f>
        <v>100</v>
      </c>
      <c r="J195" s="177" t="n">
        <f aca="false">ROUNDUP((H195)/100,0)</f>
        <v>1</v>
      </c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30"/>
      <c r="I196" s="133"/>
      <c r="J196" s="134" t="n">
        <f aca="false">$J$120*H196</f>
        <v>0</v>
      </c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$J$120*H197</f>
        <v>0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42"/>
      <c r="J198" s="134" t="n">
        <f aca="false">$J$120*H198</f>
        <v>0</v>
      </c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42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33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0" t="str">
        <f aca="false">IF(B204="","",+A203+1)</f>
        <v/>
      </c>
      <c r="B204" s="131"/>
      <c r="C204" s="131"/>
      <c r="D204" s="132"/>
      <c r="E204" s="130"/>
      <c r="F204" s="130"/>
      <c r="G204" s="130"/>
      <c r="H204" s="130"/>
      <c r="I204" s="133"/>
      <c r="J204" s="134" t="n">
        <f aca="false">$J$120*H204</f>
        <v>0</v>
      </c>
    </row>
    <row r="205" s="96" customFormat="true" ht="18" hidden="false" customHeight="true" outlineLevel="0" collapsed="false">
      <c r="A205" s="179" t="str">
        <f aca="false">IF(B205="","",+A204+1)</f>
        <v/>
      </c>
      <c r="B205" s="135"/>
      <c r="C205" s="135"/>
      <c r="D205" s="139"/>
      <c r="E205" s="136"/>
      <c r="F205" s="136"/>
      <c r="G205" s="136"/>
      <c r="H205" s="136"/>
      <c r="I205" s="140"/>
      <c r="J205" s="137" t="n">
        <f aca="false">$J$120*H205</f>
        <v>0</v>
      </c>
    </row>
    <row r="206" s="96" customFormat="true" ht="18" hidden="false" customHeight="true" outlineLevel="0" collapsed="false">
      <c r="A206" s="200"/>
      <c r="B206" s="98"/>
      <c r="D206" s="98"/>
      <c r="E206" s="97"/>
      <c r="F206" s="98"/>
      <c r="G206" s="98"/>
      <c r="H206" s="98"/>
      <c r="I206" s="196"/>
      <c r="J206" s="196"/>
    </row>
    <row r="207" customFormat="false" ht="18" hidden="false" customHeight="true" outlineLevel="0" collapsed="false">
      <c r="A207" s="97"/>
      <c r="J207" s="92" t="str">
        <f aca="false">LEFT($J$111,14)&amp;"-02"</f>
        <v>FG-240-14P7L7R-02</v>
      </c>
    </row>
    <row r="208" customFormat="false" ht="12.75" hidden="false" customHeight="true" outlineLevel="0" collapsed="false">
      <c r="B208" s="96"/>
      <c r="C208" s="96"/>
      <c r="D208" s="98"/>
      <c r="E208" s="97"/>
      <c r="F208" s="97"/>
      <c r="G208" s="97"/>
      <c r="H208" s="97"/>
      <c r="K208" s="78"/>
      <c r="L208" s="78"/>
      <c r="M208" s="79"/>
      <c r="N208" s="79"/>
    </row>
    <row r="209" customFormat="false" ht="30" hidden="false" customHeight="true" outlineLevel="0" collapsed="false">
      <c r="I209" s="76"/>
      <c r="J209" s="77" t="str">
        <f aca="false">$J$2</f>
        <v>HOMELIFE</v>
      </c>
      <c r="K209" s="83"/>
      <c r="L209" s="83"/>
      <c r="M209" s="79"/>
      <c r="N209" s="79"/>
    </row>
    <row r="210" customFormat="false" ht="24.75" hidden="false" customHeight="true" outlineLevel="0" collapsed="false">
      <c r="C210" s="75"/>
      <c r="D210" s="76"/>
      <c r="E210" s="76"/>
      <c r="F210" s="76"/>
      <c r="G210" s="76"/>
      <c r="H210" s="76"/>
      <c r="I210" s="82"/>
      <c r="J210" s="80" t="str">
        <f aca="false">$J$3</f>
        <v>Fabricators Guide</v>
      </c>
      <c r="K210" s="83"/>
      <c r="L210" s="83"/>
      <c r="M210" s="79"/>
      <c r="N210" s="79"/>
    </row>
    <row r="211" customFormat="false" ht="24.75" hidden="false" customHeight="true" outlineLevel="0" collapsed="false">
      <c r="C211" s="82"/>
      <c r="D211" s="82"/>
      <c r="E211" s="82"/>
      <c r="F211" s="82"/>
      <c r="G211" s="82"/>
      <c r="H211" s="82"/>
      <c r="I211" s="82"/>
      <c r="J211" s="80" t="str">
        <f aca="false">$J$4</f>
        <v>240 Series Bi Fold Door </v>
      </c>
      <c r="M211" s="87"/>
      <c r="N211" s="87"/>
    </row>
    <row r="212" s="96" customFormat="true" ht="15" hidden="false" customHeight="true" outlineLevel="0" collapsed="false">
      <c r="A212" s="84"/>
      <c r="B212" s="81"/>
      <c r="C212" s="82"/>
      <c r="D212" s="82"/>
      <c r="E212" s="82"/>
      <c r="F212" s="82"/>
      <c r="G212" s="82"/>
      <c r="H212" s="82"/>
      <c r="I212" s="84"/>
      <c r="J212" s="94"/>
      <c r="K212" s="87"/>
      <c r="L212" s="87"/>
      <c r="M212" s="87"/>
      <c r="N212" s="87"/>
    </row>
    <row r="213" s="96" customFormat="true" ht="24.75" hidden="false" customHeight="true" outlineLevel="0" collapsed="false">
      <c r="A213" s="88" t="s">
        <v>457</v>
      </c>
      <c r="B213" s="88"/>
      <c r="C213" s="88"/>
      <c r="D213" s="88"/>
      <c r="E213" s="88"/>
      <c r="F213" s="88"/>
      <c r="G213" s="88"/>
      <c r="H213" s="88"/>
      <c r="I213" s="88"/>
      <c r="J213" s="88"/>
    </row>
    <row r="215" s="96" customFormat="true" ht="15" hidden="false" customHeight="true" outlineLevel="0" collapsed="false">
      <c r="A215" s="182"/>
      <c r="D215" s="73"/>
      <c r="I215" s="183"/>
      <c r="J215" s="99"/>
    </row>
    <row r="216" s="96" customFormat="true" ht="15" hidden="false" customHeight="true" outlineLevel="0" collapsed="false">
      <c r="A216" s="97"/>
      <c r="B216" s="182"/>
      <c r="D216" s="98"/>
      <c r="E216" s="83"/>
      <c r="F216" s="183"/>
      <c r="G216" s="183"/>
      <c r="H216" s="183"/>
      <c r="J216" s="97"/>
    </row>
    <row r="217" s="96" customFormat="true" ht="15" hidden="false" customHeight="true" outlineLevel="0" collapsed="false">
      <c r="A217" s="97"/>
      <c r="C217" s="181"/>
      <c r="D217" s="98"/>
      <c r="E217" s="83"/>
      <c r="F217" s="98"/>
      <c r="J217" s="97"/>
    </row>
    <row r="218" s="96" customFormat="true" ht="15" hidden="false" customHeight="true" outlineLevel="0" collapsed="false">
      <c r="A218" s="97"/>
      <c r="C218" s="181"/>
      <c r="D218" s="98"/>
      <c r="E218" s="97"/>
      <c r="F218" s="98"/>
      <c r="H218" s="181"/>
      <c r="J218" s="97"/>
    </row>
    <row r="219" s="96" customFormat="true" ht="15" hidden="false" customHeight="true" outlineLevel="0" collapsed="false">
      <c r="A219" s="182"/>
      <c r="B219" s="182"/>
      <c r="D219" s="98"/>
      <c r="E219" s="83"/>
      <c r="F219" s="183"/>
      <c r="H219" s="181"/>
      <c r="I219" s="97"/>
      <c r="J219" s="97"/>
    </row>
    <row r="220" s="96" customFormat="true" ht="15" hidden="false" customHeight="true" outlineLevel="0" collapsed="false">
      <c r="A220" s="97"/>
      <c r="C220" s="184" t="s">
        <v>458</v>
      </c>
      <c r="D220" s="98"/>
      <c r="E220" s="83"/>
      <c r="F220" s="98"/>
      <c r="I220" s="97"/>
      <c r="J220" s="97"/>
    </row>
    <row r="221" s="96" customFormat="true" ht="15" hidden="false" customHeight="true" outlineLevel="0" collapsed="false">
      <c r="A221" s="97"/>
      <c r="C221" s="181" t="s">
        <v>459</v>
      </c>
      <c r="D221" s="98"/>
      <c r="E221" s="83"/>
      <c r="F221" s="98"/>
      <c r="H221" s="184"/>
      <c r="J221" s="97"/>
    </row>
    <row r="222" s="96" customFormat="true" ht="15" hidden="false" customHeight="true" outlineLevel="0" collapsed="false">
      <c r="A222" s="97"/>
      <c r="C222" s="181" t="s">
        <v>460</v>
      </c>
      <c r="D222" s="98"/>
      <c r="E222" s="97"/>
      <c r="F222" s="98"/>
      <c r="J222" s="97"/>
    </row>
    <row r="223" s="96" customFormat="true" ht="15" hidden="false" customHeight="true" outlineLevel="0" collapsed="false">
      <c r="A223" s="97"/>
      <c r="C223" s="185" t="n">
        <f aca="false">$I$133</f>
        <v>1940</v>
      </c>
      <c r="D223" s="98"/>
      <c r="E223" s="83"/>
      <c r="F223" s="98"/>
      <c r="G223" s="186"/>
      <c r="J223" s="97"/>
    </row>
    <row r="224" s="96" customFormat="true" ht="15" hidden="false" customHeight="true" outlineLevel="0" collapsed="false">
      <c r="A224" s="97"/>
      <c r="C224" s="187" t="n">
        <f aca="false">$J$133</f>
        <v>1</v>
      </c>
      <c r="D224" s="98"/>
      <c r="E224" s="83"/>
      <c r="F224" s="98"/>
      <c r="G224" s="110"/>
      <c r="I224" s="97"/>
      <c r="J224" s="97"/>
    </row>
    <row r="225" s="96" customFormat="true" ht="15" hidden="false" customHeight="true" outlineLevel="0" collapsed="false">
      <c r="A225" s="97"/>
      <c r="D225" s="98"/>
      <c r="E225" s="97"/>
      <c r="F225" s="98"/>
      <c r="G225" s="110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G226" s="186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97"/>
      <c r="J227" s="97"/>
    </row>
    <row r="228" s="96" customFormat="true" ht="15.75" hidden="false" customHeight="true" outlineLevel="0" collapsed="false">
      <c r="A228" s="99"/>
      <c r="B228" s="99"/>
      <c r="C228" s="83"/>
      <c r="D228" s="98"/>
      <c r="E228" s="97"/>
      <c r="F228" s="98"/>
      <c r="H228" s="97"/>
      <c r="I228" s="189"/>
      <c r="J228" s="190"/>
    </row>
    <row r="229" s="96" customFormat="true" ht="15.75" hidden="false" customHeight="true" outlineLevel="0" collapsed="false">
      <c r="A229" s="99"/>
      <c r="B229" s="99"/>
      <c r="C229" s="181"/>
      <c r="D229" s="98"/>
      <c r="E229" s="97"/>
      <c r="F229" s="98"/>
      <c r="H229" s="97"/>
      <c r="I229" s="181"/>
      <c r="J229" s="193"/>
    </row>
    <row r="230" s="96" customFormat="true" ht="15.75" hidden="false" customHeight="true" outlineLevel="0" collapsed="false">
      <c r="A230" s="188"/>
      <c r="B230" s="188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97"/>
      <c r="B231" s="97"/>
      <c r="D231" s="98"/>
      <c r="E231" s="97"/>
      <c r="F231" s="98"/>
      <c r="I231" s="181"/>
      <c r="J231" s="193"/>
    </row>
    <row r="232" s="96" customFormat="true" ht="15.75" hidden="false" customHeight="true" outlineLevel="0" collapsed="false">
      <c r="A232" s="81"/>
      <c r="D232" s="98"/>
      <c r="E232" s="97"/>
      <c r="F232" s="97"/>
      <c r="I232" s="181"/>
      <c r="J232" s="193"/>
    </row>
    <row r="233" s="96" customFormat="true" ht="15.75" hidden="false" customHeight="true" outlineLevel="0" collapsed="false">
      <c r="A233" s="191"/>
      <c r="B233" s="191"/>
      <c r="C233" s="184" t="s">
        <v>461</v>
      </c>
      <c r="D233" s="192"/>
      <c r="E233" s="191"/>
      <c r="F233" s="191"/>
      <c r="G233" s="97"/>
      <c r="H233" s="97"/>
      <c r="I233" s="181"/>
      <c r="J233" s="193"/>
    </row>
    <row r="234" s="96" customFormat="true" ht="15.75" hidden="false" customHeight="true" outlineLevel="0" collapsed="false">
      <c r="A234" s="190"/>
      <c r="B234" s="190"/>
      <c r="C234" s="181" t="s">
        <v>462</v>
      </c>
      <c r="D234" s="194"/>
      <c r="E234" s="190"/>
      <c r="F234" s="189"/>
      <c r="G234" s="97"/>
      <c r="H234" s="97"/>
      <c r="J234" s="97"/>
    </row>
    <row r="235" s="96" customFormat="true" ht="15.75" hidden="false" customHeight="true" outlineLevel="0" collapsed="false">
      <c r="A235" s="97"/>
      <c r="C235" s="181" t="s">
        <v>518</v>
      </c>
      <c r="D235" s="98"/>
      <c r="E235" s="97"/>
      <c r="F235" s="98"/>
      <c r="G235" s="97"/>
      <c r="H235" s="97"/>
      <c r="I235" s="97"/>
      <c r="J235" s="196"/>
    </row>
    <row r="236" s="96" customFormat="true" ht="15.75" hidden="false" customHeight="true" outlineLevel="0" collapsed="false">
      <c r="A236" s="97"/>
      <c r="C236" s="185" t="n">
        <f aca="false">$I$134</f>
        <v>1914</v>
      </c>
      <c r="D236" s="98"/>
      <c r="E236" s="97"/>
      <c r="F236" s="98"/>
      <c r="G236" s="97"/>
      <c r="H236" s="97"/>
      <c r="I236" s="196"/>
      <c r="J236" s="196"/>
    </row>
    <row r="237" s="96" customFormat="true" ht="15.75" hidden="false" customHeight="true" outlineLevel="0" collapsed="false">
      <c r="A237" s="97"/>
      <c r="C237" s="187" t="n">
        <f aca="false">$J$134</f>
        <v>1</v>
      </c>
      <c r="D237" s="98"/>
      <c r="E237" s="97"/>
      <c r="F237" s="98"/>
      <c r="G237" s="97"/>
      <c r="H237" s="195"/>
      <c r="I237" s="184"/>
      <c r="J237" s="198"/>
    </row>
    <row r="238" s="96" customFormat="true" ht="15.75" hidden="false" customHeight="true" outlineLevel="0" collapsed="false">
      <c r="A238" s="97"/>
      <c r="C238" s="191"/>
      <c r="D238" s="98"/>
      <c r="E238" s="97"/>
      <c r="F238" s="98"/>
      <c r="G238" s="97"/>
      <c r="H238" s="195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81"/>
      <c r="J239" s="193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197"/>
      <c r="I241" s="196"/>
      <c r="J241" s="196"/>
    </row>
    <row r="242" s="96" customFormat="true" ht="15.75" hidden="false" customHeight="true" outlineLevel="0" collapsed="false">
      <c r="A242" s="97"/>
      <c r="D242" s="98"/>
      <c r="E242" s="97"/>
      <c r="F242" s="98"/>
      <c r="G242" s="97"/>
      <c r="H242" s="97"/>
      <c r="I242" s="97"/>
      <c r="J242" s="196"/>
    </row>
    <row r="243" s="96" customFormat="true" ht="15.75" hidden="false" customHeight="true" outlineLevel="0" collapsed="false">
      <c r="A243" s="97"/>
      <c r="C243" s="184" t="s">
        <v>464</v>
      </c>
      <c r="D243" s="98"/>
      <c r="E243" s="97"/>
      <c r="F243" s="98"/>
      <c r="G243" s="97"/>
      <c r="H243" s="97"/>
      <c r="I243" s="196"/>
      <c r="J243" s="196"/>
    </row>
    <row r="244" s="96" customFormat="true" ht="15.75" hidden="false" customHeight="true" outlineLevel="0" collapsed="false">
      <c r="A244" s="97"/>
      <c r="C244" s="181" t="s">
        <v>459</v>
      </c>
      <c r="D244" s="98"/>
      <c r="E244" s="97"/>
      <c r="F244" s="98"/>
      <c r="G244" s="97"/>
      <c r="H244" s="97"/>
      <c r="I244" s="196"/>
      <c r="J244" s="196"/>
    </row>
    <row r="245" s="96" customFormat="true" ht="15" hidden="false" customHeight="true" outlineLevel="0" collapsed="false">
      <c r="A245" s="97"/>
      <c r="C245" s="181" t="s">
        <v>460</v>
      </c>
      <c r="D245" s="98"/>
      <c r="E245" s="97"/>
      <c r="F245" s="98"/>
      <c r="G245" s="97"/>
      <c r="H245" s="97"/>
      <c r="I245" s="196"/>
      <c r="J245" s="196"/>
    </row>
    <row r="246" s="96" customFormat="true" ht="15.75" hidden="false" customHeight="true" outlineLevel="0" collapsed="false">
      <c r="A246" s="97"/>
      <c r="C246" s="185" t="n">
        <f aca="false">$I$135</f>
        <v>1940</v>
      </c>
      <c r="D246" s="98"/>
      <c r="E246" s="97"/>
      <c r="F246" s="98"/>
      <c r="G246" s="97"/>
      <c r="H246" s="97"/>
      <c r="I246" s="191"/>
      <c r="J246" s="199"/>
    </row>
    <row r="247" s="96" customFormat="true" ht="15.75" hidden="false" customHeight="true" outlineLevel="0" collapsed="false">
      <c r="A247" s="97"/>
      <c r="C247" s="187" t="n">
        <f aca="false">$J$135</f>
        <v>1</v>
      </c>
      <c r="D247" s="98"/>
      <c r="E247" s="97"/>
      <c r="F247" s="98"/>
      <c r="G247" s="97"/>
      <c r="H247" s="97"/>
      <c r="I247" s="189"/>
      <c r="J247" s="190"/>
    </row>
    <row r="248" s="96" customFormat="true" ht="15.75" hidden="false" customHeight="true" outlineLevel="0" collapsed="false">
      <c r="A248" s="97"/>
      <c r="C248" s="98"/>
      <c r="D248" s="98"/>
      <c r="E248" s="97"/>
      <c r="F248" s="98"/>
      <c r="G248" s="97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1"/>
      <c r="H250" s="97"/>
      <c r="J250" s="97"/>
    </row>
    <row r="251" s="96" customFormat="true" ht="15.75" hidden="false" customHeight="true" outlineLevel="0" collapsed="false">
      <c r="A251" s="97"/>
      <c r="D251" s="98"/>
      <c r="E251" s="97"/>
      <c r="F251" s="97"/>
      <c r="G251" s="190"/>
      <c r="H251" s="97"/>
      <c r="I251" s="196"/>
      <c r="J251" s="196"/>
    </row>
    <row r="252" s="96" customFormat="true" ht="15.75" hidden="false" customHeight="true" outlineLevel="0" collapsed="false">
      <c r="A252" s="97"/>
      <c r="D252" s="98"/>
      <c r="E252" s="97"/>
      <c r="F252" s="97"/>
      <c r="G252" s="97"/>
      <c r="H252" s="97"/>
      <c r="I252" s="196"/>
      <c r="J252" s="196"/>
    </row>
    <row r="253" s="96" customFormat="true" ht="15.75" hidden="false" customHeight="true" outlineLevel="0" collapsed="false">
      <c r="A253" s="191"/>
      <c r="B253" s="191"/>
      <c r="D253" s="192"/>
      <c r="E253" s="191"/>
      <c r="F253" s="191"/>
      <c r="G253" s="97"/>
      <c r="H253" s="97"/>
      <c r="I253" s="196"/>
      <c r="J253" s="196"/>
    </row>
    <row r="254" s="96" customFormat="true" ht="15.75" hidden="false" customHeight="true" outlineLevel="0" collapsed="false">
      <c r="A254" s="190"/>
      <c r="B254" s="190"/>
      <c r="C254" s="184" t="s">
        <v>465</v>
      </c>
      <c r="D254" s="194"/>
      <c r="E254" s="190"/>
      <c r="F254" s="189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459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1" t="s">
        <v>460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5" t="n">
        <f aca="false">$I$136</f>
        <v>1940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C258" s="187" t="n">
        <f aca="false">$J$136</f>
        <v>1</v>
      </c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C262" s="98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D263" s="98"/>
      <c r="E263" s="97"/>
      <c r="F263" s="97"/>
      <c r="G263" s="97"/>
      <c r="I263" s="196"/>
      <c r="J263" s="196"/>
    </row>
    <row r="264" s="96" customFormat="true" ht="15.75" hidden="false" customHeight="true" outlineLevel="0" collapsed="false">
      <c r="A264" s="200"/>
      <c r="C264" s="184" t="s">
        <v>466</v>
      </c>
      <c r="D264" s="98"/>
      <c r="E264" s="97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467</v>
      </c>
      <c r="D265" s="181"/>
      <c r="E265" s="181"/>
      <c r="F265" s="97"/>
      <c r="G265" s="97"/>
      <c r="H265" s="97"/>
      <c r="I265" s="196"/>
      <c r="J265" s="196"/>
    </row>
    <row r="266" s="96" customFormat="true" ht="15.75" hidden="false" customHeight="true" outlineLevel="0" collapsed="false">
      <c r="A266" s="200"/>
      <c r="C266" s="181" t="s">
        <v>468</v>
      </c>
      <c r="D266" s="181"/>
      <c r="E266" s="181"/>
      <c r="F266" s="97"/>
      <c r="G266" s="97"/>
      <c r="H266" s="97"/>
      <c r="J266" s="97"/>
    </row>
    <row r="267" s="96" customFormat="true" ht="15.75" hidden="false" customHeight="true" outlineLevel="0" collapsed="false">
      <c r="A267" s="200"/>
      <c r="C267" s="185" t="n">
        <f aca="false">$I$137</f>
        <v>2500</v>
      </c>
      <c r="D267" s="98"/>
      <c r="E267" s="97"/>
      <c r="F267" s="97"/>
      <c r="J267" s="97"/>
    </row>
    <row r="268" s="96" customFormat="true" ht="15.75" hidden="false" customHeight="true" outlineLevel="0" collapsed="false">
      <c r="A268" s="200"/>
      <c r="C268" s="187" t="n">
        <f aca="false">$J$137+$J$138</f>
        <v>2</v>
      </c>
      <c r="D268" s="98"/>
      <c r="E268" s="97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4"/>
      <c r="E270" s="184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H271" s="97"/>
      <c r="J271" s="97"/>
    </row>
    <row r="272" s="96" customFormat="true" ht="15.75" hidden="false" customHeight="true" outlineLevel="0" collapsed="false">
      <c r="A272" s="200"/>
      <c r="D272" s="181"/>
      <c r="E272" s="181"/>
      <c r="F272" s="97"/>
      <c r="G272" s="97"/>
      <c r="I272" s="196"/>
      <c r="J272" s="196"/>
    </row>
    <row r="273" s="96" customFormat="true" ht="15.75" hidden="false" customHeight="true" outlineLevel="0" collapsed="false">
      <c r="A273" s="200"/>
      <c r="D273" s="98"/>
      <c r="E273" s="97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C274" s="184" t="s">
        <v>469</v>
      </c>
      <c r="D274" s="201"/>
      <c r="E274" s="196"/>
      <c r="F274" s="97"/>
      <c r="G274" s="97"/>
      <c r="I274" s="196"/>
      <c r="J274" s="196"/>
    </row>
    <row r="275" s="96" customFormat="true" ht="15.75" hidden="false" customHeight="true" outlineLevel="0" collapsed="false">
      <c r="A275" s="200"/>
      <c r="C275" s="181" t="s">
        <v>470</v>
      </c>
      <c r="D275" s="181"/>
      <c r="E275" s="181"/>
      <c r="F275" s="97"/>
      <c r="G275" s="97"/>
      <c r="I275" s="97"/>
      <c r="J275" s="196"/>
    </row>
    <row r="276" s="96" customFormat="true" ht="15.75" hidden="false" customHeight="true" outlineLevel="0" collapsed="false">
      <c r="A276" s="200"/>
      <c r="C276" s="181" t="s">
        <v>471</v>
      </c>
      <c r="D276" s="181"/>
      <c r="E276" s="181"/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5" t="n">
        <f aca="false">$I$139</f>
        <v>2404</v>
      </c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C278" s="187" t="n">
        <f aca="false">$J$139+$J$140</f>
        <v>2</v>
      </c>
      <c r="F278" s="97"/>
      <c r="G278" s="97"/>
      <c r="I278" s="97"/>
      <c r="J278" s="196"/>
    </row>
    <row r="279" s="96" customFormat="true" ht="15.75" hidden="false" customHeight="true" outlineLevel="0" collapsed="false">
      <c r="A279" s="200"/>
      <c r="F279" s="97"/>
      <c r="G279" s="97"/>
      <c r="H279" s="97"/>
      <c r="J279" s="97"/>
    </row>
    <row r="280" s="96" customFormat="true" ht="15.75" hidden="false" customHeight="true" outlineLevel="0" collapsed="false">
      <c r="A280" s="200"/>
      <c r="D280" s="98"/>
      <c r="E280" s="97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F281" s="97"/>
      <c r="G281" s="97"/>
      <c r="H281" s="97"/>
      <c r="J281" s="97"/>
    </row>
    <row r="282" s="96" customFormat="true" ht="15.75" hidden="false" customHeight="true" outlineLevel="0" collapsed="false">
      <c r="A282" s="200"/>
      <c r="F282" s="97"/>
      <c r="G282" s="97"/>
      <c r="H282" s="97"/>
      <c r="I282" s="201"/>
      <c r="J282" s="196"/>
    </row>
    <row r="283" s="96" customFormat="true" ht="15.75" hidden="false" customHeight="true" outlineLevel="0" collapsed="false">
      <c r="A283" s="200"/>
      <c r="C283" s="184" t="s">
        <v>472</v>
      </c>
      <c r="F283" s="97"/>
      <c r="G283" s="97"/>
      <c r="H283" s="97"/>
      <c r="I283" s="97"/>
      <c r="J283" s="196"/>
    </row>
    <row r="284" s="96" customFormat="true" ht="15.75" hidden="false" customHeight="true" outlineLevel="0" collapsed="false">
      <c r="A284" s="200"/>
      <c r="C284" s="83" t="s">
        <v>816</v>
      </c>
      <c r="D284" s="98"/>
      <c r="E284" s="97"/>
      <c r="F284" s="97"/>
      <c r="G284" s="97"/>
      <c r="H284" s="97"/>
      <c r="I284" s="196"/>
      <c r="J284" s="196"/>
    </row>
    <row r="285" s="96" customFormat="true" ht="15.75" hidden="false" customHeight="true" outlineLevel="0" collapsed="false">
      <c r="A285" s="200"/>
      <c r="C285" s="181" t="s">
        <v>817</v>
      </c>
      <c r="D285" s="98"/>
      <c r="E285" s="97"/>
      <c r="F285" s="97"/>
      <c r="G285" s="97"/>
      <c r="H285" s="97"/>
      <c r="I285" s="196"/>
      <c r="J285" s="196"/>
    </row>
    <row r="286" s="96" customFormat="true" ht="15.75" hidden="false" customHeight="true" outlineLevel="0" collapsed="false">
      <c r="A286" s="200"/>
      <c r="C286" s="181" t="s">
        <v>475</v>
      </c>
      <c r="D286" s="181"/>
      <c r="E286" s="181"/>
      <c r="F286" s="97"/>
      <c r="G286" s="97"/>
      <c r="I286" s="196"/>
      <c r="J286" s="196"/>
    </row>
    <row r="287" s="202" customFormat="true" ht="15.75" hidden="false" customHeight="true" outlineLevel="0" collapsed="false">
      <c r="A287" s="200"/>
      <c r="B287" s="96"/>
      <c r="C287" s="181" t="s">
        <v>476</v>
      </c>
      <c r="D287" s="181"/>
      <c r="E287" s="181"/>
      <c r="F287" s="97"/>
      <c r="G287" s="97"/>
      <c r="H287" s="96"/>
      <c r="I287" s="97"/>
      <c r="J287" s="97"/>
    </row>
    <row r="288" s="96" customFormat="true" ht="15.75" hidden="false" customHeight="true" outlineLevel="0" collapsed="false">
      <c r="A288" s="200"/>
      <c r="C288" s="185" t="n">
        <f aca="false">$I$141</f>
        <v>129.714285714286</v>
      </c>
      <c r="F288" s="97"/>
      <c r="G288" s="97"/>
      <c r="I288" s="191"/>
      <c r="J288" s="199"/>
    </row>
    <row r="289" s="96" customFormat="true" ht="15.75" hidden="false" customHeight="true" outlineLevel="0" collapsed="false">
      <c r="A289" s="200"/>
      <c r="C289" s="187" t="n">
        <f aca="false">$J$141+$J$142</f>
        <v>28</v>
      </c>
      <c r="D289" s="98"/>
      <c r="E289" s="97"/>
      <c r="F289" s="97"/>
      <c r="G289" s="97"/>
      <c r="H289" s="98"/>
      <c r="I289" s="189"/>
      <c r="J289" s="190"/>
    </row>
    <row r="290" s="96" customFormat="true" ht="15.75" hidden="false" customHeight="true" outlineLevel="0" collapsed="false">
      <c r="A290" s="200"/>
      <c r="C290" s="185" t="n">
        <f aca="false">$I$143</f>
        <v>2408</v>
      </c>
      <c r="D290" s="98"/>
      <c r="E290" s="97"/>
      <c r="F290" s="97"/>
      <c r="G290" s="97"/>
      <c r="H290" s="97"/>
      <c r="I290" s="196"/>
      <c r="J290" s="196"/>
    </row>
    <row r="291" s="96" customFormat="true" ht="15.75" hidden="false" customHeight="true" outlineLevel="0" collapsed="false">
      <c r="A291" s="200"/>
      <c r="C291" s="187" t="n">
        <f aca="false">$J$143+$J$144+$J$145+$J$146</f>
        <v>28</v>
      </c>
      <c r="D291" s="98"/>
      <c r="E291" s="97"/>
      <c r="F291" s="97"/>
      <c r="G291" s="97"/>
      <c r="H291" s="97"/>
      <c r="I291" s="196"/>
      <c r="J291" s="196"/>
    </row>
    <row r="292" s="96" customFormat="true" ht="15.75" hidden="false" customHeight="true" outlineLevel="0" collapsed="false">
      <c r="A292" s="200"/>
      <c r="D292" s="98"/>
      <c r="E292" s="97"/>
      <c r="F292" s="97"/>
      <c r="G292" s="97"/>
      <c r="H292" s="97"/>
      <c r="I292" s="97"/>
      <c r="J292" s="196"/>
    </row>
    <row r="293" s="96" customFormat="true" ht="15.75" hidden="false" customHeight="true" outlineLevel="0" collapsed="false">
      <c r="A293" s="200"/>
      <c r="C293" s="202"/>
      <c r="D293" s="98"/>
      <c r="E293" s="97"/>
      <c r="F293" s="97"/>
      <c r="G293" s="97"/>
      <c r="H293" s="97"/>
      <c r="I293" s="97"/>
      <c r="J293" s="196"/>
    </row>
    <row r="294" s="96" customFormat="true" ht="15.75" hidden="false" customHeight="true" outlineLevel="0" collapsed="false">
      <c r="A294" s="200"/>
      <c r="C294" s="184" t="s">
        <v>477</v>
      </c>
      <c r="D294" s="98"/>
      <c r="E294" s="97"/>
      <c r="F294" s="97"/>
      <c r="G294" s="97"/>
      <c r="H294" s="97"/>
      <c r="I294" s="97"/>
      <c r="J294" s="196"/>
    </row>
    <row r="295" s="96" customFormat="true" ht="15.75" hidden="false" customHeight="true" outlineLevel="0" collapsed="false">
      <c r="A295" s="200"/>
      <c r="C295" s="83" t="s">
        <v>816</v>
      </c>
      <c r="D295" s="98"/>
      <c r="E295" s="97"/>
      <c r="F295" s="97"/>
      <c r="G295" s="191"/>
      <c r="H295" s="191"/>
      <c r="I295" s="97"/>
      <c r="J295" s="196"/>
    </row>
    <row r="296" s="96" customFormat="true" ht="15.75" hidden="false" customHeight="true" outlineLevel="0" collapsed="false">
      <c r="A296" s="200"/>
      <c r="C296" s="181" t="s">
        <v>817</v>
      </c>
      <c r="D296" s="181"/>
      <c r="E296" s="181"/>
      <c r="F296" s="97"/>
      <c r="G296" s="190"/>
      <c r="H296" s="189"/>
      <c r="I296" s="97"/>
      <c r="J296" s="196"/>
    </row>
    <row r="297" s="96" customFormat="true" ht="15.75" hidden="false" customHeight="true" outlineLevel="0" collapsed="false">
      <c r="A297" s="107"/>
      <c r="C297" s="181" t="s">
        <v>478</v>
      </c>
      <c r="D297" s="181"/>
      <c r="E297" s="181"/>
      <c r="F297" s="97"/>
      <c r="G297" s="97"/>
      <c r="H297" s="97"/>
      <c r="I297" s="97"/>
      <c r="J297" s="196"/>
    </row>
    <row r="298" s="96" customFormat="true" ht="15.75" hidden="false" customHeight="true" outlineLevel="0" collapsed="false">
      <c r="A298" s="191"/>
      <c r="B298" s="191"/>
      <c r="C298" s="181" t="s">
        <v>479</v>
      </c>
      <c r="D298" s="203"/>
      <c r="E298" s="204"/>
      <c r="F298" s="191"/>
      <c r="G298" s="97"/>
      <c r="H298" s="97"/>
      <c r="I298" s="97"/>
      <c r="J298" s="196"/>
    </row>
    <row r="299" s="96" customFormat="true" ht="15.75" hidden="false" customHeight="true" outlineLevel="0" collapsed="false">
      <c r="A299" s="190"/>
      <c r="B299" s="190"/>
      <c r="C299" s="185" t="n">
        <f aca="false">$I$147</f>
        <v>24.4821428571429</v>
      </c>
      <c r="D299" s="205"/>
      <c r="E299" s="206"/>
      <c r="F299" s="189"/>
      <c r="G299" s="97"/>
      <c r="H299" s="97"/>
      <c r="I299" s="97"/>
      <c r="J299" s="196"/>
    </row>
    <row r="300" s="96" customFormat="true" ht="15.75" hidden="false" customHeight="true" outlineLevel="0" collapsed="false">
      <c r="A300" s="97"/>
      <c r="C300" s="187" t="n">
        <f aca="false">$J$147</f>
        <v>28</v>
      </c>
      <c r="D300" s="98"/>
      <c r="F300" s="97"/>
      <c r="G300" s="97"/>
      <c r="H300" s="97"/>
      <c r="I300" s="97"/>
      <c r="J300" s="196"/>
    </row>
    <row r="301" s="96" customFormat="true" ht="15.75" hidden="false" customHeight="true" outlineLevel="0" collapsed="false">
      <c r="A301" s="97"/>
      <c r="C301" s="185" t="n">
        <f aca="false">$I$148</f>
        <v>2258</v>
      </c>
      <c r="D301" s="98"/>
      <c r="F301" s="97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C302" s="187" t="n">
        <f aca="false">$J$148</f>
        <v>28</v>
      </c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D305" s="98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C306" s="184" t="s">
        <v>744</v>
      </c>
      <c r="D306" s="98"/>
      <c r="E306" s="97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181" t="s">
        <v>475</v>
      </c>
      <c r="D307" s="181"/>
      <c r="E307" s="181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249" t="s">
        <v>476</v>
      </c>
      <c r="D308" s="249"/>
      <c r="E308" s="249"/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5" t="n">
        <f aca="false">$I$149</f>
        <v>2408</v>
      </c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7" t="n">
        <f aca="false">$J$149+$J$150</f>
        <v>2</v>
      </c>
      <c r="D310" s="181"/>
      <c r="E310" s="181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C311" s="181"/>
      <c r="D311" s="181"/>
      <c r="E311" s="181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C312" s="181"/>
      <c r="D312" s="181"/>
      <c r="E312" s="181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97"/>
      <c r="D313" s="98"/>
      <c r="F313" s="97"/>
      <c r="G313" s="97"/>
      <c r="H313" s="97"/>
      <c r="I313" s="97"/>
      <c r="J313" s="196"/>
    </row>
    <row r="314" s="96" customFormat="true" ht="15.75" hidden="false" customHeight="true" outlineLevel="0" collapsed="false">
      <c r="A314" s="200"/>
      <c r="D314" s="201"/>
      <c r="E314" s="196"/>
      <c r="F314" s="97"/>
      <c r="G314" s="97"/>
      <c r="H314" s="97"/>
      <c r="I314" s="200"/>
      <c r="J314" s="92" t="str">
        <f aca="false">LEFT($J$111,14)&amp;"-03"</f>
        <v>FG-240-14P7L7R-03</v>
      </c>
    </row>
    <row r="315" customFormat="false" ht="12.75" hidden="false" customHeight="true" outlineLevel="0" collapsed="false">
      <c r="A315" s="97"/>
      <c r="B315" s="49"/>
      <c r="C315" s="49"/>
      <c r="D315" s="207"/>
      <c r="E315" s="200"/>
      <c r="F315" s="200"/>
      <c r="G315" s="200"/>
      <c r="H315" s="200"/>
      <c r="I315" s="208"/>
      <c r="J315" s="208"/>
    </row>
    <row r="316" customFormat="false" ht="30" hidden="false" customHeight="true" outlineLevel="0" collapsed="false">
      <c r="I316" s="76"/>
      <c r="J316" s="77" t="str">
        <f aca="false">$J$2</f>
        <v>HOMELIFE</v>
      </c>
      <c r="K316" s="83"/>
      <c r="L316" s="83"/>
      <c r="M316" s="79"/>
      <c r="N316" s="79"/>
    </row>
    <row r="317" customFormat="false" ht="24.75" hidden="false" customHeight="true" outlineLevel="0" collapsed="false">
      <c r="C317" s="75"/>
      <c r="D317" s="76"/>
      <c r="E317" s="76"/>
      <c r="F317" s="76"/>
      <c r="G317" s="76"/>
      <c r="H317" s="76"/>
      <c r="I317" s="82"/>
      <c r="J317" s="80" t="str">
        <f aca="false">$J$3</f>
        <v>Fabricators Guide</v>
      </c>
      <c r="K317" s="83"/>
      <c r="L317" s="83"/>
      <c r="M317" s="79"/>
      <c r="N317" s="79"/>
    </row>
    <row r="318" customFormat="false" ht="24.75" hidden="false" customHeight="true" outlineLevel="0" collapsed="false">
      <c r="C318" s="82"/>
      <c r="D318" s="82"/>
      <c r="E318" s="82"/>
      <c r="F318" s="82"/>
      <c r="G318" s="82"/>
      <c r="H318" s="82"/>
      <c r="I318" s="82"/>
      <c r="J318" s="80" t="str">
        <f aca="false">$J$4</f>
        <v>240 Series Bi Fold Door </v>
      </c>
      <c r="M318" s="87"/>
      <c r="N318" s="87"/>
    </row>
    <row r="319" s="96" customFormat="true" ht="15" hidden="false" customHeight="true" outlineLevel="0" collapsed="false">
      <c r="A319" s="84"/>
      <c r="B319" s="81"/>
      <c r="C319" s="82"/>
      <c r="D319" s="82"/>
      <c r="E319" s="82"/>
      <c r="F319" s="82"/>
      <c r="G319" s="82"/>
      <c r="H319" s="82"/>
      <c r="I319" s="84"/>
      <c r="J319" s="94"/>
      <c r="K319" s="87"/>
      <c r="L319" s="87"/>
      <c r="M319" s="87"/>
      <c r="N319" s="87"/>
    </row>
    <row r="320" customFormat="false" ht="24.75" hidden="false" customHeight="true" outlineLevel="0" collapsed="false">
      <c r="A320" s="88" t="s">
        <v>480</v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/>
      <c r="L320" s="87"/>
      <c r="M320" s="87"/>
      <c r="N320" s="87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D325" s="98"/>
      <c r="E325" s="83"/>
      <c r="F325" s="98"/>
      <c r="G325" s="83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83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97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97"/>
      <c r="J328" s="97"/>
    </row>
    <row r="329" s="96" customFormat="true" ht="15" hidden="false" customHeight="true" outlineLevel="0" collapsed="false">
      <c r="A329" s="97"/>
      <c r="C329" s="98"/>
      <c r="D329" s="98"/>
      <c r="E329" s="83"/>
      <c r="F329" s="98"/>
      <c r="G329" s="97"/>
      <c r="H329" s="83"/>
      <c r="I329" s="182"/>
      <c r="J329" s="97"/>
    </row>
    <row r="330" s="96" customFormat="true" ht="15" hidden="false" customHeight="true" outlineLevel="0" collapsed="false">
      <c r="A330" s="81"/>
      <c r="C330" s="182"/>
      <c r="D330" s="98"/>
      <c r="E330" s="97"/>
      <c r="F330" s="209"/>
      <c r="G330" s="209"/>
      <c r="H330" s="110"/>
      <c r="I330" s="98"/>
      <c r="J330" s="97"/>
    </row>
    <row r="331" s="96" customFormat="true" ht="15" hidden="false" customHeight="true" outlineLevel="0" collapsed="false">
      <c r="A331" s="99"/>
      <c r="B331" s="81"/>
      <c r="C331" s="98"/>
      <c r="D331" s="98"/>
      <c r="E331" s="97"/>
      <c r="F331" s="210"/>
      <c r="G331" s="210"/>
      <c r="H331" s="110"/>
      <c r="I331" s="98"/>
      <c r="J331" s="97"/>
    </row>
    <row r="332" s="96" customFormat="true" ht="15" hidden="false" customHeight="true" outlineLevel="0" collapsed="false">
      <c r="A332" s="211" t="str">
        <f aca="false">A18</f>
        <v>240-14 Panel (7L7R)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" hidden="false" customHeight="true" outlineLevel="0" collapsed="false">
      <c r="A333" s="90" t="str">
        <f aca="false">A19</f>
        <v>Outside Bi Fold Door </v>
      </c>
      <c r="B333" s="99"/>
      <c r="C333" s="98"/>
      <c r="D333" s="98"/>
      <c r="E333" s="97"/>
      <c r="F333" s="110"/>
      <c r="G333" s="110"/>
      <c r="H333" s="110"/>
      <c r="I333" s="97"/>
      <c r="J333" s="97"/>
    </row>
    <row r="334" s="96" customFormat="true" ht="15.75" hidden="false" customHeight="true" outlineLevel="0" collapsed="false">
      <c r="A334" s="97"/>
      <c r="B334" s="188"/>
      <c r="C334" s="182"/>
      <c r="D334" s="98"/>
      <c r="E334" s="97"/>
      <c r="F334" s="210"/>
      <c r="G334" s="210"/>
      <c r="H334" s="110"/>
      <c r="I334" s="97"/>
      <c r="J334" s="97"/>
    </row>
    <row r="335" s="96" customFormat="true" ht="15.75" hidden="false" customHeight="true" outlineLevel="0" collapsed="false">
      <c r="A335" s="81"/>
      <c r="B335" s="97"/>
      <c r="C335" s="98"/>
      <c r="D335" s="98"/>
      <c r="E335" s="97"/>
      <c r="F335" s="78"/>
      <c r="H335" s="97"/>
      <c r="I335" s="97"/>
      <c r="J335" s="97"/>
    </row>
    <row r="336" s="96" customFormat="true" ht="15.75" hidden="false" customHeight="true" outlineLevel="0" collapsed="false">
      <c r="A336" s="191"/>
      <c r="C336" s="212"/>
      <c r="D336" s="98"/>
      <c r="E336" s="97"/>
      <c r="F336" s="97"/>
      <c r="G336" s="97"/>
      <c r="H336" s="97"/>
      <c r="I336" s="191"/>
      <c r="J336" s="199"/>
    </row>
    <row r="337" s="96" customFormat="true" ht="15.75" hidden="false" customHeight="true" outlineLevel="0" collapsed="false">
      <c r="A337" s="190"/>
      <c r="C337" s="191"/>
      <c r="D337" s="192"/>
      <c r="E337" s="191"/>
      <c r="F337" s="191"/>
      <c r="G337" s="191"/>
      <c r="H337" s="191"/>
      <c r="I337" s="189"/>
      <c r="J337" s="190"/>
    </row>
    <row r="338" s="96" customFormat="true" ht="15.75" hidden="false" customHeight="true" outlineLevel="0" collapsed="false">
      <c r="A338" s="97"/>
      <c r="C338" s="98"/>
      <c r="D338" s="194"/>
      <c r="E338" s="190"/>
      <c r="F338" s="189"/>
      <c r="G338" s="190"/>
      <c r="H338" s="189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196"/>
      <c r="J339" s="196"/>
    </row>
    <row r="340" s="96" customFormat="true" ht="15.75" hidden="false" customHeight="true" outlineLevel="0" collapsed="false">
      <c r="A340" s="97"/>
      <c r="C340" s="98"/>
      <c r="D340" s="98"/>
      <c r="E340" s="97"/>
      <c r="F340" s="98"/>
      <c r="G340" s="97"/>
      <c r="H340" s="97"/>
      <c r="I340" s="201"/>
      <c r="J340" s="201"/>
    </row>
    <row r="341" s="96" customFormat="true" ht="15.75" hidden="false" customHeight="true" outlineLevel="0" collapsed="false">
      <c r="A341" s="97"/>
      <c r="C341" s="191"/>
      <c r="D341" s="98"/>
      <c r="E341" s="97"/>
      <c r="F341" s="98"/>
      <c r="G341" s="97"/>
      <c r="H341" s="201"/>
      <c r="I341" s="98"/>
      <c r="J341" s="98"/>
    </row>
    <row r="342" s="96" customFormat="true" ht="15.75" hidden="false" customHeight="true" outlineLevel="0" collapsed="false">
      <c r="A342" s="97"/>
      <c r="C342" s="182"/>
      <c r="D342" s="98"/>
      <c r="E342" s="97"/>
      <c r="F342" s="98"/>
      <c r="G342" s="97"/>
      <c r="H342" s="98"/>
      <c r="I342" s="98"/>
      <c r="J342" s="98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8"/>
      <c r="I343" s="97"/>
      <c r="J343" s="196"/>
    </row>
    <row r="344" s="96" customFormat="true" ht="15.75" hidden="false" customHeight="true" outlineLevel="0" collapsed="false">
      <c r="A344" s="97"/>
      <c r="C344" s="98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191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196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97"/>
      <c r="J350" s="196"/>
    </row>
    <row r="351" s="96" customFormat="true" ht="15.75" hidden="false" customHeight="true" outlineLevel="0" collapsed="false">
      <c r="A351" s="97"/>
      <c r="C351" s="98"/>
      <c r="D351" s="98"/>
      <c r="E351" s="97"/>
      <c r="F351" s="98"/>
      <c r="G351" s="97"/>
      <c r="H351" s="97"/>
      <c r="I351" s="196"/>
      <c r="J351" s="196"/>
    </row>
    <row r="352" s="96" customFormat="true" ht="15.75" hidden="false" customHeight="true" outlineLevel="0" collapsed="false">
      <c r="A352" s="97"/>
      <c r="D352" s="98"/>
      <c r="E352" s="97"/>
      <c r="F352" s="97"/>
      <c r="G352" s="97"/>
      <c r="H352" s="97"/>
      <c r="I352" s="196"/>
      <c r="J352" s="196"/>
    </row>
    <row r="353" s="96" customFormat="true" ht="15" hidden="false" customHeight="true" outlineLevel="0" collapsed="false">
      <c r="A353" s="97"/>
      <c r="D353" s="98"/>
      <c r="E353" s="97"/>
      <c r="F353" s="97"/>
      <c r="G353" s="97"/>
      <c r="H353" s="195"/>
      <c r="I353" s="196"/>
      <c r="J353" s="196"/>
    </row>
    <row r="354" s="202" customFormat="true" ht="15.75" hidden="false" customHeight="true" outlineLevel="0" collapsed="false">
      <c r="A354" s="97"/>
      <c r="B354" s="96"/>
      <c r="C354" s="96"/>
      <c r="D354" s="98"/>
      <c r="E354" s="97"/>
      <c r="F354" s="97"/>
      <c r="G354" s="97"/>
      <c r="H354" s="97"/>
      <c r="I354" s="97"/>
      <c r="J354" s="97"/>
    </row>
    <row r="355" s="96" customFormat="true" ht="15.75" hidden="false" customHeight="true" outlineLevel="0" collapsed="false">
      <c r="A355" s="191"/>
      <c r="D355" s="98"/>
      <c r="E355" s="97"/>
      <c r="F355" s="97"/>
      <c r="G355" s="97"/>
      <c r="H355" s="97"/>
      <c r="I355" s="191"/>
      <c r="J355" s="199"/>
    </row>
    <row r="356" s="96" customFormat="true" ht="15.75" hidden="false" customHeight="true" outlineLevel="0" collapsed="false">
      <c r="A356" s="190"/>
      <c r="B356" s="191"/>
      <c r="C356" s="191"/>
      <c r="D356" s="192"/>
      <c r="E356" s="191"/>
      <c r="F356" s="191"/>
      <c r="G356" s="191"/>
      <c r="H356" s="191"/>
      <c r="I356" s="189"/>
      <c r="J356" s="190"/>
    </row>
    <row r="357" s="96" customFormat="true" ht="15.75" hidden="false" customHeight="true" outlineLevel="0" collapsed="false">
      <c r="A357" s="200"/>
      <c r="B357" s="190"/>
      <c r="C357" s="191"/>
      <c r="D357" s="194"/>
      <c r="E357" s="190"/>
      <c r="F357" s="189"/>
      <c r="G357" s="190"/>
      <c r="H357" s="189"/>
      <c r="I357" s="196"/>
      <c r="J357" s="196"/>
    </row>
    <row r="358" s="96" customFormat="true" ht="15.75" hidden="false" customHeight="true" outlineLevel="0" collapsed="false">
      <c r="A358" s="200"/>
      <c r="C358" s="182"/>
      <c r="D358" s="98"/>
      <c r="E358" s="97"/>
      <c r="F358" s="97"/>
      <c r="G358" s="97"/>
      <c r="H358" s="182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98"/>
      <c r="J359" s="98"/>
    </row>
    <row r="360" s="96" customFormat="true" ht="15.75" hidden="false" customHeight="true" outlineLevel="0" collapsed="false">
      <c r="A360" s="200"/>
      <c r="C360" s="98"/>
      <c r="D360" s="98"/>
      <c r="E360" s="97"/>
      <c r="F360" s="97"/>
      <c r="G360" s="97"/>
      <c r="H360" s="98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C364" s="98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G371" s="97"/>
      <c r="H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97"/>
      <c r="I375" s="196"/>
      <c r="J375" s="196"/>
    </row>
    <row r="376" s="96" customFormat="true" ht="15.75" hidden="false" customHeight="true" outlineLevel="0" collapsed="false">
      <c r="A376" s="200"/>
      <c r="D376" s="98"/>
      <c r="E376" s="97"/>
      <c r="F376" s="97"/>
      <c r="G376" s="97"/>
      <c r="H376" s="182"/>
      <c r="I376" s="98"/>
      <c r="J376" s="98"/>
    </row>
    <row r="377" s="96" customFormat="true" ht="15.75" hidden="false" customHeight="true" outlineLevel="0" collapsed="false">
      <c r="A377" s="200"/>
      <c r="C377" s="188"/>
      <c r="D377" s="98"/>
      <c r="E377" s="97"/>
      <c r="F377" s="97"/>
      <c r="G377" s="97"/>
      <c r="H377" s="98"/>
      <c r="I377" s="98"/>
      <c r="J377" s="98"/>
    </row>
    <row r="378" s="96" customFormat="true" ht="15.75" hidden="false" customHeight="true" outlineLevel="0" collapsed="false">
      <c r="A378" s="200"/>
      <c r="D378" s="98"/>
      <c r="E378" s="97"/>
      <c r="F378" s="97"/>
      <c r="G378" s="97"/>
      <c r="H378" s="98"/>
      <c r="I378" s="196"/>
      <c r="J378" s="196"/>
    </row>
    <row r="379" s="96" customFormat="true" ht="15.75" hidden="false" customHeight="true" outlineLevel="0" collapsed="false">
      <c r="A379" s="200"/>
      <c r="C379" s="98"/>
      <c r="D379" s="98"/>
      <c r="E379" s="97"/>
      <c r="F379" s="97"/>
      <c r="G379" s="97"/>
      <c r="H379" s="182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98"/>
      <c r="J380" s="98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8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196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97"/>
      <c r="J387" s="196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97"/>
      <c r="I388" s="213"/>
      <c r="J388" s="213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213"/>
      <c r="I389" s="97"/>
      <c r="J389" s="97"/>
    </row>
    <row r="390" s="96" customFormat="true" ht="15.75" hidden="false" customHeight="true" outlineLevel="0" collapsed="false">
      <c r="A390" s="200"/>
      <c r="D390" s="98"/>
      <c r="E390" s="97"/>
      <c r="F390" s="97"/>
      <c r="G390" s="97"/>
      <c r="H390" s="97"/>
      <c r="I390" s="98"/>
      <c r="J390" s="98"/>
    </row>
    <row r="391" s="96" customFormat="true" ht="15.75" hidden="false" customHeight="true" outlineLevel="0" collapsed="false">
      <c r="A391" s="200"/>
      <c r="C391" s="188"/>
      <c r="D391" s="98"/>
      <c r="E391" s="97"/>
      <c r="F391" s="97"/>
      <c r="G391" s="97"/>
      <c r="H391" s="98"/>
      <c r="I391" s="196"/>
      <c r="J391" s="196"/>
    </row>
    <row r="392" s="96" customFormat="true" ht="15.75" hidden="false" customHeight="true" outlineLevel="0" collapsed="false">
      <c r="A392" s="200"/>
      <c r="D392" s="98"/>
      <c r="E392" s="97"/>
      <c r="F392" s="97"/>
      <c r="G392" s="97"/>
      <c r="H392" s="97"/>
      <c r="I392" s="97"/>
      <c r="J392" s="196"/>
    </row>
    <row r="393" s="96" customFormat="true" ht="15.75" hidden="false" customHeight="true" outlineLevel="0" collapsed="false">
      <c r="A393" s="200"/>
      <c r="C393" s="98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200"/>
      <c r="D395" s="98"/>
      <c r="E395" s="97"/>
      <c r="F395" s="97"/>
      <c r="G395" s="97"/>
      <c r="H395" s="97"/>
      <c r="I395" s="196"/>
      <c r="J395" s="196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96" customFormat="true" ht="15.75" hidden="false" customHeight="true" outlineLevel="0" collapsed="false">
      <c r="A403" s="107"/>
      <c r="D403" s="98"/>
      <c r="E403" s="97"/>
      <c r="F403" s="97"/>
      <c r="G403" s="97"/>
      <c r="H403" s="97"/>
      <c r="I403" s="97"/>
      <c r="J403" s="97"/>
    </row>
    <row r="404" s="202" customFormat="true" ht="15.75" hidden="false" customHeight="true" outlineLevel="0" collapsed="false">
      <c r="A404" s="107"/>
      <c r="B404" s="96"/>
      <c r="C404" s="96"/>
      <c r="D404" s="98"/>
      <c r="E404" s="97"/>
      <c r="F404" s="97"/>
      <c r="G404" s="97"/>
      <c r="H404" s="97"/>
      <c r="I404" s="97"/>
      <c r="J404" s="97"/>
    </row>
    <row r="405" s="96" customFormat="true" ht="15.75" hidden="false" customHeight="true" outlineLevel="0" collapsed="false">
      <c r="A405" s="191"/>
      <c r="D405" s="98"/>
      <c r="E405" s="97"/>
      <c r="F405" s="97"/>
      <c r="G405" s="97"/>
      <c r="H405" s="97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191"/>
      <c r="B418" s="191"/>
      <c r="C418" s="191"/>
      <c r="D418" s="192"/>
      <c r="E418" s="191"/>
      <c r="F418" s="191"/>
      <c r="G418" s="191"/>
      <c r="H418" s="191"/>
      <c r="I418" s="191"/>
      <c r="J418" s="199"/>
    </row>
    <row r="419" s="96" customFormat="true" ht="15.75" hidden="false" customHeight="true" outlineLevel="0" collapsed="false">
      <c r="A419" s="97"/>
      <c r="B419" s="191"/>
      <c r="C419" s="191"/>
      <c r="D419" s="192"/>
      <c r="E419" s="191"/>
      <c r="F419" s="191"/>
      <c r="G419" s="191"/>
      <c r="H419" s="191"/>
      <c r="I419" s="196"/>
      <c r="J419" s="196"/>
      <c r="K419" s="214"/>
    </row>
    <row r="420" s="96" customFormat="true" ht="15.75" hidden="false" customHeight="true" outlineLevel="0" collapsed="false">
      <c r="A420" s="97"/>
      <c r="D420" s="98"/>
      <c r="E420" s="97"/>
      <c r="F420" s="97"/>
      <c r="G420" s="97"/>
      <c r="H420" s="97"/>
      <c r="I420" s="196"/>
    </row>
    <row r="421" customFormat="false" ht="18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92" t="str">
        <f aca="false">LEFT($J$111,14)&amp;"-04"</f>
        <v>FG-240-14P7L7R-04</v>
      </c>
      <c r="K421" s="78"/>
      <c r="L421" s="78"/>
      <c r="M421" s="79"/>
      <c r="N421" s="79"/>
    </row>
    <row r="422" customFormat="false" ht="12.75" hidden="false" customHeight="true" outlineLevel="0" collapsed="false">
      <c r="A422" s="97"/>
      <c r="B422" s="96"/>
      <c r="C422" s="96"/>
      <c r="D422" s="98"/>
      <c r="E422" s="97"/>
      <c r="F422" s="97"/>
      <c r="G422" s="97"/>
      <c r="H422" s="97"/>
      <c r="I422" s="97"/>
      <c r="J422" s="215"/>
      <c r="K422" s="78"/>
      <c r="L422" s="78"/>
      <c r="M422" s="79"/>
      <c r="N422" s="79"/>
    </row>
    <row r="423" customFormat="false" ht="30" hidden="false" customHeight="true" outlineLevel="0" collapsed="false">
      <c r="B423" s="96"/>
      <c r="C423" s="96"/>
      <c r="D423" s="98"/>
      <c r="E423" s="97"/>
      <c r="F423" s="97"/>
      <c r="G423" s="97"/>
      <c r="H423" s="97"/>
      <c r="I423" s="76"/>
      <c r="J423" s="77" t="str">
        <f aca="false">J2</f>
        <v>HOMELIFE</v>
      </c>
      <c r="K423" s="83"/>
      <c r="L423" s="83"/>
      <c r="M423" s="79"/>
      <c r="N423" s="79"/>
    </row>
    <row r="424" customFormat="false" ht="24.75" hidden="false" customHeight="true" outlineLevel="0" collapsed="false">
      <c r="C424" s="75"/>
      <c r="D424" s="76"/>
      <c r="E424" s="76"/>
      <c r="F424" s="76"/>
      <c r="G424" s="76"/>
      <c r="H424" s="76"/>
      <c r="I424" s="82"/>
      <c r="J424" s="80" t="str">
        <f aca="false">J3</f>
        <v>Fabricators Guide</v>
      </c>
      <c r="K424" s="83"/>
      <c r="L424" s="83"/>
      <c r="M424" s="79"/>
      <c r="N424" s="79"/>
    </row>
    <row r="425" customFormat="false" ht="24.75" hidden="false" customHeight="true" outlineLevel="0" collapsed="false">
      <c r="C425" s="82"/>
      <c r="D425" s="82"/>
      <c r="E425" s="82"/>
      <c r="F425" s="82"/>
      <c r="G425" s="82"/>
      <c r="H425" s="82"/>
      <c r="I425" s="82"/>
      <c r="J425" s="80" t="str">
        <f aca="false">J4</f>
        <v>240 Series Bi Fold Door </v>
      </c>
      <c r="M425" s="87"/>
      <c r="N425" s="87"/>
    </row>
    <row r="426" s="96" customFormat="true" ht="15" hidden="false" customHeight="true" outlineLevel="0" collapsed="false">
      <c r="A426" s="84"/>
      <c r="B426" s="81"/>
      <c r="C426" s="82"/>
      <c r="D426" s="82"/>
      <c r="E426" s="82"/>
      <c r="F426" s="82"/>
      <c r="G426" s="82"/>
      <c r="H426" s="82"/>
      <c r="I426" s="84"/>
      <c r="J426" s="86"/>
      <c r="K426" s="87"/>
      <c r="L426" s="87"/>
      <c r="M426" s="87"/>
      <c r="N426" s="87"/>
    </row>
    <row r="427" s="96" customFormat="true" ht="24.75" hidden="false" customHeight="true" outlineLevel="0" collapsed="false">
      <c r="A427" s="88" t="s">
        <v>481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87"/>
      <c r="L427" s="87"/>
      <c r="M427" s="87"/>
      <c r="N427" s="87"/>
    </row>
    <row r="428" s="96" customFormat="true" ht="15" hidden="false" customHeight="true" outlineLevel="0" collapsed="false">
      <c r="B428" s="268"/>
      <c r="C428" s="268"/>
      <c r="D428" s="268"/>
      <c r="E428" s="268"/>
      <c r="F428" s="268"/>
      <c r="G428" s="268"/>
      <c r="H428" s="268"/>
    </row>
    <row r="429" s="96" customFormat="true" ht="15" hidden="false" customHeight="true" outlineLevel="0" collapsed="false">
      <c r="A429" s="188"/>
      <c r="I429" s="191"/>
      <c r="J429" s="199"/>
    </row>
    <row r="430" s="96" customFormat="true" ht="15" hidden="false" customHeight="true" outlineLevel="0" collapsed="false">
      <c r="A430" s="97"/>
      <c r="B430" s="81"/>
      <c r="D430" s="98"/>
      <c r="E430" s="83"/>
      <c r="F430" s="81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D432" s="98"/>
      <c r="E432" s="83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97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97"/>
      <c r="C435" s="98"/>
      <c r="D435" s="98"/>
      <c r="E435" s="83"/>
      <c r="F435" s="98"/>
      <c r="H435" s="191"/>
      <c r="I435" s="191"/>
      <c r="J435" s="199"/>
    </row>
    <row r="436" s="96" customFormat="true" ht="15" hidden="false" customHeight="true" outlineLevel="0" collapsed="false">
      <c r="A436" s="81"/>
      <c r="C436" s="182"/>
      <c r="D436" s="98"/>
      <c r="E436" s="97"/>
      <c r="F436" s="216"/>
      <c r="H436" s="191"/>
      <c r="I436" s="191"/>
      <c r="J436" s="199"/>
    </row>
    <row r="437" s="96" customFormat="true" ht="15" hidden="false" customHeight="true" outlineLevel="0" collapsed="false">
      <c r="A437" s="99"/>
      <c r="B437" s="81"/>
      <c r="C437" s="98"/>
      <c r="D437" s="98"/>
      <c r="E437" s="97"/>
      <c r="F437" s="186"/>
      <c r="H437" s="191"/>
      <c r="I437" s="191"/>
      <c r="J437" s="199"/>
    </row>
    <row r="438" s="96" customFormat="true" ht="15" hidden="false" customHeight="true" outlineLevel="0" collapsed="false"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" hidden="false" customHeight="true" outlineLevel="0" collapsed="false">
      <c r="A439" s="211" t="str">
        <f aca="false">A18</f>
        <v>240-14 Panel (7L7R)</v>
      </c>
      <c r="B439" s="99"/>
      <c r="C439" s="98"/>
      <c r="D439" s="98"/>
      <c r="E439" s="97"/>
      <c r="F439" s="110"/>
      <c r="H439" s="191"/>
      <c r="I439" s="191"/>
      <c r="J439" s="199"/>
    </row>
    <row r="440" s="96" customFormat="true" ht="15.75" hidden="false" customHeight="true" outlineLevel="0" collapsed="false">
      <c r="A440" s="90" t="str">
        <f aca="false">A19</f>
        <v>Outside Bi Fold Door </v>
      </c>
      <c r="C440" s="182"/>
      <c r="D440" s="98"/>
      <c r="E440" s="97"/>
      <c r="F440" s="186"/>
      <c r="H440" s="191"/>
      <c r="I440" s="191"/>
      <c r="J440" s="199"/>
    </row>
    <row r="441" s="96" customFormat="true" ht="15.75" hidden="false" customHeight="true" outlineLevel="0" collapsed="false">
      <c r="A441" s="81"/>
      <c r="C441" s="98"/>
      <c r="D441" s="98"/>
      <c r="E441" s="97"/>
      <c r="F441" s="78"/>
      <c r="H441" s="191"/>
      <c r="I441" s="191"/>
      <c r="J441" s="199"/>
    </row>
    <row r="442" s="96" customFormat="true" ht="15.75" hidden="false" customHeight="true" outlineLevel="0" collapsed="false">
      <c r="A442" s="191"/>
      <c r="C442" s="212"/>
      <c r="D442" s="98"/>
      <c r="E442" s="97"/>
      <c r="F442" s="97"/>
      <c r="H442" s="191"/>
      <c r="I442" s="191"/>
      <c r="J442" s="199"/>
    </row>
    <row r="443" s="96" customFormat="true" ht="15.75" hidden="false" customHeight="true" outlineLevel="0" collapsed="false">
      <c r="A443" s="190"/>
      <c r="C443" s="191"/>
      <c r="D443" s="192"/>
      <c r="E443" s="191"/>
      <c r="F443" s="191"/>
      <c r="H443" s="191"/>
      <c r="I443" s="191"/>
      <c r="J443" s="199"/>
    </row>
    <row r="444" s="96" customFormat="true" ht="34.5" hidden="false" customHeight="true" outlineLevel="0" collapsed="false">
      <c r="A444" s="97"/>
      <c r="C444" s="98"/>
      <c r="D444" s="194"/>
      <c r="E444" s="190"/>
      <c r="F444" s="189"/>
      <c r="H444" s="191"/>
      <c r="I444" s="196"/>
      <c r="J444" s="196"/>
    </row>
    <row r="445" customFormat="false" ht="15" hidden="false" customHeight="true" outlineLevel="0" collapsed="false">
      <c r="B445" s="211"/>
      <c r="C445" s="98"/>
      <c r="D445" s="98"/>
      <c r="E445" s="97"/>
      <c r="F445" s="98"/>
      <c r="G445" s="97"/>
      <c r="H445" s="97"/>
    </row>
    <row r="450" s="96" customFormat="true" ht="15.75" hidden="false" customHeight="true" outlineLevel="0" collapsed="false">
      <c r="A450" s="97"/>
      <c r="D450" s="73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191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196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97"/>
      <c r="J456" s="196"/>
    </row>
    <row r="457" s="96" customFormat="true" ht="15.75" hidden="false" customHeight="true" outlineLevel="0" collapsed="false">
      <c r="A457" s="97"/>
      <c r="C457" s="98"/>
      <c r="D457" s="98"/>
      <c r="E457" s="97"/>
      <c r="F457" s="98"/>
      <c r="G457" s="97"/>
      <c r="H457" s="97"/>
      <c r="I457" s="196"/>
      <c r="J457" s="196"/>
    </row>
    <row r="458" s="96" customFormat="true" ht="15.75" hidden="false" customHeight="true" outlineLevel="0" collapsed="false">
      <c r="A458" s="97"/>
      <c r="D458" s="98"/>
      <c r="E458" s="97"/>
      <c r="F458" s="97"/>
      <c r="G458" s="97"/>
      <c r="H458" s="97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195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96" customFormat="true" ht="15" hidden="false" customHeight="true" outlineLevel="0" collapsed="false">
      <c r="A476" s="97"/>
      <c r="D476" s="98"/>
      <c r="E476" s="97"/>
      <c r="F476" s="97"/>
      <c r="G476" s="97"/>
      <c r="H476" s="97"/>
      <c r="I476" s="196"/>
      <c r="J476" s="196"/>
    </row>
    <row r="477" s="202" customFormat="true" ht="15.75" hidden="false" customHeight="true" outlineLevel="0" collapsed="false">
      <c r="A477" s="97"/>
      <c r="B477" s="96"/>
      <c r="C477" s="96"/>
      <c r="D477" s="98"/>
      <c r="E477" s="97"/>
      <c r="F477" s="97"/>
      <c r="G477" s="97"/>
      <c r="H477" s="97"/>
      <c r="I477" s="97"/>
      <c r="J477" s="97"/>
    </row>
    <row r="478" s="96" customFormat="true" ht="15.75" hidden="false" customHeight="true" outlineLevel="0" collapsed="false">
      <c r="A478" s="191"/>
      <c r="D478" s="98"/>
      <c r="E478" s="97"/>
      <c r="F478" s="97"/>
      <c r="G478" s="97"/>
      <c r="H478" s="97"/>
      <c r="I478" s="191"/>
      <c r="J478" s="199"/>
    </row>
    <row r="479" s="96" customFormat="true" ht="15.75" hidden="false" customHeight="true" outlineLevel="0" collapsed="false">
      <c r="A479" s="190"/>
      <c r="B479" s="191"/>
      <c r="C479" s="191"/>
      <c r="D479" s="192"/>
      <c r="E479" s="191"/>
      <c r="F479" s="191"/>
      <c r="G479" s="191"/>
      <c r="H479" s="191"/>
      <c r="I479" s="189"/>
      <c r="J479" s="190"/>
    </row>
    <row r="480" s="96" customFormat="true" ht="15.75" hidden="false" customHeight="true" outlineLevel="0" collapsed="false">
      <c r="A480" s="200"/>
      <c r="B480" s="190"/>
      <c r="C480" s="191"/>
      <c r="D480" s="194"/>
      <c r="E480" s="190"/>
      <c r="F480" s="189"/>
      <c r="G480" s="190"/>
      <c r="H480" s="189"/>
      <c r="I480" s="196"/>
      <c r="J480" s="196"/>
    </row>
    <row r="481" s="96" customFormat="true" ht="15.75" hidden="false" customHeight="true" outlineLevel="0" collapsed="false">
      <c r="A481" s="200"/>
      <c r="C481" s="182"/>
      <c r="D481" s="98"/>
      <c r="E481" s="97"/>
      <c r="F481" s="97"/>
      <c r="G481" s="97"/>
      <c r="H481" s="182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J482" s="97"/>
    </row>
    <row r="483" s="96" customFormat="true" ht="15.75" hidden="false" customHeight="true" outlineLevel="0" collapsed="false">
      <c r="A483" s="200"/>
      <c r="C483" s="98"/>
      <c r="D483" s="98"/>
      <c r="E483" s="97"/>
      <c r="F483" s="97"/>
      <c r="G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C487" s="98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G494" s="97"/>
      <c r="H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97"/>
      <c r="I498" s="196"/>
      <c r="J498" s="196"/>
    </row>
    <row r="499" s="96" customFormat="true" ht="15.75" hidden="false" customHeight="true" outlineLevel="0" collapsed="false">
      <c r="A499" s="200"/>
      <c r="D499" s="98"/>
      <c r="E499" s="97"/>
      <c r="F499" s="97"/>
      <c r="G499" s="97"/>
      <c r="H499" s="182"/>
      <c r="J499" s="97"/>
    </row>
    <row r="500" s="96" customFormat="true" ht="15.75" hidden="false" customHeight="true" outlineLevel="0" collapsed="false">
      <c r="A500" s="200"/>
      <c r="C500" s="188"/>
      <c r="D500" s="98"/>
      <c r="E500" s="97"/>
      <c r="F500" s="97"/>
      <c r="G500" s="97"/>
      <c r="J500" s="97"/>
    </row>
    <row r="501" s="96" customFormat="true" ht="15.75" hidden="false" customHeight="true" outlineLevel="0" collapsed="false">
      <c r="A501" s="200"/>
      <c r="D501" s="98"/>
      <c r="E501" s="97"/>
      <c r="F501" s="97"/>
      <c r="G501" s="97"/>
      <c r="I501" s="196"/>
      <c r="J501" s="196"/>
    </row>
    <row r="502" s="96" customFormat="true" ht="15.75" hidden="false" customHeight="true" outlineLevel="0" collapsed="false">
      <c r="A502" s="200"/>
      <c r="C502" s="98"/>
      <c r="D502" s="98"/>
      <c r="E502" s="97"/>
      <c r="F502" s="97"/>
      <c r="G502" s="97"/>
      <c r="H502" s="182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J503" s="97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196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200"/>
      <c r="D512" s="98"/>
      <c r="E512" s="97"/>
      <c r="F512" s="97"/>
      <c r="G512" s="97"/>
      <c r="H512" s="97"/>
      <c r="I512" s="97"/>
      <c r="J512" s="196"/>
    </row>
    <row r="513" s="96" customFormat="true" ht="15.75" hidden="false" customHeight="true" outlineLevel="0" collapsed="false">
      <c r="A513" s="191"/>
      <c r="D513" s="98"/>
      <c r="E513" s="97"/>
      <c r="F513" s="97"/>
      <c r="G513" s="97"/>
      <c r="I513" s="191"/>
      <c r="J513" s="199"/>
    </row>
    <row r="514" s="96" customFormat="true" ht="15.75" hidden="false" customHeight="true" outlineLevel="0" collapsed="false">
      <c r="A514" s="191"/>
      <c r="B514" s="191"/>
      <c r="C514" s="191"/>
      <c r="D514" s="192"/>
      <c r="E514" s="191"/>
      <c r="F514" s="191"/>
      <c r="G514" s="191"/>
      <c r="H514" s="191"/>
      <c r="I514" s="191"/>
      <c r="J514" s="199"/>
    </row>
    <row r="515" s="96" customFormat="true" ht="15.75" hidden="false" customHeight="true" outlineLevel="0" collapsed="false">
      <c r="A515" s="191"/>
      <c r="B515" s="191"/>
      <c r="C515" s="191"/>
      <c r="D515" s="192"/>
      <c r="E515" s="191"/>
      <c r="F515" s="191"/>
      <c r="G515" s="191"/>
      <c r="H515" s="191"/>
      <c r="I515" s="191"/>
      <c r="J515" s="199"/>
    </row>
    <row r="516" s="96" customFormat="true" ht="15.75" hidden="false" customHeight="true" outlineLevel="0" collapsed="false">
      <c r="B516" s="191"/>
      <c r="C516" s="191"/>
      <c r="D516" s="192"/>
      <c r="E516" s="191"/>
      <c r="F516" s="191"/>
      <c r="G516" s="191"/>
      <c r="H516" s="191"/>
    </row>
    <row r="517" s="96" customFormat="true" ht="15.75" hidden="false" customHeight="true" outlineLevel="0" collapsed="false"/>
    <row r="518" s="96" customFormat="true" ht="24.75" hidden="false" customHeight="true" outlineLevel="0" collapsed="false">
      <c r="A518" s="88" t="s">
        <v>482</v>
      </c>
      <c r="B518" s="88"/>
      <c r="C518" s="88"/>
      <c r="D518" s="88"/>
      <c r="E518" s="88"/>
      <c r="F518" s="88"/>
      <c r="G518" s="88"/>
      <c r="H518" s="88"/>
      <c r="I518" s="88"/>
      <c r="J518" s="88"/>
    </row>
    <row r="519" s="96" customFormat="true" ht="34.5" hidden="false" customHeight="true" outlineLevel="0" collapsed="false">
      <c r="A519" s="322" t="s">
        <v>319</v>
      </c>
      <c r="B519" s="323" t="s">
        <v>168</v>
      </c>
      <c r="C519" s="115" t="s">
        <v>168</v>
      </c>
      <c r="D519" s="116" t="s">
        <v>483</v>
      </c>
      <c r="E519" s="115" t="s">
        <v>321</v>
      </c>
      <c r="F519" s="239" t="s">
        <v>484</v>
      </c>
      <c r="G519" s="240"/>
      <c r="H519" s="116" t="s">
        <v>484</v>
      </c>
      <c r="I519" s="116" t="s">
        <v>485</v>
      </c>
      <c r="J519" s="117" t="s">
        <v>323</v>
      </c>
      <c r="N519" s="118" t="s">
        <v>168</v>
      </c>
      <c r="O519" s="118" t="s">
        <v>168</v>
      </c>
    </row>
    <row r="520" s="96" customFormat="true" ht="15.75" hidden="false" customHeight="true" outlineLevel="0" collapsed="false">
      <c r="A520" s="324" t="n">
        <f aca="false">IF(C520="","",1)</f>
        <v>1</v>
      </c>
      <c r="B520" s="121" t="str">
        <f aca="false">IF($D$127=5,N520,IF($D$127=6,N521,IF($D$127=8,N522,IF($D$127=10,N523,IF($D$127=12,N524,IF($D$127=14,N525,IF($D$127=18,N526,IF($D$127=20,N527,IF($D$127=22,N528,)))))))))</f>
        <v>กระจก 5 mm (สูง) (กว้าง)</v>
      </c>
      <c r="C520" s="121" t="str">
        <f aca="false">IF($D$127=5,O520,IF($D$127=6,O521,IF($D$127=8,O522,IF($D$127=10,O523,IF($D$127=12,O524,IF($D$127=14,O525,IF($D$127=18,O526,IF($D$127=20,O527,IF($D$127=22,O528,)))))))))</f>
        <v>GLASS thk.5 mm (H) (W)</v>
      </c>
      <c r="D520" s="123" t="n">
        <f aca="false">$J$123-215</f>
        <v>2285</v>
      </c>
      <c r="E520" s="120" t="s">
        <v>486</v>
      </c>
      <c r="F520" s="224" t="s">
        <v>487</v>
      </c>
      <c r="G520" s="224"/>
      <c r="H520" s="120" t="s">
        <v>818</v>
      </c>
      <c r="I520" s="225" t="n">
        <f aca="false">(($J$126-185-(113.25*13))/14)-13</f>
        <v>11.4821428571429</v>
      </c>
      <c r="J520" s="226" t="n">
        <f aca="false">$J$120*14</f>
        <v>14</v>
      </c>
      <c r="N520" s="62" t="s">
        <v>489</v>
      </c>
      <c r="O520" s="62" t="s">
        <v>490</v>
      </c>
    </row>
    <row r="521" s="96" customFormat="true" ht="15.75" hidden="false" customHeight="true" outlineLevel="0" collapsed="false">
      <c r="A521" s="227"/>
      <c r="B521" s="131"/>
      <c r="C521" s="131"/>
      <c r="D521" s="132" t="s">
        <v>208</v>
      </c>
      <c r="E521" s="130"/>
      <c r="F521" s="233"/>
      <c r="G521" s="234"/>
      <c r="H521" s="131"/>
      <c r="I521" s="133"/>
      <c r="J521" s="235"/>
      <c r="N521" s="62" t="s">
        <v>491</v>
      </c>
      <c r="O521" s="62" t="s">
        <v>492</v>
      </c>
    </row>
    <row r="522" s="96" customFormat="true" ht="15.75" hidden="false" customHeight="true" outlineLevel="0" collapsed="false">
      <c r="A522" s="227"/>
      <c r="B522" s="131"/>
      <c r="C522" s="131"/>
      <c r="D522" s="132"/>
      <c r="E522" s="130"/>
      <c r="F522" s="233"/>
      <c r="G522" s="234"/>
      <c r="H522" s="130"/>
      <c r="I522" s="133"/>
      <c r="J522" s="235"/>
      <c r="N522" s="62" t="s">
        <v>493</v>
      </c>
      <c r="O522" s="62" t="s">
        <v>494</v>
      </c>
    </row>
    <row r="523" s="96" customFormat="true" ht="15.75" hidden="false" customHeight="true" outlineLevel="0" collapsed="false">
      <c r="A523" s="130" t="str">
        <f aca="false">IF(B523="","",+A521+1)</f>
        <v/>
      </c>
      <c r="B523" s="131"/>
      <c r="C523" s="131"/>
      <c r="D523" s="132"/>
      <c r="E523" s="130"/>
      <c r="F523" s="233"/>
      <c r="G523" s="270"/>
      <c r="H523" s="130"/>
      <c r="I523" s="142"/>
      <c r="J523" s="133"/>
      <c r="N523" s="62" t="s">
        <v>495</v>
      </c>
      <c r="O523" s="62" t="s">
        <v>496</v>
      </c>
    </row>
    <row r="524" s="96" customFormat="true" ht="15.75" hidden="false" customHeight="true" outlineLevel="0" collapsed="false">
      <c r="A524" s="136" t="str">
        <f aca="false">IF(B524="","",+A523+1)</f>
        <v/>
      </c>
      <c r="B524" s="135"/>
      <c r="C524" s="135"/>
      <c r="D524" s="139"/>
      <c r="E524" s="136"/>
      <c r="F524" s="236"/>
      <c r="G524" s="237"/>
      <c r="H524" s="136"/>
      <c r="I524" s="180"/>
      <c r="J524" s="140"/>
      <c r="N524" s="62" t="s">
        <v>497</v>
      </c>
      <c r="O524" s="62" t="s">
        <v>498</v>
      </c>
    </row>
    <row r="525" s="96" customFormat="true" ht="15.75" hidden="false" customHeight="true" outlineLevel="0" collapsed="false">
      <c r="A525" s="97"/>
      <c r="D525" s="98"/>
      <c r="E525" s="97"/>
      <c r="F525" s="97"/>
      <c r="G525" s="97"/>
      <c r="H525" s="97"/>
      <c r="I525" s="97"/>
      <c r="J525" s="196"/>
      <c r="N525" s="62" t="s">
        <v>499</v>
      </c>
      <c r="O525" s="62" t="s">
        <v>500</v>
      </c>
    </row>
    <row r="526" customFormat="false" ht="14.25" hidden="false" customHeight="false" outlineLevel="0" collapsed="false">
      <c r="J526" s="92" t="str">
        <f aca="false">LEFT($J$111,14)&amp;"-05"</f>
        <v>FG-240-14P7L7R-05</v>
      </c>
      <c r="M526" s="96"/>
      <c r="N526" s="62" t="s">
        <v>501</v>
      </c>
      <c r="O526" s="62" t="s">
        <v>502</v>
      </c>
      <c r="P526" s="96"/>
      <c r="Q526" s="96"/>
      <c r="R526" s="96"/>
      <c r="S526" s="96"/>
      <c r="T526" s="96"/>
      <c r="U526" s="96"/>
      <c r="V526" s="96"/>
    </row>
    <row r="527" customFormat="false" ht="14.25" hidden="false" customHeight="false" outlineLevel="0" collapsed="false">
      <c r="M527" s="96"/>
      <c r="N527" s="62" t="s">
        <v>503</v>
      </c>
      <c r="O527" s="62" t="s">
        <v>504</v>
      </c>
      <c r="P527" s="96"/>
      <c r="Q527" s="96"/>
      <c r="R527" s="96"/>
      <c r="S527" s="96"/>
      <c r="T527" s="96"/>
      <c r="U527" s="96"/>
      <c r="V527" s="96"/>
    </row>
    <row r="528" customFormat="false" ht="14.25" hidden="false" customHeight="false" outlineLevel="0" collapsed="false">
      <c r="M528" s="96"/>
      <c r="N528" s="62" t="s">
        <v>505</v>
      </c>
      <c r="O528" s="62" t="s">
        <v>506</v>
      </c>
      <c r="P528" s="96"/>
      <c r="Q528" s="96"/>
      <c r="R528" s="96"/>
      <c r="S528" s="96"/>
      <c r="T528" s="96"/>
      <c r="U528" s="96"/>
      <c r="V528" s="96"/>
    </row>
  </sheetData>
  <mergeCells count="47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2:J152"/>
    <mergeCell ref="I153:J153"/>
    <mergeCell ref="I154:J154"/>
    <mergeCell ref="I155:J155"/>
    <mergeCell ref="I156:J156"/>
    <mergeCell ref="D157:D158"/>
    <mergeCell ref="H157:H158"/>
    <mergeCell ref="I157:J158"/>
    <mergeCell ref="D159:D160"/>
    <mergeCell ref="H159:H160"/>
    <mergeCell ref="I159:J159"/>
    <mergeCell ref="I160:J163"/>
    <mergeCell ref="D161:D166"/>
    <mergeCell ref="H161:H166"/>
    <mergeCell ref="I164:J165"/>
    <mergeCell ref="I166:J166"/>
    <mergeCell ref="D167:D168"/>
    <mergeCell ref="H167:H168"/>
    <mergeCell ref="D169:D170"/>
    <mergeCell ref="H169:H170"/>
    <mergeCell ref="I170:J170"/>
    <mergeCell ref="A171:J171"/>
    <mergeCell ref="A213:J213"/>
    <mergeCell ref="C308:E308"/>
    <mergeCell ref="A320:J320"/>
    <mergeCell ref="F330:G330"/>
    <mergeCell ref="F331:G331"/>
    <mergeCell ref="F334:G334"/>
    <mergeCell ref="A427:J427"/>
    <mergeCell ref="A518:J518"/>
    <mergeCell ref="F520:G520"/>
  </mergeCells>
  <dataValidations count="4">
    <dataValidation allowBlank="true" errorStyle="stop" operator="between" showDropDown="false" showErrorMessage="true" showInputMessage="true" sqref="C206" type="list">
      <formula1>$O$173:$O$191</formula1>
      <formula2>0</formula2>
    </dataValidation>
    <dataValidation allowBlank="true" errorStyle="stop" operator="between" showDropDown="false" showErrorMessage="true" showInputMessage="true" sqref="D123:G123" type="list">
      <formula1>$P$118:$P$127</formula1>
      <formula2>0</formula2>
    </dataValidation>
    <dataValidation allowBlank="true" errorStyle="stop" operator="between" showDropDown="false" showErrorMessage="true" showInputMessage="true" sqref="D127:G127" type="list">
      <formula1>$N$119:$N$127</formula1>
      <formula2>0</formula2>
    </dataValidation>
    <dataValidation allowBlank="true" errorStyle="stop" operator="between" showDropDown="false" showErrorMessage="true" showInputMessage="true" sqref="D129:G129" type="list">
      <formula1>$O$119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7" man="true" max="16383" min="0"/>
    <brk id="314" man="true" max="16383" min="0"/>
    <brk id="421" man="true" max="16383" min="0"/>
  </rowBreaks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AJ529"/>
  <sheetViews>
    <sheetView showFormulas="false" showGridLines="false" showRowColHeaders="true" showZeros="true" rightToLeft="false" tabSelected="false" showOutlineSymbols="true" defaultGridColor="true" view="pageBreakPreview" topLeftCell="A151" colorId="64" zoomScale="75" zoomScaleNormal="75" zoomScalePageLayoutView="75" workbookViewId="0">
      <selection pane="topLeft" activeCell="AB156" activeCellId="0" sqref="AB156"/>
    </sheetView>
  </sheetViews>
  <sheetFormatPr defaultColWidth="8.6796875" defaultRowHeight="14.25" zeroHeight="false" outlineLevelRow="1" outlineLevelCol="1"/>
  <cols>
    <col collapsed="false" customWidth="true" hidden="false" outlineLevel="0" max="1" min="1" style="0" width="7"/>
    <col collapsed="false" customWidth="true" hidden="false" outlineLevel="0" max="2" min="2" style="0" width="40.67"/>
    <col collapsed="false" customWidth="true" hidden="false" outlineLevel="0" max="3" min="3" style="0" width="54.67"/>
    <col collapsed="false" customWidth="true" hidden="false" outlineLevel="0" max="4" min="4" style="73" width="13.44"/>
    <col collapsed="false" customWidth="true" hidden="true" outlineLevel="1" max="5" min="5" style="0" width="7.44"/>
    <col collapsed="false" customWidth="true" hidden="false" outlineLevel="0" max="6" min="6" style="0" width="19.67"/>
    <col collapsed="false" customWidth="true" hidden="false" outlineLevel="0" max="7" min="7" style="0" width="7.56"/>
    <col collapsed="false" customWidth="true" hidden="false" outlineLevel="0" max="8" min="8" style="0" width="31.56"/>
    <col collapsed="false" customWidth="true" hidden="false" outlineLevel="0" max="9" min="9" style="0" width="15.11"/>
    <col collapsed="false" customWidth="true" hidden="false" outlineLevel="0" max="10" min="10" style="74" width="11.67"/>
    <col collapsed="false" customWidth="true" hidden="true" outlineLevel="1" max="14" min="14" style="0" width="22.56"/>
    <col collapsed="false" customWidth="true" hidden="true" outlineLevel="1" max="15" min="15" style="0" width="25.67"/>
    <col collapsed="false" customWidth="true" hidden="true" outlineLevel="1" max="16" min="16" style="0" width="34.66"/>
    <col collapsed="false" customWidth="true" hidden="true" outlineLevel="1" max="17" min="17" style="0" width="9.33"/>
    <col collapsed="false" customWidth="true" hidden="true" outlineLevel="1" max="18" min="18" style="0" width="13.88"/>
    <col collapsed="false" customWidth="true" hidden="true" outlineLevel="1" max="19" min="19" style="0" width="17.67"/>
    <col collapsed="false" customWidth="true" hidden="true" outlineLevel="1" max="20" min="20" style="0" width="15"/>
    <col collapsed="false" customWidth="true" hidden="true" outlineLevel="1" max="21" min="21" style="0" width="26.44"/>
    <col collapsed="false" customWidth="true" hidden="true" outlineLevel="1" max="22" min="22" style="0" width="10.66"/>
    <col collapsed="false" customWidth="true" hidden="true" outlineLevel="1" max="23" min="23" style="0" width="10.56"/>
    <col collapsed="false" customWidth="true" hidden="false" outlineLevel="0" max="24" min="24" style="0" width="9.11"/>
  </cols>
  <sheetData>
    <row r="1" customFormat="false" ht="12.75" hidden="false" customHeight="true" outlineLevel="0" collapsed="false"/>
    <row r="2" customFormat="false" ht="30" hidden="false" customHeight="true" outlineLevel="0" collapsed="false">
      <c r="C2" s="75"/>
      <c r="D2" s="76"/>
      <c r="E2" s="76"/>
      <c r="F2" s="76"/>
      <c r="G2" s="76"/>
      <c r="H2" s="76"/>
      <c r="I2" s="76"/>
      <c r="J2" s="77" t="s">
        <v>278</v>
      </c>
      <c r="K2" s="78"/>
      <c r="L2" s="78"/>
      <c r="M2" s="79"/>
      <c r="N2" s="79"/>
    </row>
    <row r="3" customFormat="false" ht="24.75" hidden="false" customHeight="true" outlineLevel="0" collapsed="false">
      <c r="F3" s="80"/>
      <c r="G3" s="80"/>
      <c r="I3" s="80"/>
      <c r="J3" s="80" t="s">
        <v>279</v>
      </c>
      <c r="K3" s="80"/>
      <c r="L3" s="80"/>
      <c r="M3" s="79"/>
      <c r="N3" s="79"/>
    </row>
    <row r="4" customFormat="false" ht="24.75" hidden="false" customHeight="true" outlineLevel="0" collapsed="false">
      <c r="B4" s="81"/>
      <c r="C4" s="82"/>
      <c r="D4" s="82"/>
      <c r="E4" s="82"/>
      <c r="F4" s="82"/>
      <c r="G4" s="82"/>
      <c r="H4" s="82"/>
      <c r="I4" s="82"/>
      <c r="J4" s="80" t="s">
        <v>280</v>
      </c>
      <c r="K4" s="83"/>
    </row>
    <row r="5" customFormat="false" ht="12.75" hidden="false" customHeight="true" outlineLevel="0" collapsed="false">
      <c r="A5" s="84"/>
      <c r="B5" s="84"/>
      <c r="C5" s="84"/>
      <c r="D5" s="85"/>
      <c r="E5" s="84"/>
      <c r="F5" s="84"/>
      <c r="G5" s="84"/>
      <c r="H5" s="84"/>
      <c r="I5" s="84"/>
      <c r="J5" s="86"/>
      <c r="M5" s="87"/>
      <c r="N5" s="87"/>
    </row>
    <row r="6" customFormat="false" ht="24.75" hidden="false" customHeight="true" outlineLevel="0" collapsed="false">
      <c r="A6" s="88" t="s">
        <v>281</v>
      </c>
      <c r="B6" s="88"/>
      <c r="C6" s="88"/>
      <c r="D6" s="88"/>
      <c r="E6" s="88"/>
      <c r="F6" s="88"/>
      <c r="G6" s="88"/>
      <c r="H6" s="88"/>
      <c r="I6" s="88"/>
      <c r="J6" s="88"/>
      <c r="K6" s="87"/>
      <c r="L6" s="87"/>
      <c r="M6" s="87"/>
      <c r="N6" s="87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8.75" hidden="false" customHeight="true" outlineLevel="0" collapsed="false">
      <c r="A18" s="89" t="s">
        <v>819</v>
      </c>
    </row>
    <row r="19" customFormat="false" ht="15" hidden="false" customHeight="true" outlineLevel="0" collapsed="false">
      <c r="A19" s="90" t="s">
        <v>283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>
      <c r="G46" s="91"/>
    </row>
    <row r="47" customFormat="false" ht="15" hidden="false" customHeight="true" outlineLevel="0" collapsed="false">
      <c r="G47" s="91"/>
    </row>
    <row r="48" customFormat="false" ht="15" hidden="false" customHeight="true" outlineLevel="0" collapsed="false">
      <c r="G48" s="91"/>
    </row>
    <row r="49" customFormat="false" ht="15" hidden="false" customHeight="true" outlineLevel="0" collapsed="false">
      <c r="G49" s="91"/>
    </row>
    <row r="50" customFormat="false" ht="15" hidden="false" customHeight="true" outlineLevel="0" collapsed="false">
      <c r="G50" s="91"/>
    </row>
    <row r="51" customFormat="false" ht="15" hidden="false" customHeight="true" outlineLevel="0" collapsed="false">
      <c r="G51" s="91"/>
    </row>
    <row r="52" customFormat="false" ht="15" hidden="false" customHeight="true" outlineLevel="0" collapsed="false">
      <c r="G52" s="91"/>
    </row>
    <row r="53" customFormat="false" ht="15" hidden="false" customHeight="true" outlineLevel="0" collapsed="false">
      <c r="G53" s="91"/>
    </row>
    <row r="54" customFormat="false" ht="15" hidden="false" customHeight="true" outlineLevel="0" collapsed="false">
      <c r="G54" s="91"/>
    </row>
    <row r="55" customFormat="false" ht="15" hidden="false" customHeight="true" outlineLevel="0" collapsed="false">
      <c r="G55" s="91"/>
    </row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>
      <c r="J111" s="92" t="s">
        <v>820</v>
      </c>
      <c r="K111" s="93"/>
    </row>
    <row r="112" customFormat="false" ht="15" hidden="false" customHeight="true" outlineLevel="0" collapsed="false">
      <c r="G112" s="91"/>
      <c r="H112" s="91"/>
      <c r="I112" s="93"/>
      <c r="L112" s="91"/>
    </row>
    <row r="113" customFormat="false" ht="30" hidden="false" customHeight="true" outlineLevel="0" collapsed="false">
      <c r="C113" s="75"/>
      <c r="D113" s="76"/>
      <c r="E113" s="76"/>
      <c r="F113" s="76"/>
      <c r="G113" s="76"/>
      <c r="H113" s="76"/>
      <c r="I113" s="76"/>
      <c r="J113" s="77" t="str">
        <f aca="false">$J$2</f>
        <v>HOMELIFE</v>
      </c>
      <c r="K113" s="78"/>
      <c r="L113" s="78"/>
      <c r="M113" s="79"/>
    </row>
    <row r="114" customFormat="false" ht="24.75" hidden="false" customHeight="true" outlineLevel="0" collapsed="false">
      <c r="C114" s="82"/>
      <c r="D114" s="82"/>
      <c r="E114" s="82"/>
      <c r="F114" s="82"/>
      <c r="G114" s="82"/>
      <c r="H114" s="82"/>
      <c r="I114" s="82"/>
      <c r="J114" s="80" t="str">
        <f aca="false">$J$3</f>
        <v>Fabricators Guide</v>
      </c>
      <c r="K114" s="83"/>
      <c r="L114" s="83"/>
      <c r="M114" s="79"/>
    </row>
    <row r="115" customFormat="false" ht="24.75" hidden="false" customHeight="true" outlineLevel="0" collapsed="false">
      <c r="B115" s="81"/>
      <c r="C115" s="82"/>
      <c r="D115" s="82"/>
      <c r="E115" s="82"/>
      <c r="F115" s="82"/>
      <c r="G115" s="82"/>
      <c r="H115" s="82"/>
      <c r="I115" s="82"/>
      <c r="J115" s="80" t="str">
        <f aca="false">$J$4</f>
        <v>240 Series Bi Fold Door </v>
      </c>
      <c r="L115" s="83"/>
      <c r="M115" s="79"/>
    </row>
    <row r="116" customFormat="false" ht="12.75" hidden="false" customHeight="true" outlineLevel="0" collapsed="false">
      <c r="A116" s="84"/>
      <c r="B116" s="84"/>
      <c r="C116" s="84"/>
      <c r="D116" s="85"/>
      <c r="E116" s="84"/>
      <c r="F116" s="84"/>
      <c r="G116" s="84"/>
      <c r="H116" s="84"/>
      <c r="I116" s="84"/>
      <c r="J116" s="94"/>
      <c r="K116" s="83"/>
      <c r="M116" s="87"/>
    </row>
    <row r="117" s="96" customFormat="true" ht="24.75" hidden="false" customHeight="true" outlineLevel="0" collapsed="false">
      <c r="A117" s="88" t="s">
        <v>285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3"/>
      <c r="L117" s="87"/>
      <c r="M117" s="87"/>
    </row>
    <row r="118" s="96" customFormat="true" ht="18" hidden="false" customHeight="true" outlineLevel="0" collapsed="false">
      <c r="A118" s="97"/>
      <c r="C118" s="81"/>
      <c r="D118" s="98"/>
      <c r="E118" s="83"/>
      <c r="J118" s="99"/>
      <c r="K118" s="83"/>
      <c r="N118" s="102" t="s">
        <v>288</v>
      </c>
      <c r="O118" s="97" t="s">
        <v>289</v>
      </c>
      <c r="P118" s="102" t="s">
        <v>290</v>
      </c>
    </row>
    <row r="119" s="96" customFormat="true" ht="15" hidden="false" customHeight="true" outlineLevel="0" collapsed="false">
      <c r="A119" s="97"/>
      <c r="C119" s="100" t="s">
        <v>286</v>
      </c>
      <c r="D119" s="101"/>
      <c r="E119" s="101"/>
      <c r="F119" s="101"/>
      <c r="G119" s="101"/>
      <c r="I119" s="83"/>
      <c r="J119" s="97"/>
      <c r="N119" s="102" t="n">
        <v>5</v>
      </c>
      <c r="O119" s="97" t="s">
        <v>509</v>
      </c>
      <c r="P119" s="106" t="s">
        <v>294</v>
      </c>
    </row>
    <row r="120" s="96" customFormat="true" ht="15" hidden="false" customHeight="true" outlineLevel="0" collapsed="false">
      <c r="A120" s="97"/>
      <c r="C120" s="103" t="s">
        <v>291</v>
      </c>
      <c r="H120" s="104" t="s">
        <v>292</v>
      </c>
      <c r="I120" s="104"/>
      <c r="J120" s="105" t="n">
        <v>1</v>
      </c>
      <c r="N120" s="102" t="n">
        <v>6</v>
      </c>
      <c r="O120" s="97" t="s">
        <v>296</v>
      </c>
      <c r="P120" s="106" t="s">
        <v>297</v>
      </c>
    </row>
    <row r="121" s="96" customFormat="true" ht="15" hidden="false" customHeight="true" outlineLevel="0" collapsed="false">
      <c r="A121" s="97"/>
      <c r="C121" s="100" t="s">
        <v>295</v>
      </c>
      <c r="D121" s="101" t="s">
        <v>293</v>
      </c>
      <c r="E121" s="101"/>
      <c r="F121" s="101"/>
      <c r="G121" s="101"/>
      <c r="H121" s="104"/>
      <c r="I121" s="104"/>
      <c r="J121" s="105"/>
      <c r="N121" s="102" t="n">
        <v>8</v>
      </c>
      <c r="P121" s="106" t="s">
        <v>299</v>
      </c>
    </row>
    <row r="122" s="96" customFormat="true" ht="15" hidden="false" customHeight="true" outlineLevel="0" collapsed="false">
      <c r="A122" s="97"/>
      <c r="C122" s="103" t="s">
        <v>298</v>
      </c>
      <c r="D122" s="98"/>
      <c r="H122" s="107"/>
      <c r="I122" s="107"/>
      <c r="J122" s="97"/>
      <c r="N122" s="102" t="n">
        <v>10</v>
      </c>
      <c r="P122" s="106" t="s">
        <v>303</v>
      </c>
    </row>
    <row r="123" s="96" customFormat="true" ht="15" hidden="false" customHeight="true" outlineLevel="0" collapsed="false">
      <c r="A123" s="97"/>
      <c r="C123" s="100" t="s">
        <v>300</v>
      </c>
      <c r="D123" s="101" t="s">
        <v>301</v>
      </c>
      <c r="E123" s="101"/>
      <c r="F123" s="101"/>
      <c r="G123" s="101"/>
      <c r="H123" s="104" t="s">
        <v>302</v>
      </c>
      <c r="I123" s="104"/>
      <c r="J123" s="105" t="n">
        <v>2500</v>
      </c>
      <c r="N123" s="102" t="n">
        <v>12</v>
      </c>
      <c r="P123" s="106" t="s">
        <v>305</v>
      </c>
    </row>
    <row r="124" s="96" customFormat="true" ht="15" hidden="false" customHeight="true" outlineLevel="0" collapsed="false">
      <c r="A124" s="97"/>
      <c r="C124" s="108" t="s">
        <v>304</v>
      </c>
      <c r="D124" s="98"/>
      <c r="H124" s="104"/>
      <c r="I124" s="104"/>
      <c r="J124" s="105"/>
      <c r="N124" s="102" t="n">
        <v>14</v>
      </c>
      <c r="P124" s="106" t="s">
        <v>308</v>
      </c>
    </row>
    <row r="125" s="96" customFormat="true" ht="15" hidden="false" customHeight="true" outlineLevel="0" collapsed="false">
      <c r="A125" s="109"/>
      <c r="B125" s="109"/>
      <c r="C125" s="100" t="s">
        <v>306</v>
      </c>
      <c r="D125" s="101" t="s">
        <v>307</v>
      </c>
      <c r="E125" s="101"/>
      <c r="F125" s="101"/>
      <c r="G125" s="101"/>
      <c r="H125" s="107"/>
      <c r="I125" s="107"/>
      <c r="J125" s="97"/>
      <c r="K125" s="110"/>
      <c r="L125" s="110"/>
      <c r="N125" s="102" t="n">
        <v>18</v>
      </c>
      <c r="P125" s="106" t="s">
        <v>311</v>
      </c>
    </row>
    <row r="126" s="96" customFormat="true" ht="15" hidden="false" customHeight="true" outlineLevel="0" collapsed="false">
      <c r="A126" s="99"/>
      <c r="B126" s="99"/>
      <c r="C126" s="108" t="s">
        <v>309</v>
      </c>
      <c r="D126" s="98"/>
      <c r="H126" s="104" t="s">
        <v>310</v>
      </c>
      <c r="I126" s="104"/>
      <c r="J126" s="105" t="n">
        <v>2000</v>
      </c>
      <c r="K126" s="110"/>
      <c r="L126" s="110"/>
      <c r="N126" s="102" t="n">
        <v>20</v>
      </c>
      <c r="P126" s="106" t="s">
        <v>313</v>
      </c>
    </row>
    <row r="127" s="96" customFormat="true" ht="15" hidden="false" customHeight="true" outlineLevel="0" collapsed="false">
      <c r="A127" s="99"/>
      <c r="B127" s="99"/>
      <c r="C127" s="100" t="s">
        <v>312</v>
      </c>
      <c r="D127" s="111" t="n">
        <v>5</v>
      </c>
      <c r="E127" s="111"/>
      <c r="F127" s="111"/>
      <c r="G127" s="111"/>
      <c r="H127" s="104"/>
      <c r="I127" s="104"/>
      <c r="J127" s="105"/>
      <c r="N127" s="102" t="n">
        <v>22</v>
      </c>
      <c r="P127" s="106" t="s">
        <v>315</v>
      </c>
    </row>
    <row r="128" s="96" customFormat="true" ht="18.75" hidden="false" customHeight="true" outlineLevel="0" collapsed="false">
      <c r="C128" s="108" t="s">
        <v>314</v>
      </c>
      <c r="I128" s="97"/>
      <c r="J128" s="97"/>
    </row>
    <row r="129" s="96" customFormat="true" ht="15" hidden="false" customHeight="true" outlineLevel="0" collapsed="false">
      <c r="A129" s="89" t="str">
        <f aca="false">A18</f>
        <v>240-15 Panel (7L8R)</v>
      </c>
      <c r="C129" s="100" t="s">
        <v>511</v>
      </c>
      <c r="D129" s="101" t="s">
        <v>509</v>
      </c>
      <c r="E129" s="101"/>
      <c r="F129" s="101"/>
      <c r="G129" s="101"/>
      <c r="H129" s="97"/>
      <c r="I129" s="97"/>
      <c r="J129" s="97"/>
    </row>
    <row r="130" s="96" customFormat="true" ht="18.75" hidden="false" customHeight="true" outlineLevel="0" collapsed="false">
      <c r="A130" s="90" t="str">
        <f aca="false">A19</f>
        <v>Outside Bi Fold Door </v>
      </c>
      <c r="B130" s="112"/>
      <c r="C130" s="108" t="s">
        <v>317</v>
      </c>
      <c r="D130" s="98"/>
      <c r="E130" s="97"/>
      <c r="F130" s="97"/>
      <c r="G130" s="97"/>
      <c r="H130" s="97"/>
      <c r="I130" s="97"/>
      <c r="J130" s="97"/>
    </row>
    <row r="131" s="96" customFormat="true" ht="24.75" hidden="false" customHeight="true" outlineLevel="0" collapsed="false">
      <c r="A131" s="113" t="s">
        <v>318</v>
      </c>
      <c r="B131" s="113"/>
      <c r="C131" s="113"/>
      <c r="D131" s="113"/>
      <c r="E131" s="113"/>
      <c r="F131" s="113"/>
      <c r="G131" s="113"/>
      <c r="H131" s="113"/>
      <c r="I131" s="113"/>
      <c r="J131" s="113"/>
    </row>
    <row r="132" s="96" customFormat="true" ht="34.5" hidden="false" customHeight="true" outlineLevel="0" collapsed="false">
      <c r="A132" s="114" t="s">
        <v>319</v>
      </c>
      <c r="B132" s="115" t="s">
        <v>320</v>
      </c>
      <c r="C132" s="115" t="s">
        <v>168</v>
      </c>
      <c r="D132" s="115" t="s">
        <v>166</v>
      </c>
      <c r="E132" s="115" t="s">
        <v>321</v>
      </c>
      <c r="F132" s="116" t="s">
        <v>322</v>
      </c>
      <c r="G132" s="115" t="s">
        <v>323</v>
      </c>
      <c r="H132" s="116" t="s">
        <v>324</v>
      </c>
      <c r="I132" s="116" t="s">
        <v>325</v>
      </c>
      <c r="J132" s="117" t="s">
        <v>326</v>
      </c>
      <c r="N132" s="107" t="s">
        <v>327</v>
      </c>
      <c r="O132" s="118" t="s">
        <v>320</v>
      </c>
      <c r="P132" s="118" t="s">
        <v>168</v>
      </c>
      <c r="Q132" s="118" t="s">
        <v>166</v>
      </c>
      <c r="R132" s="118" t="s">
        <v>321</v>
      </c>
      <c r="S132" s="119" t="s">
        <v>322</v>
      </c>
      <c r="T132" s="118" t="s">
        <v>323</v>
      </c>
      <c r="U132" s="119" t="s">
        <v>324</v>
      </c>
      <c r="V132" s="119" t="s">
        <v>325</v>
      </c>
      <c r="W132" s="118" t="s">
        <v>326</v>
      </c>
    </row>
    <row r="133" s="96" customFormat="true" ht="18" hidden="false" customHeight="true" outlineLevel="0" collapsed="false">
      <c r="A133" s="120" t="n">
        <f aca="false">IF(B133="","",1)</f>
        <v>1</v>
      </c>
      <c r="B133" s="121" t="s">
        <v>328</v>
      </c>
      <c r="C133" s="121" t="s">
        <v>329</v>
      </c>
      <c r="D133" s="122" t="s">
        <v>47</v>
      </c>
      <c r="E133" s="120" t="n">
        <v>1.603</v>
      </c>
      <c r="F133" s="122" t="s">
        <v>561</v>
      </c>
      <c r="G133" s="120" t="n">
        <v>1</v>
      </c>
      <c r="H133" s="120" t="s">
        <v>331</v>
      </c>
      <c r="I133" s="123" t="n">
        <f aca="false">$J$126-60</f>
        <v>1940</v>
      </c>
      <c r="J133" s="124" t="n">
        <f aca="false">$J$120*G133</f>
        <v>1</v>
      </c>
      <c r="N133" s="107" t="s">
        <v>332</v>
      </c>
      <c r="O133" s="125" t="s">
        <v>333</v>
      </c>
      <c r="P133" s="125" t="s">
        <v>334</v>
      </c>
      <c r="Q133" s="126" t="s">
        <v>335</v>
      </c>
      <c r="R133" s="127" t="n">
        <v>0.231</v>
      </c>
      <c r="S133" s="126" t="s">
        <v>336</v>
      </c>
      <c r="T133" s="127" t="n">
        <v>30</v>
      </c>
      <c r="U133" s="127" t="s">
        <v>821</v>
      </c>
      <c r="V133" s="247" t="n">
        <f aca="false">($J$126-185-(113.25*14))/15</f>
        <v>15.3</v>
      </c>
      <c r="W133" s="129" t="n">
        <f aca="false">$J$120*T133</f>
        <v>30</v>
      </c>
    </row>
    <row r="134" s="96" customFormat="true" ht="18" hidden="false" customHeight="true" outlineLevel="0" collapsed="false">
      <c r="A134" s="130" t="n">
        <f aca="false">IF(B134="","",+A133+1)</f>
        <v>2</v>
      </c>
      <c r="B134" s="131" t="s">
        <v>338</v>
      </c>
      <c r="C134" s="131" t="s">
        <v>339</v>
      </c>
      <c r="D134" s="132" t="s">
        <v>52</v>
      </c>
      <c r="E134" s="130" t="n">
        <v>0.278</v>
      </c>
      <c r="F134" s="132" t="s">
        <v>340</v>
      </c>
      <c r="G134" s="130" t="n">
        <v>1</v>
      </c>
      <c r="H134" s="130" t="s">
        <v>341</v>
      </c>
      <c r="I134" s="133" t="n">
        <f aca="false">$J$126-86</f>
        <v>1914</v>
      </c>
      <c r="J134" s="134" t="n">
        <f aca="false">$J$120*G134</f>
        <v>1</v>
      </c>
      <c r="N134" s="107"/>
      <c r="O134" s="131" t="s">
        <v>342</v>
      </c>
      <c r="P134" s="131" t="s">
        <v>343</v>
      </c>
      <c r="Q134" s="131" t="s">
        <v>344</v>
      </c>
      <c r="R134" s="130" t="n">
        <v>0.215</v>
      </c>
      <c r="S134" s="131" t="s">
        <v>345</v>
      </c>
      <c r="T134" s="130" t="n">
        <v>30</v>
      </c>
      <c r="U134" s="130" t="s">
        <v>821</v>
      </c>
      <c r="V134" s="141" t="n">
        <f aca="false">($J$126-185-(113.25*14))/15</f>
        <v>15.3</v>
      </c>
      <c r="W134" s="134" t="n">
        <f aca="false">$J$120*T134</f>
        <v>30</v>
      </c>
    </row>
    <row r="135" s="96" customFormat="true" ht="18" hidden="false" customHeight="true" outlineLevel="0" collapsed="false">
      <c r="A135" s="130" t="n">
        <f aca="false">IF(B135="","",+A134+1)</f>
        <v>3</v>
      </c>
      <c r="B135" s="131" t="s">
        <v>346</v>
      </c>
      <c r="C135" s="131" t="s">
        <v>347</v>
      </c>
      <c r="D135" s="132" t="s">
        <v>56</v>
      </c>
      <c r="E135" s="130" t="n">
        <v>1.603</v>
      </c>
      <c r="F135" s="132" t="s">
        <v>348</v>
      </c>
      <c r="G135" s="130" t="n">
        <v>1</v>
      </c>
      <c r="H135" s="130" t="s">
        <v>331</v>
      </c>
      <c r="I135" s="133" t="n">
        <f aca="false">$J$126-60</f>
        <v>1940</v>
      </c>
      <c r="J135" s="134" t="n">
        <f aca="false">$J$120*G135</f>
        <v>1</v>
      </c>
      <c r="N135" s="107"/>
      <c r="O135" s="135" t="s">
        <v>349</v>
      </c>
      <c r="P135" s="135" t="s">
        <v>350</v>
      </c>
      <c r="Q135" s="135" t="s">
        <v>351</v>
      </c>
      <c r="R135" s="136" t="n">
        <v>0.17</v>
      </c>
      <c r="S135" s="135" t="s">
        <v>352</v>
      </c>
      <c r="T135" s="136" t="n">
        <v>30</v>
      </c>
      <c r="U135" s="136" t="s">
        <v>821</v>
      </c>
      <c r="V135" s="254" t="n">
        <f aca="false">($J$126-185-(113.25*14))/15</f>
        <v>15.3</v>
      </c>
      <c r="W135" s="137" t="n">
        <f aca="false">$J$120*T135</f>
        <v>30</v>
      </c>
    </row>
    <row r="136" s="96" customFormat="true" ht="18" hidden="false" customHeight="true" outlineLevel="0" collapsed="false">
      <c r="A136" s="130" t="n">
        <f aca="false">IF(B136="","",+A135+1)</f>
        <v>4</v>
      </c>
      <c r="B136" s="131" t="s">
        <v>353</v>
      </c>
      <c r="C136" s="131" t="s">
        <v>354</v>
      </c>
      <c r="D136" s="132" t="s">
        <v>59</v>
      </c>
      <c r="E136" s="130" t="n">
        <v>0.516</v>
      </c>
      <c r="F136" s="132" t="s">
        <v>355</v>
      </c>
      <c r="G136" s="130" t="n">
        <v>1</v>
      </c>
      <c r="H136" s="130" t="s">
        <v>331</v>
      </c>
      <c r="I136" s="133" t="n">
        <f aca="false">$J$126-60</f>
        <v>1940</v>
      </c>
      <c r="J136" s="134" t="n">
        <f aca="false">$J$120*G136</f>
        <v>1</v>
      </c>
      <c r="N136" s="107" t="s">
        <v>356</v>
      </c>
      <c r="O136" s="125" t="s">
        <v>357</v>
      </c>
      <c r="P136" s="125" t="s">
        <v>358</v>
      </c>
      <c r="Q136" s="126" t="s">
        <v>335</v>
      </c>
      <c r="R136" s="127" t="n">
        <v>0.231</v>
      </c>
      <c r="S136" s="126" t="s">
        <v>359</v>
      </c>
      <c r="T136" s="127" t="n">
        <v>30</v>
      </c>
      <c r="U136" s="127" t="s">
        <v>360</v>
      </c>
      <c r="V136" s="138" t="n">
        <f aca="false">$J$123-242</f>
        <v>2258</v>
      </c>
      <c r="W136" s="129" t="n">
        <f aca="false">$J$120*T136</f>
        <v>30</v>
      </c>
    </row>
    <row r="137" s="96" customFormat="true" ht="18" hidden="false" customHeight="true" outlineLevel="0" collapsed="false">
      <c r="A137" s="130" t="n">
        <f aca="false">IF(B137="","",+A136+1)</f>
        <v>5</v>
      </c>
      <c r="B137" s="131" t="s">
        <v>361</v>
      </c>
      <c r="C137" s="131" t="s">
        <v>362</v>
      </c>
      <c r="D137" s="132" t="s">
        <v>62</v>
      </c>
      <c r="E137" s="130" t="n">
        <v>0.893</v>
      </c>
      <c r="F137" s="132" t="s">
        <v>363</v>
      </c>
      <c r="G137" s="130" t="n">
        <v>1</v>
      </c>
      <c r="H137" s="130" t="s">
        <v>332</v>
      </c>
      <c r="I137" s="133" t="n">
        <f aca="false">$J$123</f>
        <v>2500</v>
      </c>
      <c r="J137" s="134" t="n">
        <f aca="false">$J$120*G137</f>
        <v>1</v>
      </c>
      <c r="N137" s="107"/>
      <c r="O137" s="131" t="s">
        <v>364</v>
      </c>
      <c r="P137" s="131" t="s">
        <v>365</v>
      </c>
      <c r="Q137" s="131" t="s">
        <v>344</v>
      </c>
      <c r="R137" s="130" t="n">
        <v>0.215</v>
      </c>
      <c r="S137" s="131" t="s">
        <v>366</v>
      </c>
      <c r="T137" s="130" t="n">
        <v>30</v>
      </c>
      <c r="U137" s="130" t="s">
        <v>360</v>
      </c>
      <c r="V137" s="133" t="n">
        <f aca="false">$J$123-242</f>
        <v>2258</v>
      </c>
      <c r="W137" s="134" t="n">
        <f aca="false">$J$120*T137</f>
        <v>30</v>
      </c>
    </row>
    <row r="138" s="96" customFormat="true" ht="18" hidden="false" customHeight="true" outlineLevel="0" collapsed="false">
      <c r="A138" s="130" t="n">
        <f aca="false">IF(B138="","",+A137+1)</f>
        <v>6</v>
      </c>
      <c r="B138" s="131" t="s">
        <v>367</v>
      </c>
      <c r="C138" s="131" t="s">
        <v>368</v>
      </c>
      <c r="D138" s="132" t="s">
        <v>62</v>
      </c>
      <c r="E138" s="130" t="n">
        <v>0.893</v>
      </c>
      <c r="F138" s="132" t="s">
        <v>369</v>
      </c>
      <c r="G138" s="130" t="n">
        <v>1</v>
      </c>
      <c r="H138" s="130" t="s">
        <v>332</v>
      </c>
      <c r="I138" s="133" t="n">
        <f aca="false">$J$123</f>
        <v>2500</v>
      </c>
      <c r="J138" s="134" t="n">
        <f aca="false">$J$120*G138</f>
        <v>1</v>
      </c>
      <c r="N138" s="107"/>
      <c r="O138" s="135" t="s">
        <v>370</v>
      </c>
      <c r="P138" s="135" t="s">
        <v>371</v>
      </c>
      <c r="Q138" s="139" t="s">
        <v>351</v>
      </c>
      <c r="R138" s="136" t="n">
        <v>0.17</v>
      </c>
      <c r="S138" s="135" t="s">
        <v>372</v>
      </c>
      <c r="T138" s="136" t="n">
        <v>30</v>
      </c>
      <c r="U138" s="136" t="s">
        <v>360</v>
      </c>
      <c r="V138" s="140" t="n">
        <f aca="false">$J$123-242</f>
        <v>2258</v>
      </c>
      <c r="W138" s="137" t="n">
        <f aca="false">$J$120*T138</f>
        <v>30</v>
      </c>
    </row>
    <row r="139" s="96" customFormat="true" ht="18" hidden="false" customHeight="true" outlineLevel="0" collapsed="false">
      <c r="A139" s="130" t="n">
        <f aca="false">IF(B139="","",+A138+1)</f>
        <v>7</v>
      </c>
      <c r="B139" s="131" t="s">
        <v>373</v>
      </c>
      <c r="C139" s="131" t="s">
        <v>374</v>
      </c>
      <c r="D139" s="132" t="s">
        <v>68</v>
      </c>
      <c r="E139" s="130" t="n">
        <v>0.235</v>
      </c>
      <c r="F139" s="132" t="s">
        <v>375</v>
      </c>
      <c r="G139" s="130" t="n">
        <v>1</v>
      </c>
      <c r="H139" s="130" t="s">
        <v>376</v>
      </c>
      <c r="I139" s="133" t="n">
        <f aca="false">$J$123-96</f>
        <v>2404</v>
      </c>
      <c r="J139" s="134" t="n">
        <f aca="false">$J$120*G139</f>
        <v>1</v>
      </c>
    </row>
    <row r="140" s="96" customFormat="true" ht="18" hidden="false" customHeight="true" outlineLevel="0" collapsed="false">
      <c r="A140" s="130" t="n">
        <f aca="false">IF(B140="","",+A139+1)</f>
        <v>8</v>
      </c>
      <c r="B140" s="131" t="s">
        <v>377</v>
      </c>
      <c r="C140" s="131" t="s">
        <v>378</v>
      </c>
      <c r="D140" s="132" t="s">
        <v>68</v>
      </c>
      <c r="E140" s="130" t="n">
        <v>0.235</v>
      </c>
      <c r="F140" s="132" t="s">
        <v>379</v>
      </c>
      <c r="G140" s="130" t="n">
        <v>1</v>
      </c>
      <c r="H140" s="130" t="s">
        <v>376</v>
      </c>
      <c r="I140" s="133" t="n">
        <f aca="false">$J$123-96</f>
        <v>2404</v>
      </c>
      <c r="J140" s="134" t="n">
        <f aca="false">$J$120*G140</f>
        <v>1</v>
      </c>
    </row>
    <row r="141" s="96" customFormat="true" ht="18" hidden="false" customHeight="true" outlineLevel="0" collapsed="false">
      <c r="A141" s="130" t="n">
        <f aca="false">IF(B141="","",+A140+1)</f>
        <v>9</v>
      </c>
      <c r="B141" s="131" t="s">
        <v>380</v>
      </c>
      <c r="C141" s="131" t="s">
        <v>381</v>
      </c>
      <c r="D141" s="132" t="s">
        <v>74</v>
      </c>
      <c r="E141" s="130" t="n">
        <v>1.106</v>
      </c>
      <c r="F141" s="132" t="s">
        <v>382</v>
      </c>
      <c r="G141" s="130" t="n">
        <v>15</v>
      </c>
      <c r="H141" s="321" t="s">
        <v>822</v>
      </c>
      <c r="I141" s="141" t="n">
        <f aca="false">($J$126-60-(15+1)*4)/15</f>
        <v>125.066666666667</v>
      </c>
      <c r="J141" s="134" t="n">
        <f aca="false">$J$120*G141</f>
        <v>15</v>
      </c>
    </row>
    <row r="142" s="96" customFormat="true" ht="18" hidden="false" customHeight="true" outlineLevel="0" collapsed="false">
      <c r="A142" s="130" t="n">
        <f aca="false">IF(B142="","",+A141+1)</f>
        <v>10</v>
      </c>
      <c r="B142" s="131" t="s">
        <v>384</v>
      </c>
      <c r="C142" s="131" t="s">
        <v>385</v>
      </c>
      <c r="D142" s="132" t="s">
        <v>74</v>
      </c>
      <c r="E142" s="130" t="n">
        <v>1.106</v>
      </c>
      <c r="F142" s="132" t="s">
        <v>382</v>
      </c>
      <c r="G142" s="130" t="n">
        <v>15</v>
      </c>
      <c r="H142" s="321" t="s">
        <v>822</v>
      </c>
      <c r="I142" s="141" t="n">
        <f aca="false">($J$126-60-(15+1)*4)/15</f>
        <v>125.066666666667</v>
      </c>
      <c r="J142" s="134" t="n">
        <f aca="false">$J$120*G142</f>
        <v>15</v>
      </c>
    </row>
    <row r="143" s="96" customFormat="true" ht="18" hidden="false" customHeight="true" outlineLevel="0" collapsed="false">
      <c r="A143" s="130" t="n">
        <f aca="false">IF(B143="","",+A142+1)</f>
        <v>11</v>
      </c>
      <c r="B143" s="131" t="s">
        <v>386</v>
      </c>
      <c r="C143" s="131" t="s">
        <v>387</v>
      </c>
      <c r="D143" s="132" t="s">
        <v>74</v>
      </c>
      <c r="E143" s="130" t="n">
        <v>1.106</v>
      </c>
      <c r="F143" s="132" t="s">
        <v>388</v>
      </c>
      <c r="G143" s="130" t="n">
        <v>22</v>
      </c>
      <c r="H143" s="130" t="s">
        <v>389</v>
      </c>
      <c r="I143" s="133" t="n">
        <f aca="false">$J$123-92</f>
        <v>2408</v>
      </c>
      <c r="J143" s="134" t="n">
        <f aca="false">$J$120*G143</f>
        <v>22</v>
      </c>
    </row>
    <row r="144" s="96" customFormat="true" ht="18" hidden="false" customHeight="true" outlineLevel="0" collapsed="false">
      <c r="A144" s="130" t="n">
        <f aca="false">IF(B144="","",+A143+1)</f>
        <v>12</v>
      </c>
      <c r="B144" s="131" t="s">
        <v>390</v>
      </c>
      <c r="C144" s="131" t="s">
        <v>391</v>
      </c>
      <c r="D144" s="132" t="s">
        <v>74</v>
      </c>
      <c r="E144" s="130" t="n">
        <v>1.106</v>
      </c>
      <c r="F144" s="132" t="s">
        <v>392</v>
      </c>
      <c r="G144" s="130" t="n">
        <v>4</v>
      </c>
      <c r="H144" s="130" t="s">
        <v>389</v>
      </c>
      <c r="I144" s="133" t="n">
        <f aca="false">$J$123-92</f>
        <v>2408</v>
      </c>
      <c r="J144" s="134" t="n">
        <f aca="false">$J$120*G144</f>
        <v>4</v>
      </c>
    </row>
    <row r="145" s="96" customFormat="true" ht="18" hidden="false" customHeight="true" outlineLevel="0" collapsed="false">
      <c r="A145" s="130" t="n">
        <f aca="false">IF(B145="","",+A144+1)</f>
        <v>13</v>
      </c>
      <c r="B145" s="131" t="s">
        <v>390</v>
      </c>
      <c r="C145" s="131" t="s">
        <v>391</v>
      </c>
      <c r="D145" s="132" t="s">
        <v>74</v>
      </c>
      <c r="E145" s="130" t="n">
        <v>1.106</v>
      </c>
      <c r="F145" s="132" t="s">
        <v>563</v>
      </c>
      <c r="G145" s="130" t="n">
        <v>3</v>
      </c>
      <c r="H145" s="130" t="s">
        <v>389</v>
      </c>
      <c r="I145" s="133" t="n">
        <f aca="false">$J$123-92</f>
        <v>2408</v>
      </c>
      <c r="J145" s="134" t="n">
        <f aca="false">$J$120*G145</f>
        <v>3</v>
      </c>
    </row>
    <row r="146" s="96" customFormat="true" ht="18" hidden="false" customHeight="true" outlineLevel="0" collapsed="false">
      <c r="A146" s="130" t="n">
        <f aca="false">IF(B146="","",+A145+1)</f>
        <v>14</v>
      </c>
      <c r="B146" s="131" t="s">
        <v>531</v>
      </c>
      <c r="C146" s="131" t="s">
        <v>532</v>
      </c>
      <c r="D146" s="132" t="s">
        <v>74</v>
      </c>
      <c r="E146" s="130" t="n">
        <v>1.106</v>
      </c>
      <c r="F146" s="132" t="s">
        <v>533</v>
      </c>
      <c r="G146" s="130" t="n">
        <v>1</v>
      </c>
      <c r="H146" s="130" t="s">
        <v>389</v>
      </c>
      <c r="I146" s="133" t="n">
        <f aca="false">$J$123-92</f>
        <v>2408</v>
      </c>
      <c r="J146" s="134" t="n">
        <f aca="false">$J$120*G146</f>
        <v>1</v>
      </c>
    </row>
    <row r="147" s="96" customFormat="true" ht="18" hidden="false" customHeight="true" outlineLevel="0" collapsed="false">
      <c r="A147" s="130" t="n">
        <f aca="false">IF(B147="","",+A146+1)</f>
        <v>15</v>
      </c>
      <c r="B147" s="131" t="str">
        <f aca="false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31" t="str">
        <f aca="false">IF($D$127=5,P133,IF($D$127=6,P133,IF($D$127=8,P134,IF($D$127=10,P134,IF($D$127=12,P134,IF($D$127=14,P135,IF($D$127=18,P135,IF($D$127=20,P135,IF($D$127=22,P135,)))))))))</f>
        <v>5-6mm GLAZING BEAD HORIZONTAL</v>
      </c>
      <c r="D147" s="131" t="str">
        <f aca="false">IF($D$127=5,Q133,IF($D$127=6,Q133,IF($D$127=8,Q134,IF($D$127=10,Q134,IF($D$127=12,Q134,IF($D$127=14,Q135,IF($D$127=18,Q135,IF($D$127=20,Q135,IF($D$127=22,Q135,)))))))))</f>
        <v>B24008</v>
      </c>
      <c r="E147" s="131" t="n">
        <f aca="false">IF($D$127=5,R133,IF($D$127=6,R133,IF($D$127=8,R134,IF($D$127=10,R134,IF($D$127=12,R134,IF($D$127=14,R135,IF($D$127=18,R135,IF($D$127=20,R135,IF($D$127=22,R135,)))))))))</f>
        <v>0.231</v>
      </c>
      <c r="F147" s="131" t="str">
        <f aca="false">IF($D$127=5,S133,IF($D$127=6,S133,IF($D$127=8,S134,IF($D$127=10,S134,IF($D$127=12,S134,IF($D$127=14,S135,IF($D$127=18,S135,IF($D$127=20,S135,IF($D$127=22,S135,)))))))))</f>
        <v>B24008-001</v>
      </c>
      <c r="G147" s="130" t="n">
        <f aca="false">IF($D$127=5,T133,IF($D$127=6,T133,IF($D$127=8,T134,IF($D$127=10,T134,IF($D$127=12,T134,IF($D$127=14,T135,IF($D$127=18,T135,IF($D$127=20,T135,IF($D$127=22,T135,)))))))))</f>
        <v>30</v>
      </c>
      <c r="H147" s="130" t="str">
        <f aca="false">IF($D$127=5,U133,IF($D$127=6,U133,IF($D$127=8,U134,IF($D$127=10,U134,IF($D$127=12,U134,IF($D$127=14,U135,IF($D$127=18,U135,IF($D$127=20,U135,IF($D$127=22,U135,)))))))))</f>
        <v>(W-185-(113.25 × 14))/15</v>
      </c>
      <c r="I147" s="141" t="n">
        <f aca="false">IF($D$127=5,V133,IF($D$127=6,V133,IF($D$127=8,V134,IF($D$127=10,V134,IF($D$127=12,V134,IF($D$127=14,V135,IF($D$127=18,V135,IF($D$127=20,V135,IF($D$127=22,V135,)))))))))</f>
        <v>15.3</v>
      </c>
      <c r="J147" s="134" t="n">
        <f aca="false">$J$120*G147</f>
        <v>30</v>
      </c>
    </row>
    <row r="148" s="96" customFormat="true" ht="18" hidden="false" customHeight="true" outlineLevel="0" collapsed="false">
      <c r="A148" s="130" t="n">
        <f aca="false">IF(B148="","",+A147+1)</f>
        <v>16</v>
      </c>
      <c r="B148" s="131" t="str">
        <f aca="false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31" t="str">
        <f aca="false">IF($D$127=5,P136,IF($D$127=6,P136,IF($D$127=8,P137,IF($D$127=10,P137,IF($D$127=12,P137,IF($D$127=14,P138,IF($D$127=18,P138,IF($D$127=20,P138,IF($D$127=22,P138,)))))))))</f>
        <v>5-6mm GLAZING BEAD VERTICAL</v>
      </c>
      <c r="D148" s="131" t="str">
        <f aca="false">IF($D$127=5,Q136,IF($D$127=6,Q136,IF($D$127=8,Q137,IF($D$127=10,Q137,IF($D$127=12,Q137,IF($D$127=14,Q138,IF($D$127=18,Q138,IF($D$127=20,Q138,IF($D$127=22,Q138,)))))))))</f>
        <v>B24008</v>
      </c>
      <c r="E148" s="131" t="n">
        <f aca="false">IF($D$127=5,R136,IF($D$127=6,R136,IF($D$127=8,R137,IF($D$127=10,R137,IF($D$127=12,R137,IF($D$127=14,R138,IF($D$127=18,R138,IF($D$127=20,R138,IF($D$127=22,R138,)))))))))</f>
        <v>0.231</v>
      </c>
      <c r="F148" s="131" t="str">
        <f aca="false">IF($D$127=5,S136,IF($D$127=6,S136,IF($D$127=8,S137,IF($D$127=10,S137,IF($D$127=12,S137,IF($D$127=14,S138,IF($D$127=18,S138,IF($D$127=20,S138,IF($D$127=22,S138,)))))))))</f>
        <v>B24008-002</v>
      </c>
      <c r="G148" s="130" t="n">
        <f aca="false">IF($D$127=5,T136,IF($D$127=6,T136,IF($D$127=8,T137,IF($D$127=10,T137,IF($D$127=12,T137,IF($D$127=14,T138,IF($D$127=18,T138,IF($D$127=20,T138,IF($D$127=22,T138,)))))))))</f>
        <v>30</v>
      </c>
      <c r="H148" s="130" t="str">
        <f aca="false">IF($D$127=5,U136,IF($D$127=6,U136,IF($D$127=8,U137,IF($D$127=10,U137,IF($D$127=12,U137,IF($D$127=14,U138,IF($D$127=18,U138,IF($D$127=20,U138,IF($D$127=22,U138,)))))))))</f>
        <v>H-242</v>
      </c>
      <c r="I148" s="133" t="n">
        <f aca="false">IF($D$127=5,V136,IF($D$127=6,V136,IF($D$127=8,V137,IF($D$127=10,V137,IF($D$127=12,V137,IF($D$127=14,V138,IF($D$127=18,V138,IF($D$127=20,V138,IF($D$127=22,V138,)))))))))</f>
        <v>2258</v>
      </c>
      <c r="J148" s="134" t="n">
        <f aca="false">$J$120*G148</f>
        <v>30</v>
      </c>
    </row>
    <row r="149" s="96" customFormat="true" ht="18" hidden="false" customHeight="true" outlineLevel="0" collapsed="false">
      <c r="A149" s="130" t="n">
        <f aca="false">IF(B149="","",+A148+1)</f>
        <v>17</v>
      </c>
      <c r="B149" s="131" t="s">
        <v>534</v>
      </c>
      <c r="C149" s="131" t="s">
        <v>535</v>
      </c>
      <c r="D149" s="132" t="s">
        <v>536</v>
      </c>
      <c r="E149" s="130"/>
      <c r="F149" s="132" t="s">
        <v>537</v>
      </c>
      <c r="G149" s="130" t="n">
        <v>1</v>
      </c>
      <c r="H149" s="130" t="s">
        <v>389</v>
      </c>
      <c r="I149" s="133" t="n">
        <f aca="false">$J$123-92</f>
        <v>2408</v>
      </c>
      <c r="J149" s="134" t="n">
        <f aca="false">$J$120*G149</f>
        <v>1</v>
      </c>
    </row>
    <row r="150" s="96" customFormat="true" ht="18" hidden="false" customHeight="true" outlineLevel="0" collapsed="false">
      <c r="A150" s="130" t="n">
        <f aca="false">IF(B150="","",+A149+1)</f>
        <v>18</v>
      </c>
      <c r="B150" s="131" t="s">
        <v>534</v>
      </c>
      <c r="C150" s="131" t="s">
        <v>535</v>
      </c>
      <c r="D150" s="132" t="s">
        <v>536</v>
      </c>
      <c r="E150" s="130"/>
      <c r="F150" s="132" t="s">
        <v>539</v>
      </c>
      <c r="G150" s="130" t="n">
        <v>1</v>
      </c>
      <c r="H150" s="130" t="s">
        <v>389</v>
      </c>
      <c r="I150" s="133" t="n">
        <f aca="false">$J$123-92</f>
        <v>2408</v>
      </c>
      <c r="J150" s="134" t="n">
        <f aca="false">$J$120*G150</f>
        <v>1</v>
      </c>
    </row>
    <row r="151" s="96" customFormat="true" ht="18" hidden="false" customHeight="true" outlineLevel="0" collapsed="false">
      <c r="A151" s="130" t="str">
        <f aca="false">IF(B151="","",+A140+1)</f>
        <v/>
      </c>
      <c r="B151" s="143"/>
      <c r="C151" s="143"/>
      <c r="D151" s="144"/>
      <c r="E151" s="145"/>
      <c r="F151" s="144"/>
      <c r="G151" s="145"/>
      <c r="H151" s="145"/>
      <c r="I151" s="146"/>
      <c r="J151" s="147" t="n">
        <f aca="false">$J$120*G151</f>
        <v>0</v>
      </c>
    </row>
    <row r="152" s="96" customFormat="true" ht="27" hidden="false" customHeight="true" outlineLevel="1" collapsed="false">
      <c r="A152" s="148" t="s">
        <v>319</v>
      </c>
      <c r="B152" s="148" t="s">
        <v>320</v>
      </c>
      <c r="C152" s="148" t="s">
        <v>168</v>
      </c>
      <c r="D152" s="148" t="s">
        <v>166</v>
      </c>
      <c r="E152" s="148" t="s">
        <v>321</v>
      </c>
      <c r="F152" s="149" t="s">
        <v>393</v>
      </c>
      <c r="G152" s="148" t="s">
        <v>394</v>
      </c>
      <c r="H152" s="150" t="s">
        <v>395</v>
      </c>
      <c r="I152" s="151"/>
      <c r="J152" s="151"/>
    </row>
    <row r="153" s="96" customFormat="true" ht="15" hidden="false" customHeight="true" outlineLevel="1" collapsed="false">
      <c r="A153" s="152" t="n">
        <f aca="false">IF(B153="","",1)</f>
        <v>1</v>
      </c>
      <c r="B153" s="153" t="str">
        <f aca="false">B133</f>
        <v>เฟรมบน</v>
      </c>
      <c r="C153" s="153" t="str">
        <f aca="false">C133</f>
        <v>HEAD</v>
      </c>
      <c r="D153" s="154" t="str">
        <f aca="false">VLOOKUP(C153,$C$133:$H$151,2,0)</f>
        <v>B24001</v>
      </c>
      <c r="E153" s="155" t="n">
        <f aca="false">VLOOKUP(C153,$C$133:$H$151,3,0)</f>
        <v>1.603</v>
      </c>
      <c r="F153" s="263" t="n">
        <f aca="false">VLOOKUP(C153,$C$133:$J$151,7,0)</f>
        <v>1940</v>
      </c>
      <c r="G153" s="155" t="n">
        <f aca="false">VLOOKUP(C153,$C$133:$J$151,8,0)</f>
        <v>1</v>
      </c>
      <c r="H153" s="264" t="n">
        <f aca="false">ROUNDUP((F153*G153)/6400,0)</f>
        <v>1</v>
      </c>
      <c r="I153" s="265"/>
      <c r="J153" s="265"/>
    </row>
    <row r="154" s="96" customFormat="true" ht="15" hidden="false" customHeight="true" outlineLevel="1" collapsed="false">
      <c r="A154" s="158" t="n">
        <f aca="false">IF(B154="","",+A153+1)</f>
        <v>2</v>
      </c>
      <c r="B154" s="153" t="str">
        <f aca="false">B134</f>
        <v>บังใบบน</v>
      </c>
      <c r="C154" s="153" t="str">
        <f aca="false">C134</f>
        <v>DOOR STOP HEAD</v>
      </c>
      <c r="D154" s="154" t="str">
        <f aca="false">VLOOKUP(C154,$C$133:$H$151,2,0)</f>
        <v>B24002</v>
      </c>
      <c r="E154" s="155" t="n">
        <f aca="false">VLOOKUP(C154,$C$133:$H$151,3,0)</f>
        <v>0.278</v>
      </c>
      <c r="F154" s="263" t="n">
        <f aca="false">VLOOKUP(C154,$C$133:$I$151,7,0)</f>
        <v>1914</v>
      </c>
      <c r="G154" s="155" t="n">
        <f aca="false">VLOOKUP(C154,$C$133:$J$151,8,0)</f>
        <v>1</v>
      </c>
      <c r="H154" s="266" t="n">
        <f aca="false">ROUNDUP((F154*G154)/6400,0)</f>
        <v>1</v>
      </c>
      <c r="I154" s="265"/>
      <c r="J154" s="265"/>
    </row>
    <row r="155" s="96" customFormat="true" ht="15" hidden="false" customHeight="true" outlineLevel="1" collapsed="false">
      <c r="A155" s="158" t="n">
        <f aca="false">IF(B155="","",+A154+1)</f>
        <v>3</v>
      </c>
      <c r="B155" s="153" t="str">
        <f aca="false">B135</f>
        <v>เฟรมล่าง </v>
      </c>
      <c r="C155" s="153" t="str">
        <f aca="false">C135</f>
        <v>SILL</v>
      </c>
      <c r="D155" s="154" t="str">
        <f aca="false">VLOOKUP(C155,$C$133:$H$151,2,0)</f>
        <v>B24003</v>
      </c>
      <c r="E155" s="155" t="n">
        <f aca="false">VLOOKUP(C155,$C$133:$H$151,3,0)</f>
        <v>1.603</v>
      </c>
      <c r="F155" s="263" t="n">
        <f aca="false">VLOOKUP(C155,$C$133:$I$151,7,0)</f>
        <v>1940</v>
      </c>
      <c r="G155" s="155" t="n">
        <f aca="false">VLOOKUP(C155,$C$133:$J$151,8,0)</f>
        <v>1</v>
      </c>
      <c r="H155" s="266" t="n">
        <f aca="false">ROUNDUP((F155*G155)/6400,0)</f>
        <v>1</v>
      </c>
      <c r="I155" s="265"/>
      <c r="J155" s="265"/>
    </row>
    <row r="156" s="96" customFormat="true" ht="15" hidden="false" customHeight="true" outlineLevel="1" collapsed="false">
      <c r="A156" s="158" t="n">
        <f aca="false">IF(B156="","",+A155+1)</f>
        <v>4</v>
      </c>
      <c r="B156" s="153" t="str">
        <f aca="false">B136</f>
        <v>ตัวตับธรณี</v>
      </c>
      <c r="C156" s="153" t="str">
        <f aca="false">C136</f>
        <v>DOOR STOP SILL</v>
      </c>
      <c r="D156" s="154" t="str">
        <f aca="false">VLOOKUP(C156,$C$133:$H$151,2,0)</f>
        <v>B24004</v>
      </c>
      <c r="E156" s="155" t="n">
        <f aca="false">VLOOKUP(C156,$C$133:$H$151,3,0)</f>
        <v>0.516</v>
      </c>
      <c r="F156" s="263" t="n">
        <f aca="false">VLOOKUP(C156,$C$133:$I$151,7,0)</f>
        <v>1940</v>
      </c>
      <c r="G156" s="155" t="n">
        <f aca="false">VLOOKUP(C156,$C$133:$J$151,8,0)</f>
        <v>1</v>
      </c>
      <c r="H156" s="266" t="n">
        <f aca="false">ROUNDUP((F156*G156)/6400,0)</f>
        <v>1</v>
      </c>
      <c r="I156" s="265"/>
      <c r="J156" s="265"/>
    </row>
    <row r="157" s="96" customFormat="true" ht="15" hidden="false" customHeight="true" outlineLevel="1" collapsed="false">
      <c r="A157" s="158" t="n">
        <f aca="false">IF(B157="","",+A156+1)</f>
        <v>5</v>
      </c>
      <c r="B157" s="153" t="str">
        <f aca="false">B137</f>
        <v>เฟรมข้าง (ซ้าย)</v>
      </c>
      <c r="C157" s="153" t="str">
        <f aca="false">C137</f>
        <v>JAMB (L)</v>
      </c>
      <c r="D157" s="159" t="str">
        <f aca="false">VLOOKUP(C157,$C$133:$H$151,2,0)</f>
        <v>B24005</v>
      </c>
      <c r="E157" s="155" t="n">
        <f aca="false">VLOOKUP(C157,$C$133:$H$151,3,0)</f>
        <v>0.893</v>
      </c>
      <c r="F157" s="263" t="n">
        <f aca="false">VLOOKUP(C157,$C$133:$I$151,7,0)</f>
        <v>2500</v>
      </c>
      <c r="G157" s="155" t="n">
        <f aca="false">VLOOKUP(C157,$C$133:$J$151,8,0)</f>
        <v>1</v>
      </c>
      <c r="H157" s="160" t="n">
        <f aca="false">ROUNDUP(((F157*G157)+(F158*G158))/6400,0)</f>
        <v>1</v>
      </c>
      <c r="I157" s="161"/>
      <c r="J157" s="161"/>
    </row>
    <row r="158" s="96" customFormat="true" ht="15" hidden="false" customHeight="true" outlineLevel="1" collapsed="false">
      <c r="A158" s="158" t="n">
        <f aca="false">IF(B158="","",+A157+1)</f>
        <v>6</v>
      </c>
      <c r="B158" s="153" t="str">
        <f aca="false">B138</f>
        <v>เฟรมข้าง (ขวา)</v>
      </c>
      <c r="C158" s="153" t="str">
        <f aca="false">C138</f>
        <v>JAMB (R)</v>
      </c>
      <c r="D158" s="159"/>
      <c r="E158" s="155" t="n">
        <f aca="false">VLOOKUP(C158,$C$133:$H$151,3,0)</f>
        <v>0.893</v>
      </c>
      <c r="F158" s="263" t="n">
        <f aca="false">VLOOKUP(C158,$C$133:$I$151,7,0)</f>
        <v>2500</v>
      </c>
      <c r="G158" s="155" t="n">
        <f aca="false">VLOOKUP(C158,$C$133:$J$151,8,0)</f>
        <v>1</v>
      </c>
      <c r="H158" s="160"/>
      <c r="I158" s="161"/>
      <c r="J158" s="161"/>
    </row>
    <row r="159" s="96" customFormat="true" ht="15" hidden="false" customHeight="true" outlineLevel="1" collapsed="false">
      <c r="A159" s="158" t="n">
        <f aca="false">IF(B159="","",+A158+1)</f>
        <v>7</v>
      </c>
      <c r="B159" s="153" t="str">
        <f aca="false">B139</f>
        <v>บังใบข้าง (ซ้าย)</v>
      </c>
      <c r="C159" s="153" t="str">
        <f aca="false">C139</f>
        <v>DOOR STOP JAMB (L)</v>
      </c>
      <c r="D159" s="159" t="str">
        <f aca="false">VLOOKUP(C159,$C$133:$H$151,2,0)</f>
        <v>B24006</v>
      </c>
      <c r="E159" s="155" t="n">
        <f aca="false">VLOOKUP(C159,$C$133:$H$151,3,0)</f>
        <v>0.235</v>
      </c>
      <c r="F159" s="263" t="n">
        <f aca="false">VLOOKUP(C159,$C$133:$I$151,7,0)</f>
        <v>2404</v>
      </c>
      <c r="G159" s="155" t="n">
        <f aca="false">VLOOKUP(C159,$C$133:$J$151,8,0)</f>
        <v>1</v>
      </c>
      <c r="H159" s="160" t="n">
        <f aca="false">ROUNDUP(((F159*G159)+(F160*G160))/6400,0)</f>
        <v>1</v>
      </c>
      <c r="I159" s="265"/>
      <c r="J159" s="265"/>
    </row>
    <row r="160" s="96" customFormat="true" ht="15" hidden="false" customHeight="true" outlineLevel="1" collapsed="false">
      <c r="A160" s="158" t="n">
        <f aca="false">IF(B160="","",+A159+1)</f>
        <v>8</v>
      </c>
      <c r="B160" s="153" t="str">
        <f aca="false">B140</f>
        <v>บังใบข้าง (ขวา)</v>
      </c>
      <c r="C160" s="153" t="str">
        <f aca="false">C140</f>
        <v>DOOR STOP JAMB (R)</v>
      </c>
      <c r="D160" s="159"/>
      <c r="E160" s="155" t="n">
        <f aca="false">VLOOKUP(C160,$C$133:$H$151,3,0)</f>
        <v>0.235</v>
      </c>
      <c r="F160" s="263" t="n">
        <f aca="false">VLOOKUP(C160,$C$133:$I$151,7,0)</f>
        <v>2404</v>
      </c>
      <c r="G160" s="155" t="n">
        <f aca="false">VLOOKUP(C160,$C$133:$J$151,8,0)</f>
        <v>1</v>
      </c>
      <c r="H160" s="160"/>
      <c r="I160" s="161"/>
      <c r="J160" s="161"/>
    </row>
    <row r="161" s="96" customFormat="true" ht="13.5" hidden="false" customHeight="true" outlineLevel="1" collapsed="false">
      <c r="A161" s="158" t="n">
        <f aca="false">IF(B161="","",+A160+1)</f>
        <v>9</v>
      </c>
      <c r="B161" s="153" t="str">
        <f aca="false">B141</f>
        <v>ขวางบน</v>
      </c>
      <c r="C161" s="153" t="str">
        <f aca="false">C141</f>
        <v>SASH (Hor) (T)</v>
      </c>
      <c r="D161" s="159" t="str">
        <f aca="false">VLOOKUP(C161,$C$133:$H$151,2,0)</f>
        <v>B24007</v>
      </c>
      <c r="E161" s="155" t="n">
        <f aca="false">VLOOKUP(C161,$C$133:$H$151,3,0)</f>
        <v>1.106</v>
      </c>
      <c r="F161" s="267" t="n">
        <f aca="false">VLOOKUP(C161,$C$133:$I$151,7,0)</f>
        <v>125.066666666667</v>
      </c>
      <c r="G161" s="155" t="n">
        <f aca="false">VLOOKUP(C161,$C$133:$J$151,8,0)</f>
        <v>15</v>
      </c>
      <c r="H161" s="160" t="n">
        <f aca="false">ROUNDUP(((F161*G161)+(F162*G162)+(F163*G163)+(F164*G164)+(F165*G165)+(F166*G166))/6400,0)</f>
        <v>13</v>
      </c>
      <c r="I161" s="161"/>
      <c r="J161" s="161"/>
    </row>
    <row r="162" s="96" customFormat="true" ht="13.5" hidden="false" customHeight="true" outlineLevel="1" collapsed="false">
      <c r="A162" s="158" t="n">
        <f aca="false">IF(B162="","",+A161+1)</f>
        <v>10</v>
      </c>
      <c r="B162" s="153" t="str">
        <f aca="false">B142</f>
        <v>ขวางล่าง</v>
      </c>
      <c r="C162" s="153" t="str">
        <f aca="false">C142</f>
        <v>SASH (Hor) (B)</v>
      </c>
      <c r="D162" s="159"/>
      <c r="E162" s="155" t="n">
        <f aca="false">VLOOKUP(C162,$C$133:$H$151,3,0)</f>
        <v>1.106</v>
      </c>
      <c r="F162" s="267" t="n">
        <f aca="false">VLOOKUP(C162,$C$133:$I$151,7,0)</f>
        <v>125.066666666667</v>
      </c>
      <c r="G162" s="155" t="n">
        <f aca="false">VLOOKUP(C162,$C$133:$J$151,8,0)</f>
        <v>15</v>
      </c>
      <c r="H162" s="160"/>
      <c r="I162" s="161"/>
      <c r="J162" s="161"/>
    </row>
    <row r="163" s="96" customFormat="true" ht="13.5" hidden="false" customHeight="true" outlineLevel="1" collapsed="false">
      <c r="A163" s="158" t="n">
        <f aca="false">IF(B163="","",+A162+1)</f>
        <v>11</v>
      </c>
      <c r="B163" s="153" t="str">
        <f aca="false">B143</f>
        <v>เสา</v>
      </c>
      <c r="C163" s="153" t="str">
        <f aca="false">C143</f>
        <v>SASH (Ver) </v>
      </c>
      <c r="D163" s="159"/>
      <c r="E163" s="155" t="n">
        <f aca="false">VLOOKUP(C163,$C$133:$H$151,3,0)</f>
        <v>1.106</v>
      </c>
      <c r="F163" s="263" t="n">
        <f aca="false">VLOOKUP(C163,$C$133:$I$151,7,0)</f>
        <v>2408</v>
      </c>
      <c r="G163" s="155" t="n">
        <f aca="false">VLOOKUP(C163,$C$133:$J$151,8,0)</f>
        <v>22</v>
      </c>
      <c r="H163" s="160"/>
      <c r="I163" s="161"/>
      <c r="J163" s="161"/>
    </row>
    <row r="164" s="96" customFormat="true" ht="13.5" hidden="false" customHeight="true" outlineLevel="1" collapsed="false">
      <c r="A164" s="158" t="n">
        <f aca="false">IF(B164="","",+A163+1)</f>
        <v>12</v>
      </c>
      <c r="B164" s="153" t="str">
        <f aca="false">B144</f>
        <v>เสากุญแจ</v>
      </c>
      <c r="C164" s="153" t="str">
        <f aca="false">C144</f>
        <v>SASH (Ver) LOCK </v>
      </c>
      <c r="D164" s="159"/>
      <c r="E164" s="155" t="n">
        <f aca="false">VLOOKUP(C164,$C$133:$H$151,3,0)</f>
        <v>1.106</v>
      </c>
      <c r="F164" s="263" t="n">
        <f aca="false">VLOOKUP(C164,$C$133:$I$151,7,0)</f>
        <v>2408</v>
      </c>
      <c r="G164" s="155" t="n">
        <f aca="false">VLOOKUP(C164,$C$133:$J$151,8,0)</f>
        <v>4</v>
      </c>
      <c r="H164" s="160"/>
      <c r="I164" s="161"/>
      <c r="J164" s="161"/>
    </row>
    <row r="165" s="96" customFormat="true" ht="13.5" hidden="false" customHeight="true" outlineLevel="1" collapsed="false">
      <c r="A165" s="158" t="n">
        <f aca="false">IF(B165="","",+A164+1)</f>
        <v>13</v>
      </c>
      <c r="B165" s="153" t="str">
        <f aca="false">B145</f>
        <v>เสากุญแจ</v>
      </c>
      <c r="C165" s="153" t="str">
        <f aca="false">C145</f>
        <v>SASH (Ver) LOCK </v>
      </c>
      <c r="D165" s="159"/>
      <c r="E165" s="155" t="n">
        <f aca="false">VLOOKUP(C165,$C$133:$H$151,3,0)</f>
        <v>1.106</v>
      </c>
      <c r="F165" s="263" t="n">
        <f aca="false">VLOOKUP(C165,$C$133:$I$151,7,0)</f>
        <v>2408</v>
      </c>
      <c r="G165" s="155" t="n">
        <f aca="false">VLOOKUP(C165,$C$133:$J$151,8,0)</f>
        <v>4</v>
      </c>
      <c r="H165" s="160"/>
      <c r="I165" s="161"/>
      <c r="J165" s="161"/>
    </row>
    <row r="166" s="96" customFormat="true" ht="15" hidden="false" customHeight="true" outlineLevel="1" collapsed="false">
      <c r="A166" s="158" t="n">
        <f aca="false">IF(B166="","",+A165+1)</f>
        <v>14</v>
      </c>
      <c r="B166" s="153" t="str">
        <f aca="false">B146</f>
        <v>เสากุญแจมือจับ</v>
      </c>
      <c r="C166" s="153" t="str">
        <f aca="false">C146</f>
        <v>SASH (Ver) LOCK HANDLE</v>
      </c>
      <c r="D166" s="159"/>
      <c r="E166" s="155" t="n">
        <f aca="false">VLOOKUP(C166,$C$133:$H$151,3,0)</f>
        <v>1.106</v>
      </c>
      <c r="F166" s="263" t="n">
        <f aca="false">VLOOKUP(C166,$C$133:$I$151,7,0)</f>
        <v>2408</v>
      </c>
      <c r="G166" s="155" t="n">
        <f aca="false">VLOOKUP(C166,$C$133:$J$151,8,0)</f>
        <v>1</v>
      </c>
      <c r="H166" s="160"/>
      <c r="I166" s="265"/>
      <c r="J166" s="265"/>
    </row>
    <row r="167" s="96" customFormat="true" ht="15" hidden="false" customHeight="true" outlineLevel="1" collapsed="false">
      <c r="A167" s="158" t="n">
        <f aca="false">IF(B167="","",+A166+1)</f>
        <v>15</v>
      </c>
      <c r="B167" s="153" t="str">
        <f aca="false">B147</f>
        <v>5-6mm คิ้วตบกระจกแนวนอน</v>
      </c>
      <c r="C167" s="153" t="str">
        <f aca="false">C147</f>
        <v>5-6mm GLAZING BEAD HORIZONTAL</v>
      </c>
      <c r="D167" s="159" t="str">
        <f aca="false">VLOOKUP(C167,$C$133:$H$151,2,0)</f>
        <v>B24008</v>
      </c>
      <c r="E167" s="155" t="n">
        <f aca="false">VLOOKUP(C167,$C$133:$H$151,3,0)</f>
        <v>0.231</v>
      </c>
      <c r="F167" s="267" t="n">
        <f aca="false">VLOOKUP(C167,$C$133:$I$151,7,0)</f>
        <v>15.3</v>
      </c>
      <c r="G167" s="155" t="n">
        <f aca="false">VLOOKUP(C167,$C$133:$J$151,8,0)</f>
        <v>30</v>
      </c>
      <c r="H167" s="160" t="n">
        <f aca="false">ROUNDUP(((F167*G167)+(F168*G168))/6400,0)</f>
        <v>11</v>
      </c>
      <c r="I167" s="196"/>
      <c r="J167" s="196"/>
    </row>
    <row r="168" s="96" customFormat="true" ht="15" hidden="false" customHeight="true" outlineLevel="1" collapsed="false">
      <c r="A168" s="158" t="n">
        <f aca="false">IF(B168="","",+A167+1)</f>
        <v>16</v>
      </c>
      <c r="B168" s="153" t="str">
        <f aca="false">B148</f>
        <v>5-6mm คิ้วตบกระจกแนวตั้ง</v>
      </c>
      <c r="C168" s="153" t="str">
        <f aca="false">C148</f>
        <v>5-6mm GLAZING BEAD VERTICAL</v>
      </c>
      <c r="D168" s="159"/>
      <c r="E168" s="155" t="n">
        <f aca="false">VLOOKUP(C168,$C$133:$H$151,3,0)</f>
        <v>0.231</v>
      </c>
      <c r="F168" s="263" t="n">
        <f aca="false">VLOOKUP(C168,$C$133:$I$151,7,0)</f>
        <v>2258</v>
      </c>
      <c r="G168" s="155" t="n">
        <f aca="false">VLOOKUP(C168,$C$133:$J$151,8,0)</f>
        <v>30</v>
      </c>
      <c r="H168" s="160"/>
      <c r="I168" s="196"/>
      <c r="J168" s="196"/>
    </row>
    <row r="169" s="96" customFormat="true" ht="13.5" hidden="false" customHeight="true" outlineLevel="1" collapsed="false">
      <c r="A169" s="158" t="n">
        <f aca="false">IF(B169="","",+A168+1)</f>
        <v>17</v>
      </c>
      <c r="B169" s="153" t="str">
        <f aca="false">B149</f>
        <v>บังใบ</v>
      </c>
      <c r="C169" s="153" t="str">
        <f aca="false">C149</f>
        <v>SASH STOP</v>
      </c>
      <c r="D169" s="163" t="str">
        <f aca="false">VLOOKUP(C169,$C$133:$H$151,2,0)</f>
        <v>B24009</v>
      </c>
      <c r="E169" s="155" t="n">
        <f aca="false">VLOOKUP(C169,$C$133:$H$151,3,0)</f>
        <v>0</v>
      </c>
      <c r="F169" s="263" t="n">
        <f aca="false">VLOOKUP(C169,$C$133:$I$151,7,0)</f>
        <v>2408</v>
      </c>
      <c r="G169" s="155" t="n">
        <f aca="false">VLOOKUP(C169,$C$133:$J$151,8,0)</f>
        <v>1</v>
      </c>
      <c r="H169" s="160" t="n">
        <f aca="false">ROUNDUP(((F169*G169)+(F170*G170))/6400,0)</f>
        <v>1</v>
      </c>
      <c r="I169" s="196"/>
      <c r="J169" s="196"/>
    </row>
    <row r="170" s="202" customFormat="true" ht="15" hidden="false" customHeight="true" outlineLevel="1" collapsed="false">
      <c r="A170" s="158" t="n">
        <f aca="false">IF(B170="","",+A169+1)</f>
        <v>18</v>
      </c>
      <c r="B170" s="153" t="str">
        <f aca="false">B150</f>
        <v>บังใบ</v>
      </c>
      <c r="C170" s="153" t="str">
        <f aca="false">C150</f>
        <v>SASH STOP</v>
      </c>
      <c r="D170" s="163"/>
      <c r="E170" s="155" t="n">
        <f aca="false">VLOOKUP(C170,$C$133:$H$151,3,0)</f>
        <v>0</v>
      </c>
      <c r="F170" s="263" t="n">
        <f aca="false">VLOOKUP(C170,$C$133:$I$151,7,0)</f>
        <v>2408</v>
      </c>
      <c r="G170" s="155" t="n">
        <f aca="false">VLOOKUP(C170,$C$133:$J$151,8,0)</f>
        <v>1</v>
      </c>
      <c r="H170" s="160"/>
      <c r="I170" s="157"/>
      <c r="J170" s="157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Y170" s="96"/>
      <c r="Z170" s="96"/>
      <c r="AA170" s="96"/>
      <c r="AB170" s="96"/>
      <c r="AC170" s="96"/>
      <c r="AD170" s="96"/>
      <c r="AE170" s="96"/>
      <c r="AF170" s="96"/>
      <c r="AG170" s="96"/>
      <c r="AH170" s="96"/>
      <c r="AI170" s="96"/>
      <c r="AJ170" s="96"/>
    </row>
    <row r="171" s="96" customFormat="true" ht="24.75" hidden="false" customHeight="true" outlineLevel="0" collapsed="false">
      <c r="A171" s="113" t="s">
        <v>396</v>
      </c>
      <c r="B171" s="113"/>
      <c r="C171" s="113"/>
      <c r="D171" s="113"/>
      <c r="E171" s="113"/>
      <c r="F171" s="113"/>
      <c r="G171" s="113"/>
      <c r="H171" s="113"/>
      <c r="I171" s="113"/>
      <c r="J171" s="113"/>
    </row>
    <row r="172" s="96" customFormat="true" ht="34.5" hidden="false" customHeight="true" outlineLevel="0" collapsed="false">
      <c r="A172" s="114" t="s">
        <v>319</v>
      </c>
      <c r="B172" s="115" t="s">
        <v>320</v>
      </c>
      <c r="C172" s="115" t="s">
        <v>168</v>
      </c>
      <c r="D172" s="115" t="s">
        <v>397</v>
      </c>
      <c r="E172" s="115" t="s">
        <v>321</v>
      </c>
      <c r="F172" s="116" t="s">
        <v>398</v>
      </c>
      <c r="G172" s="115" t="s">
        <v>399</v>
      </c>
      <c r="H172" s="116" t="s">
        <v>400</v>
      </c>
      <c r="I172" s="116" t="s">
        <v>401</v>
      </c>
      <c r="J172" s="117" t="s">
        <v>402</v>
      </c>
      <c r="N172" s="107" t="s">
        <v>288</v>
      </c>
      <c r="O172" s="165" t="s">
        <v>320</v>
      </c>
      <c r="P172" s="165" t="s">
        <v>168</v>
      </c>
      <c r="Q172" s="165" t="s">
        <v>397</v>
      </c>
      <c r="R172" s="165" t="s">
        <v>321</v>
      </c>
      <c r="S172" s="165" t="s">
        <v>398</v>
      </c>
      <c r="T172" s="165" t="s">
        <v>399</v>
      </c>
      <c r="U172" s="165" t="s">
        <v>400</v>
      </c>
      <c r="V172" s="165" t="s">
        <v>401</v>
      </c>
      <c r="W172" s="165" t="s">
        <v>402</v>
      </c>
    </row>
    <row r="173" s="96" customFormat="true" ht="18" hidden="false" customHeight="true" outlineLevel="0" collapsed="false">
      <c r="A173" s="166" t="n">
        <f aca="false">IF(B173="","",1)</f>
        <v>1</v>
      </c>
      <c r="B173" s="131" t="s">
        <v>410</v>
      </c>
      <c r="C173" s="131" t="s">
        <v>411</v>
      </c>
      <c r="D173" s="132" t="s">
        <v>267</v>
      </c>
      <c r="E173" s="130"/>
      <c r="F173" s="130" t="s">
        <v>267</v>
      </c>
      <c r="G173" s="130" t="s">
        <v>405</v>
      </c>
      <c r="H173" s="130" t="n">
        <v>30</v>
      </c>
      <c r="I173" s="133"/>
      <c r="J173" s="134" t="n">
        <f aca="false">$J$120*H173</f>
        <v>30</v>
      </c>
      <c r="N173" s="107" t="s">
        <v>406</v>
      </c>
      <c r="O173" s="55" t="s">
        <v>407</v>
      </c>
      <c r="P173" s="62" t="s">
        <v>408</v>
      </c>
      <c r="Q173" s="55" t="s">
        <v>227</v>
      </c>
      <c r="R173" s="158"/>
      <c r="S173" s="158" t="s">
        <v>227</v>
      </c>
      <c r="T173" s="158" t="s">
        <v>409</v>
      </c>
      <c r="U173" s="168" t="n">
        <f aca="false">((($I$141*$G$141)+($I$142*$G$142)+($I$143*$G$143)+($I$144*$G$144)+($I$145*$G$145)+($I$146*$G$146))/1000)*$J$120</f>
        <v>75.992</v>
      </c>
      <c r="V173" s="168" t="n">
        <v>100</v>
      </c>
      <c r="W173" s="169" t="n">
        <f aca="false">ROUNDUP((U173)/100,0)</f>
        <v>1</v>
      </c>
    </row>
    <row r="174" s="96" customFormat="true" ht="18" hidden="false" customHeight="true" outlineLevel="0" collapsed="false">
      <c r="A174" s="170" t="n">
        <f aca="false">IF(B174="","",+A173+1)</f>
        <v>2</v>
      </c>
      <c r="B174" s="131" t="s">
        <v>415</v>
      </c>
      <c r="C174" s="131" t="s">
        <v>416</v>
      </c>
      <c r="D174" s="132" t="s">
        <v>222</v>
      </c>
      <c r="E174" s="130"/>
      <c r="F174" s="130" t="s">
        <v>222</v>
      </c>
      <c r="G174" s="130" t="s">
        <v>405</v>
      </c>
      <c r="H174" s="130" t="n">
        <v>2</v>
      </c>
      <c r="I174" s="133"/>
      <c r="J174" s="134" t="n">
        <f aca="false">$J$120*H174</f>
        <v>2</v>
      </c>
      <c r="N174" s="107" t="s">
        <v>412</v>
      </c>
      <c r="O174" s="55" t="s">
        <v>413</v>
      </c>
      <c r="P174" s="62" t="s">
        <v>414</v>
      </c>
      <c r="Q174" s="55" t="s">
        <v>234</v>
      </c>
      <c r="R174" s="158"/>
      <c r="S174" s="158" t="s">
        <v>234</v>
      </c>
      <c r="T174" s="158" t="s">
        <v>409</v>
      </c>
      <c r="U174" s="168" t="n">
        <f aca="false">((($I$141*$G$141)+($I$142*$G$142)+($I$143*$G$143)+($I$144*$G$144)+($I$145*$G$145)+($I$146*$G$146))/1000)*$J$120</f>
        <v>75.992</v>
      </c>
      <c r="V174" s="168" t="n">
        <v>100</v>
      </c>
      <c r="W174" s="169" t="n">
        <f aca="false">ROUNDUP((U174)/100,0)</f>
        <v>1</v>
      </c>
    </row>
    <row r="175" s="96" customFormat="true" ht="18" hidden="false" customHeight="true" outlineLevel="0" collapsed="false">
      <c r="A175" s="170" t="n">
        <f aca="false">IF(B175="","",+A174+1)</f>
        <v>3</v>
      </c>
      <c r="B175" s="131" t="s">
        <v>420</v>
      </c>
      <c r="C175" s="131" t="s">
        <v>421</v>
      </c>
      <c r="D175" s="132" t="s">
        <v>225</v>
      </c>
      <c r="E175" s="130"/>
      <c r="F175" s="130" t="s">
        <v>225</v>
      </c>
      <c r="G175" s="130" t="s">
        <v>405</v>
      </c>
      <c r="H175" s="130" t="n">
        <v>2</v>
      </c>
      <c r="I175" s="133"/>
      <c r="J175" s="134" t="n">
        <f aca="false">$J$120*H175</f>
        <v>2</v>
      </c>
      <c r="N175" s="107" t="s">
        <v>417</v>
      </c>
      <c r="O175" s="62" t="s">
        <v>418</v>
      </c>
      <c r="P175" s="62" t="s">
        <v>419</v>
      </c>
      <c r="Q175" s="55" t="s">
        <v>236</v>
      </c>
      <c r="R175" s="158"/>
      <c r="S175" s="158" t="s">
        <v>236</v>
      </c>
      <c r="T175" s="158" t="s">
        <v>409</v>
      </c>
      <c r="U175" s="168" t="n">
        <f aca="false">((($I$141*$G$141)+($I$142*$G$142)+($I$143*$G$143)+($I$144*$G$144)+($I$145*$G$145)+($I$146*$G$146))/1000)*$J$120</f>
        <v>75.992</v>
      </c>
      <c r="V175" s="168" t="n">
        <v>100</v>
      </c>
      <c r="W175" s="169" t="n">
        <f aca="false">ROUNDUP((U175)/100,0)</f>
        <v>1</v>
      </c>
    </row>
    <row r="176" s="96" customFormat="true" ht="18" hidden="false" customHeight="true" outlineLevel="0" collapsed="false">
      <c r="A176" s="170" t="n">
        <f aca="false">IF(B176="","",+A175+1)</f>
        <v>4</v>
      </c>
      <c r="B176" s="131" t="s">
        <v>425</v>
      </c>
      <c r="C176" s="131" t="s">
        <v>426</v>
      </c>
      <c r="D176" s="132" t="n">
        <v>9</v>
      </c>
      <c r="E176" s="130"/>
      <c r="F176" s="130" t="n">
        <v>9</v>
      </c>
      <c r="G176" s="130" t="s">
        <v>405</v>
      </c>
      <c r="H176" s="130" t="n">
        <v>8</v>
      </c>
      <c r="I176" s="133"/>
      <c r="J176" s="134" t="n">
        <f aca="false">$J$120*H176</f>
        <v>8</v>
      </c>
      <c r="N176" s="107" t="s">
        <v>422</v>
      </c>
      <c r="O176" s="62" t="s">
        <v>423</v>
      </c>
      <c r="P176" s="62" t="s">
        <v>424</v>
      </c>
      <c r="Q176" s="55" t="s">
        <v>238</v>
      </c>
      <c r="R176" s="158"/>
      <c r="S176" s="158" t="s">
        <v>238</v>
      </c>
      <c r="T176" s="158" t="s">
        <v>409</v>
      </c>
      <c r="U176" s="168" t="n">
        <f aca="false">((($I$141*$G$141)+($I$142*$G$142)+($I$143*$G$143)+($I$144*$G$144)+($I$145*$G$145)+($I$146*$G$146))/1000)*$J$120</f>
        <v>75.992</v>
      </c>
      <c r="V176" s="168" t="n">
        <v>100</v>
      </c>
      <c r="W176" s="169" t="n">
        <f aca="false">ROUNDUP((U176)/100,0)</f>
        <v>1</v>
      </c>
    </row>
    <row r="177" s="96" customFormat="true" ht="18" hidden="false" customHeight="true" outlineLevel="0" collapsed="false">
      <c r="A177" s="170" t="n">
        <f aca="false">IF(B177="","",+A176+1)</f>
        <v>5</v>
      </c>
      <c r="B177" s="131" t="s">
        <v>430</v>
      </c>
      <c r="C177" s="131" t="s">
        <v>431</v>
      </c>
      <c r="D177" s="132" t="n">
        <v>9</v>
      </c>
      <c r="E177" s="130"/>
      <c r="F177" s="130" t="n">
        <v>9</v>
      </c>
      <c r="G177" s="130" t="s">
        <v>405</v>
      </c>
      <c r="H177" s="130" t="n">
        <v>110</v>
      </c>
      <c r="I177" s="133"/>
      <c r="J177" s="134" t="n">
        <f aca="false">$J$120*H177</f>
        <v>110</v>
      </c>
      <c r="N177" s="107" t="s">
        <v>427</v>
      </c>
      <c r="O177" s="62" t="s">
        <v>428</v>
      </c>
      <c r="P177" s="62" t="s">
        <v>429</v>
      </c>
      <c r="Q177" s="55" t="s">
        <v>240</v>
      </c>
      <c r="R177" s="158"/>
      <c r="S177" s="158" t="s">
        <v>240</v>
      </c>
      <c r="T177" s="158" t="s">
        <v>409</v>
      </c>
      <c r="U177" s="168" t="n">
        <f aca="false">((($I$141*$G$141)+($I$142*$G$142)+($I$143*$G$143)+($I$144*$G$144)+($I$145*$G$145)+($I$146*$G$146))/1000)*$J$120</f>
        <v>75.992</v>
      </c>
      <c r="V177" s="168" t="n">
        <v>100</v>
      </c>
      <c r="W177" s="169" t="n">
        <f aca="false">ROUNDUP((U177)/100,0)</f>
        <v>1</v>
      </c>
    </row>
    <row r="178" s="96" customFormat="true" ht="18" hidden="false" customHeight="true" outlineLevel="0" collapsed="false">
      <c r="A178" s="170" t="n">
        <f aca="false">IF(B178="","",+A177+1)</f>
        <v>6</v>
      </c>
      <c r="B178" s="131" t="s">
        <v>603</v>
      </c>
      <c r="C178" s="131" t="s">
        <v>438</v>
      </c>
      <c r="D178" s="132" t="s">
        <v>4</v>
      </c>
      <c r="E178" s="130"/>
      <c r="F178" s="130" t="s">
        <v>4</v>
      </c>
      <c r="G178" s="130" t="s">
        <v>434</v>
      </c>
      <c r="H178" s="130" t="n">
        <v>4</v>
      </c>
      <c r="I178" s="133"/>
      <c r="J178" s="134" t="n">
        <f aca="false">$J$120*H178</f>
        <v>4</v>
      </c>
    </row>
    <row r="179" s="96" customFormat="true" ht="18" hidden="false" customHeight="true" outlineLevel="0" collapsed="false">
      <c r="A179" s="170" t="n">
        <f aca="false">IF(B179="","",+A178+1)</f>
        <v>7</v>
      </c>
      <c r="B179" s="131" t="s">
        <v>556</v>
      </c>
      <c r="C179" s="131" t="s">
        <v>557</v>
      </c>
      <c r="D179" s="132" t="s">
        <v>5</v>
      </c>
      <c r="E179" s="130"/>
      <c r="F179" s="130" t="s">
        <v>5</v>
      </c>
      <c r="G179" s="130" t="s">
        <v>434</v>
      </c>
      <c r="H179" s="130" t="n">
        <v>3</v>
      </c>
      <c r="I179" s="133"/>
      <c r="J179" s="134" t="n">
        <f aca="false">$J$120*H179</f>
        <v>3</v>
      </c>
    </row>
    <row r="180" s="96" customFormat="true" ht="18" hidden="false" customHeight="true" outlineLevel="0" collapsed="false">
      <c r="A180" s="170" t="n">
        <f aca="false">IF(B180="","",+A179+1)</f>
        <v>8</v>
      </c>
      <c r="B180" s="131" t="s">
        <v>432</v>
      </c>
      <c r="C180" s="131" t="s">
        <v>433</v>
      </c>
      <c r="D180" s="132" t="s">
        <v>6</v>
      </c>
      <c r="E180" s="130"/>
      <c r="F180" s="130" t="s">
        <v>6</v>
      </c>
      <c r="G180" s="130" t="s">
        <v>434</v>
      </c>
      <c r="H180" s="130" t="n">
        <v>1</v>
      </c>
      <c r="I180" s="133"/>
      <c r="J180" s="134" t="n">
        <f aca="false">$J$120*H180</f>
        <v>1</v>
      </c>
    </row>
    <row r="181" s="96" customFormat="true" ht="18" hidden="false" customHeight="true" outlineLevel="0" collapsed="false">
      <c r="A181" s="170" t="n">
        <f aca="false">IF(B181="","",+A180+1)</f>
        <v>9</v>
      </c>
      <c r="B181" s="131" t="s">
        <v>512</v>
      </c>
      <c r="C181" s="131" t="s">
        <v>513</v>
      </c>
      <c r="D181" s="132" t="s">
        <v>7</v>
      </c>
      <c r="E181" s="130"/>
      <c r="F181" s="130" t="s">
        <v>7</v>
      </c>
      <c r="G181" s="130" t="s">
        <v>434</v>
      </c>
      <c r="H181" s="130" t="n">
        <v>1</v>
      </c>
      <c r="I181" s="133"/>
      <c r="J181" s="134" t="n">
        <f aca="false">$J$120*H181</f>
        <v>1</v>
      </c>
    </row>
    <row r="182" s="96" customFormat="true" ht="18" hidden="false" customHeight="true" outlineLevel="0" collapsed="false">
      <c r="A182" s="170" t="n">
        <f aca="false">IF(B182="","",+A181+1)</f>
        <v>10</v>
      </c>
      <c r="B182" s="131" t="s">
        <v>514</v>
      </c>
      <c r="C182" s="131" t="s">
        <v>768</v>
      </c>
      <c r="D182" s="132" t="s">
        <v>9</v>
      </c>
      <c r="E182" s="130"/>
      <c r="F182" s="130" t="s">
        <v>9</v>
      </c>
      <c r="G182" s="130" t="s">
        <v>434</v>
      </c>
      <c r="H182" s="130" t="n">
        <v>1</v>
      </c>
      <c r="I182" s="133"/>
      <c r="J182" s="134" t="n">
        <f aca="false">$J$120*H182</f>
        <v>1</v>
      </c>
      <c r="Q182" s="172"/>
      <c r="R182" s="172"/>
      <c r="S182" s="172"/>
      <c r="T182" s="97"/>
      <c r="U182" s="97"/>
      <c r="V182" s="97"/>
    </row>
    <row r="183" s="96" customFormat="true" ht="18" hidden="false" customHeight="true" outlineLevel="0" collapsed="false">
      <c r="A183" s="170" t="n">
        <f aca="false">IF(B183="","",+A182+1)</f>
        <v>11</v>
      </c>
      <c r="B183" s="131" t="s">
        <v>554</v>
      </c>
      <c r="C183" s="131" t="s">
        <v>555</v>
      </c>
      <c r="D183" s="132" t="s">
        <v>11</v>
      </c>
      <c r="E183" s="130"/>
      <c r="F183" s="130" t="s">
        <v>11</v>
      </c>
      <c r="G183" s="130" t="s">
        <v>434</v>
      </c>
      <c r="H183" s="130" t="n">
        <v>6</v>
      </c>
      <c r="I183" s="142"/>
      <c r="J183" s="134" t="n">
        <f aca="false">$J$120*H183</f>
        <v>6</v>
      </c>
      <c r="N183" s="107" t="s">
        <v>289</v>
      </c>
      <c r="O183" s="165" t="s">
        <v>320</v>
      </c>
      <c r="P183" s="165" t="s">
        <v>168</v>
      </c>
      <c r="Q183" s="165" t="s">
        <v>397</v>
      </c>
      <c r="R183" s="165" t="s">
        <v>321</v>
      </c>
      <c r="S183" s="165" t="s">
        <v>398</v>
      </c>
      <c r="T183" s="165" t="s">
        <v>399</v>
      </c>
      <c r="U183" s="165" t="s">
        <v>400</v>
      </c>
      <c r="V183" s="165" t="s">
        <v>401</v>
      </c>
      <c r="W183" s="165" t="s">
        <v>402</v>
      </c>
    </row>
    <row r="184" s="96" customFormat="true" ht="18" hidden="false" customHeight="true" outlineLevel="0" collapsed="false">
      <c r="A184" s="170" t="n">
        <f aca="false">IF(B184="","",+A183+1)</f>
        <v>12</v>
      </c>
      <c r="B184" s="131" t="s">
        <v>439</v>
      </c>
      <c r="C184" s="131" t="s">
        <v>440</v>
      </c>
      <c r="D184" s="132" t="s">
        <v>12</v>
      </c>
      <c r="E184" s="130"/>
      <c r="F184" s="130" t="s">
        <v>12</v>
      </c>
      <c r="G184" s="130" t="s">
        <v>434</v>
      </c>
      <c r="H184" s="130" t="n">
        <v>7</v>
      </c>
      <c r="I184" s="142"/>
      <c r="J184" s="134" t="n">
        <f aca="false">$J$120*H184</f>
        <v>7</v>
      </c>
      <c r="N184" s="107" t="s">
        <v>445</v>
      </c>
      <c r="O184" s="62" t="s">
        <v>446</v>
      </c>
      <c r="P184" s="62" t="s">
        <v>447</v>
      </c>
      <c r="Q184" s="55" t="s">
        <v>230</v>
      </c>
      <c r="R184" s="158"/>
      <c r="S184" s="158" t="s">
        <v>230</v>
      </c>
      <c r="T184" s="158" t="s">
        <v>409</v>
      </c>
      <c r="U184" s="168" t="n">
        <f aca="false">((($I$134*$G$134)+($I$136*$G$136)+($I$139*$G$139))/1000)*$J$120</f>
        <v>6.258</v>
      </c>
      <c r="V184" s="168" t="n">
        <v>300</v>
      </c>
      <c r="W184" s="169" t="n">
        <f aca="false">ROUNDUP((U184)/V184,0)</f>
        <v>1</v>
      </c>
    </row>
    <row r="185" s="96" customFormat="true" ht="18" hidden="false" customHeight="true" outlineLevel="0" collapsed="false">
      <c r="A185" s="170" t="n">
        <f aca="false">IF(B185="","",+A184+1)</f>
        <v>13</v>
      </c>
      <c r="B185" s="131" t="s">
        <v>540</v>
      </c>
      <c r="C185" s="131" t="s">
        <v>541</v>
      </c>
      <c r="D185" s="132" t="s">
        <v>542</v>
      </c>
      <c r="E185" s="130"/>
      <c r="F185" s="130" t="s">
        <v>542</v>
      </c>
      <c r="G185" s="130" t="s">
        <v>434</v>
      </c>
      <c r="H185" s="130" t="n">
        <v>1</v>
      </c>
      <c r="I185" s="133"/>
      <c r="J185" s="134" t="n">
        <f aca="false">$J$120*H185</f>
        <v>1</v>
      </c>
      <c r="N185" s="107" t="s">
        <v>448</v>
      </c>
      <c r="O185" s="62" t="s">
        <v>449</v>
      </c>
      <c r="P185" s="62" t="s">
        <v>450</v>
      </c>
      <c r="Q185" s="55" t="s">
        <v>451</v>
      </c>
      <c r="R185" s="158"/>
      <c r="S185" s="158" t="s">
        <v>451</v>
      </c>
      <c r="T185" s="158" t="s">
        <v>409</v>
      </c>
      <c r="U185" s="168" t="n">
        <f aca="false">((($I$134*$G$134)+($I$136*$G$136)+($I$139*$G$139))/1000)*$J$120</f>
        <v>6.258</v>
      </c>
      <c r="V185" s="168" t="n">
        <v>100</v>
      </c>
      <c r="W185" s="169" t="n">
        <f aca="false">ROUNDUP((U185)/V185,0)</f>
        <v>1</v>
      </c>
    </row>
    <row r="186" s="96" customFormat="true" ht="18" hidden="false" customHeight="true" outlineLevel="0" collapsed="false">
      <c r="A186" s="170" t="n">
        <f aca="false">IF(B186="","",+A185+1)</f>
        <v>14</v>
      </c>
      <c r="B186" s="131" t="s">
        <v>441</v>
      </c>
      <c r="C186" s="131" t="s">
        <v>442</v>
      </c>
      <c r="D186" s="132" t="s">
        <v>274</v>
      </c>
      <c r="E186" s="130"/>
      <c r="F186" s="130" t="s">
        <v>274</v>
      </c>
      <c r="G186" s="130" t="s">
        <v>405</v>
      </c>
      <c r="H186" s="130" t="n">
        <v>14</v>
      </c>
      <c r="I186" s="133"/>
      <c r="J186" s="134" t="n">
        <f aca="false">$J$120*H186</f>
        <v>14</v>
      </c>
      <c r="N186" s="107" t="s">
        <v>445</v>
      </c>
      <c r="O186" s="62" t="s">
        <v>452</v>
      </c>
      <c r="P186" s="62" t="s">
        <v>453</v>
      </c>
      <c r="Q186" s="55" t="s">
        <v>232</v>
      </c>
      <c r="R186" s="158"/>
      <c r="S186" s="158" t="s">
        <v>232</v>
      </c>
      <c r="T186" s="158" t="s">
        <v>409</v>
      </c>
      <c r="U186" s="168" t="n">
        <f aca="false">((($I$141*$G$141*2)+($I$143*$G$143*2)+($I$144*$G$144*2)+($I$145*($G$145-1)*2))/1000)*$J$120</f>
        <v>138.6</v>
      </c>
      <c r="V186" s="168" t="n">
        <v>350</v>
      </c>
      <c r="W186" s="169" t="n">
        <f aca="false">ROUNDUP((U186)/V186,0)</f>
        <v>1</v>
      </c>
    </row>
    <row r="187" s="96" customFormat="true" ht="18" hidden="false" customHeight="true" outlineLevel="0" collapsed="false">
      <c r="A187" s="170" t="n">
        <f aca="false">IF(B187="","",+A186+1)</f>
        <v>15</v>
      </c>
      <c r="B187" s="131" t="s">
        <v>443</v>
      </c>
      <c r="C187" s="131" t="s">
        <v>444</v>
      </c>
      <c r="D187" s="132" t="s">
        <v>272</v>
      </c>
      <c r="E187" s="130"/>
      <c r="F187" s="130" t="s">
        <v>272</v>
      </c>
      <c r="G187" s="130" t="s">
        <v>405</v>
      </c>
      <c r="H187" s="130" t="n">
        <v>1</v>
      </c>
      <c r="I187" s="133"/>
      <c r="J187" s="134" t="n">
        <f aca="false">$J$120*H187</f>
        <v>1</v>
      </c>
      <c r="N187" s="107" t="s">
        <v>448</v>
      </c>
      <c r="O187" s="62" t="s">
        <v>454</v>
      </c>
      <c r="P187" s="62" t="s">
        <v>455</v>
      </c>
      <c r="Q187" s="55" t="s">
        <v>456</v>
      </c>
      <c r="R187" s="158"/>
      <c r="S187" s="158" t="s">
        <v>456</v>
      </c>
      <c r="T187" s="158" t="s">
        <v>409</v>
      </c>
      <c r="U187" s="168" t="n">
        <f aca="false">((($I$141*$G$141*2)+($I$143*$G$143*2)+($I$144*$G$144*2)+($I$145*($G$145-1)*2))/1000)*$J$120</f>
        <v>138.6</v>
      </c>
      <c r="V187" s="168" t="n">
        <v>100</v>
      </c>
      <c r="W187" s="169" t="n">
        <f aca="false">ROUNDUP((U187)/V187,0)</f>
        <v>2</v>
      </c>
    </row>
    <row r="188" s="96" customFormat="true" ht="18" hidden="false" customHeight="true" outlineLevel="0" collapsed="false">
      <c r="A188" s="170" t="n">
        <f aca="false">IF(B188="","",+A187+1)</f>
        <v>16</v>
      </c>
      <c r="B188" s="131" t="s">
        <v>403</v>
      </c>
      <c r="C188" s="131" t="s">
        <v>404</v>
      </c>
      <c r="D188" s="132" t="s">
        <v>276</v>
      </c>
      <c r="E188" s="130"/>
      <c r="F188" s="130" t="s">
        <v>276</v>
      </c>
      <c r="G188" s="130" t="s">
        <v>405</v>
      </c>
      <c r="H188" s="130" t="n">
        <v>7</v>
      </c>
      <c r="I188" s="133"/>
      <c r="J188" s="134" t="n">
        <f aca="false">$J$120*H188</f>
        <v>7</v>
      </c>
    </row>
    <row r="189" s="96" customFormat="true" ht="18" hidden="false" customHeight="true" outlineLevel="0" collapsed="false">
      <c r="A189" s="170" t="n">
        <f aca="false">IF(B189="","",+A188+1)</f>
        <v>17</v>
      </c>
      <c r="B189" s="131" t="s">
        <v>580</v>
      </c>
      <c r="C189" s="131" t="s">
        <v>581</v>
      </c>
      <c r="D189" s="132" t="s">
        <v>582</v>
      </c>
      <c r="E189" s="130"/>
      <c r="F189" s="130" t="s">
        <v>582</v>
      </c>
      <c r="G189" s="130" t="s">
        <v>409</v>
      </c>
      <c r="H189" s="173" t="n">
        <f aca="false">((($I$149*$G$149)+($I$150*$G$150))/1000)*$J$120</f>
        <v>4.816</v>
      </c>
      <c r="I189" s="174" t="n">
        <v>100</v>
      </c>
      <c r="J189" s="177" t="n">
        <f aca="false">ROUNDUP((H189)/100,0)</f>
        <v>1</v>
      </c>
    </row>
    <row r="190" s="96" customFormat="true" ht="18" hidden="false" customHeight="true" outlineLevel="0" collapsed="false">
      <c r="A190" s="170" t="n">
        <f aca="false">IF(B190="","",+A189+1)</f>
        <v>18</v>
      </c>
      <c r="B190" s="131" t="s">
        <v>583</v>
      </c>
      <c r="C190" s="131" t="s">
        <v>584</v>
      </c>
      <c r="D190" s="132" t="s">
        <v>585</v>
      </c>
      <c r="E190" s="130"/>
      <c r="F190" s="130" t="s">
        <v>585</v>
      </c>
      <c r="G190" s="130" t="s">
        <v>409</v>
      </c>
      <c r="H190" s="173" t="n">
        <f aca="false">((($I$146*$G$146*2))/1000)*$J$120</f>
        <v>4.816</v>
      </c>
      <c r="I190" s="174" t="n">
        <v>100</v>
      </c>
      <c r="J190" s="177" t="n">
        <f aca="false">ROUNDUP((H190)/100,0)</f>
        <v>1</v>
      </c>
    </row>
    <row r="191" s="96" customFormat="true" ht="18" hidden="false" customHeight="true" outlineLevel="0" collapsed="false">
      <c r="A191" s="170" t="n">
        <f aca="false">IF(B191="","",+A190+1)</f>
        <v>19</v>
      </c>
      <c r="B191" s="132" t="str">
        <f aca="false">IF($D$129="Standard",$O$184,IF($D$129="Soumdproof",$O$185,))</f>
        <v>ยางเฟรมกันน้ำ (ธรรมดา)</v>
      </c>
      <c r="C191" s="132" t="str">
        <f aca="false">IF($D$129="Standard",$P$184,IF($D$129="Soumdproof",$P$185,))</f>
        <v>FRAME SEAL (Standard)</v>
      </c>
      <c r="D191" s="132" t="str">
        <f aca="false">IF($D$129="Standard",$Q$184,IF($D$129="Soumdproof",$Q$185,))</f>
        <v>02-026</v>
      </c>
      <c r="E191" s="130" t="n">
        <f aca="false">IF($D$129="Standard",R189,IF($D$129="Soumdproof",R190,))</f>
        <v>0</v>
      </c>
      <c r="F191" s="130" t="str">
        <f aca="false">IF($D$129="Standard",$S$184,IF($D$129="Soumdproof",$S$185,))</f>
        <v>02-026</v>
      </c>
      <c r="G191" s="130" t="str">
        <f aca="false">IF($D$129="Standard",$T$184,IF($D$129="Soumdproof",$T$185,))</f>
        <v>M</v>
      </c>
      <c r="H191" s="173" t="n">
        <f aca="false">IF($D$129="Standard",$U$184,IF($D$129="Soumdproof",$U$185,))</f>
        <v>6.258</v>
      </c>
      <c r="I191" s="174" t="n">
        <f aca="false">IF($D$129="Standard",$V$184,IF($D$129="Soumdproof",$V$185,))</f>
        <v>300</v>
      </c>
      <c r="J191" s="177" t="n">
        <f aca="false">ROUNDUP((H191)/100,0)</f>
        <v>1</v>
      </c>
    </row>
    <row r="192" s="96" customFormat="true" ht="18" hidden="false" customHeight="true" outlineLevel="0" collapsed="false">
      <c r="A192" s="170" t="n">
        <f aca="false">IF(B192="","",+A191+1)</f>
        <v>20</v>
      </c>
      <c r="B192" s="132" t="str">
        <f aca="false">IF($D$129="Standard",$O$186,IF($D$129="Soumdproof",$O$187,))</f>
        <v>ยางแซชกันน้ำ (ธรรมดา)</v>
      </c>
      <c r="C192" s="132" t="str">
        <f aca="false">IF($D$129="Standard",$P$186,IF($D$129="Soumdproof",$P$187,))</f>
        <v>SASH SEAL FOAM (Standard)</v>
      </c>
      <c r="D192" s="132" t="str">
        <f aca="false">IF($D$129="Standard",$Q$186,IF($D$129="Soumdproof",$Q$187,))</f>
        <v>02-031</v>
      </c>
      <c r="E192" s="130" t="n">
        <f aca="false">IF($D$129="Standard",R191,IF($D$129="Soumdproof",R192,))</f>
        <v>0</v>
      </c>
      <c r="F192" s="130" t="str">
        <f aca="false">IF($D$129="Standard",$S$186,IF($D$129="Soumdproof",$S$187,))</f>
        <v>02-031</v>
      </c>
      <c r="G192" s="130" t="str">
        <f aca="false">IF($D$129="Standard",$T$186,IF($D$129="Soumdproof",$T$187,))</f>
        <v>M</v>
      </c>
      <c r="H192" s="173" t="n">
        <f aca="false">IF($D$129="Standard",$U$186,IF($D$129="Soumdproof",$U$187,))</f>
        <v>138.6</v>
      </c>
      <c r="I192" s="174" t="n">
        <f aca="false">IF($D$129="Standard",$V$186,IF($D$129="Soumdproof",$V$187,))</f>
        <v>350</v>
      </c>
      <c r="J192" s="177" t="n">
        <f aca="false">ROUNDUP((H192)/100,0)</f>
        <v>2</v>
      </c>
    </row>
    <row r="193" customFormat="false" ht="18" hidden="false" customHeight="true" outlineLevel="0" collapsed="false">
      <c r="A193" s="170" t="n">
        <f aca="false">IF(B193="","",+A192+1)</f>
        <v>21</v>
      </c>
      <c r="B193" s="176" t="str">
        <f aca="false">IF($D$127=5,$O$175,IF($D$127=6,$O$176,IF($D$127=8,$O$177,IF($D$127=10,$O$175,IF($D$127=12,$O$175,IF($D$127=14,$O$177,IF($D$127=18,$O$175,IF($D$127=20,$O$176,IF($D$127=22,"")))))))))</f>
        <v>5,8,10,12,18 mmยางอัดกระจก</v>
      </c>
      <c r="C193" s="176" t="str">
        <f aca="false">IF($D$127=5,$P$175,IF($D$127=6,$P$176,IF($D$127=8,$P$177,IF($D$127=10,$P$175,IF($D$127=12,$P$175,IF($D$127=14,$P$177,IF($D$127=18,$P$175,IF($D$127=20,$P$176,IF($D$127=22,"")))))))))</f>
        <v>5,8,10,12,18 mm ROLL IN WEDGE</v>
      </c>
      <c r="D193" s="176" t="str">
        <f aca="false">IF($D$127=5,$Q$175,IF($D$127=6,$Q$176,IF($D$127=8,$Q$177,IF($D$127=10,$Q$175,IF($D$127=12,$Q$175,IF($D$127=14,$Q$177,IF($D$127=18,$Q$175,IF($D$127=20,$Q$176,IF($D$127=22,"")))))))))</f>
        <v>02-033</v>
      </c>
      <c r="E193" s="176" t="n">
        <f aca="false">IF($D$127=5,R180,IF($D$127=6,R181,IF($D$127=8,R182,IF($D$127=10,R180,IF($D$127=12,R180,IF($D$127=14,R182,IF($D$127=18,R180,IF($D$127=20,R181,IF($D$127=22,"",)))))))))</f>
        <v>0</v>
      </c>
      <c r="F193" s="167" t="str">
        <f aca="false">IF($D$127=5,$S$175,IF($D$127=6,$S$176,IF($D$127=8,$S$177,IF($D$127=10,$S$175,IF($D$127=12,$S$175,IF($D$127=14,$S$177,IF($D$127=18,$S$175,IF($D$127=20,$S$176,IF($D$127=22,"")))))))))</f>
        <v>02-033</v>
      </c>
      <c r="G193" s="167" t="str">
        <f aca="false">IF($D$127=5,$T$175,IF($D$127=6,$T$176,IF($D$127=8,$T$177,IF($D$127=10,$T$175,IF($D$127=12,$T$175,IF($D$127=14,$T$177,IF($D$127=18,$T$175,IF($D$127=20,$T$176,IF($D$127=22,"")))))))))</f>
        <v>M</v>
      </c>
      <c r="H193" s="173" t="n">
        <f aca="false">IF($D$127=5,$U$175,IF($D$127=6,$U$176,IF($D$127=8,$U$177,IF($D$127=10,$U$175*2,IF($D$127=12,$U$175,IF($D$127=14,$U$177*2,IF($D$127=18,$U$175,IF($D$127=20,$U$176,IF($D$127=22,"")))))))))</f>
        <v>75.992</v>
      </c>
      <c r="I193" s="174" t="n">
        <f aca="false">IF($D$127=5,$V$175,IF($D$127=6,$V$176,IF($D$127=8,$V$177,IF($D$127=10,$V$175,IF($D$127=12,$V$175,IF($D$127=14,$V$177,IF($D$127=18,$V$175,IF($D$127=20,$V$176,IF($D$127=22,"")))))))))</f>
        <v>100</v>
      </c>
      <c r="J193" s="177" t="n">
        <f aca="false">ROUNDUP((H193)/100,0)</f>
        <v>1</v>
      </c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</row>
    <row r="194" s="96" customFormat="true" ht="18" hidden="false" customHeight="true" outlineLevel="0" collapsed="false">
      <c r="A194" s="170" t="n">
        <f aca="false">IF(B194="","",+A193+1)</f>
        <v>22</v>
      </c>
      <c r="B194" s="176" t="str">
        <f aca="false">IF($D$127=5,$O$173,IF($D$127=6,$O$173,IF($D$127=8,$O$175,IF($D$127=10,"",IF($D$127=12,$O$174,IF($D$127=14,"",IF($D$127=18,$O$173,IF($D$127=20,$O$174,IF($D$127=22,"",)))))))))</f>
        <v>5,6,18 mm ยางรองกระจก</v>
      </c>
      <c r="C194" s="176" t="str">
        <f aca="false">IF($D$127=5,$P$173,IF($D$127=6,$P$173,IF($D$127=8,$P$175,IF($D$127=10,"",IF($D$127=12,$P$174,IF($D$127=14,"",IF($D$127=18,$P$173,IF($D$127=20,$P$174,IF($D$127=22,"",)))))))))</f>
        <v>5,6,18 mm CAPTIVE WEDGE</v>
      </c>
      <c r="D194" s="176" t="str">
        <f aca="false">IF($D$127=5,$Q$173,IF($D$127=6,$Q$173,IF($D$127=8,$Q$175,IF($D$127=10,"",IF($D$127=12,$Q$174,IF($D$127=14,"",IF($D$127=18,$Q$173,IF($D$127=20,$Q$174,IF($D$127=22,"",)))))))))</f>
        <v>02-022</v>
      </c>
      <c r="E194" s="176" t="n">
        <f aca="false">IF($D$127=5,R178,IF($D$127=6,R178,IF($D$127=8,R180,IF($D$127=10,"",IF($D$127=12,R179,IF($D$127=14,"",IF($D$127=18,R178,IF($D$127=20,R179,IF($D$127=22,"",)))))))))</f>
        <v>0</v>
      </c>
      <c r="F194" s="167" t="str">
        <f aca="false">IF($D$127=5,$S$173,IF($D$127=6,$S$173,IF($D$127=8,$S$175,IF($D$127=10,"",IF($D$127=12,$S$174,IF($D$127=14,"",IF($D$127=18,$S$173,IF($D$127=20,$S$174,IF($D$127=22,"",)))))))))</f>
        <v>02-022</v>
      </c>
      <c r="G194" s="167" t="str">
        <f aca="false">IF($D$127=5,$T$173,IF($D$127=6,$T$173,IF($D$127=8,$T$175,IF($D$127=10,"",IF($D$127=12,$T$174,IF($D$127=14,"",IF($D$127=18,$T$173,IF($D$127=20,$T$174,IF($D$127=22,"",)))))))))</f>
        <v>M</v>
      </c>
      <c r="H194" s="173" t="n">
        <f aca="false">IF($D$127=5,$U$173,IF($D$127=6,$U$173,IF($D$127=8,$U$175,IF($D$127=10,"",IF($D$127=12,$U$174,IF($D$127=14,"",IF($D$127=18,$U$173,IF($D$127=20,$U$174,IF($D$127=22,"")))))))))</f>
        <v>75.992</v>
      </c>
      <c r="I194" s="174" t="n">
        <f aca="false">IF($D$127=5,$V$173,IF($D$127=6,$V$173,IF($D$127=8,$V$175,IF($D$127=10,"",IF($D$127=12,$V$174,IF($D$127=14,"",IF($D$127=18,$V$173,IF($D$127=20,$V$174,IF($D$127=22,"",)))))))))</f>
        <v>100</v>
      </c>
      <c r="J194" s="177" t="n">
        <f aca="false">ROUNDUP((H194)/100,0)</f>
        <v>1</v>
      </c>
    </row>
    <row r="195" s="96" customFormat="true" ht="18" hidden="false" customHeight="true" outlineLevel="0" collapsed="false">
      <c r="A195" s="170" t="str">
        <f aca="false">IF(B195="","",+A194+1)</f>
        <v/>
      </c>
      <c r="B195" s="131"/>
      <c r="C195" s="131"/>
      <c r="D195" s="132"/>
      <c r="E195" s="130"/>
      <c r="F195" s="130"/>
      <c r="G195" s="130"/>
      <c r="H195" s="130"/>
      <c r="I195" s="133"/>
      <c r="J195" s="134" t="n">
        <f aca="false">$J$120*H195</f>
        <v>0</v>
      </c>
    </row>
    <row r="196" s="96" customFormat="true" ht="18" hidden="false" customHeight="true" outlineLevel="0" collapsed="false">
      <c r="A196" s="170" t="str">
        <f aca="false">IF(B196="","",+A195+1)</f>
        <v/>
      </c>
      <c r="B196" s="131"/>
      <c r="C196" s="131"/>
      <c r="D196" s="132"/>
      <c r="E196" s="130"/>
      <c r="F196" s="130"/>
      <c r="G196" s="130"/>
      <c r="H196" s="130"/>
      <c r="I196" s="133"/>
      <c r="J196" s="134" t="n">
        <f aca="false">$J$120*H196</f>
        <v>0</v>
      </c>
    </row>
    <row r="197" s="96" customFormat="true" ht="18" hidden="false" customHeight="true" outlineLevel="0" collapsed="false">
      <c r="A197" s="170" t="str">
        <f aca="false">IF(B197="","",+A196+1)</f>
        <v/>
      </c>
      <c r="B197" s="131"/>
      <c r="C197" s="131"/>
      <c r="D197" s="132"/>
      <c r="E197" s="130"/>
      <c r="F197" s="130"/>
      <c r="G197" s="130"/>
      <c r="H197" s="130"/>
      <c r="I197" s="133"/>
      <c r="J197" s="134" t="n">
        <f aca="false">$J$120*H197</f>
        <v>0</v>
      </c>
    </row>
    <row r="198" s="96" customFormat="true" ht="18" hidden="false" customHeight="true" outlineLevel="0" collapsed="false">
      <c r="A198" s="170" t="str">
        <f aca="false">IF(B198="","",+A197+1)</f>
        <v/>
      </c>
      <c r="B198" s="131"/>
      <c r="C198" s="131"/>
      <c r="D198" s="132"/>
      <c r="E198" s="130"/>
      <c r="F198" s="130"/>
      <c r="G198" s="130"/>
      <c r="H198" s="130"/>
      <c r="I198" s="133"/>
      <c r="J198" s="134"/>
    </row>
    <row r="199" s="96" customFormat="true" ht="18" hidden="false" customHeight="true" outlineLevel="0" collapsed="false">
      <c r="A199" s="170" t="str">
        <f aca="false">IF(B199="","",+A198+1)</f>
        <v/>
      </c>
      <c r="B199" s="131"/>
      <c r="C199" s="131"/>
      <c r="D199" s="132"/>
      <c r="E199" s="130"/>
      <c r="F199" s="130"/>
      <c r="G199" s="130"/>
      <c r="H199" s="130"/>
      <c r="I199" s="142"/>
      <c r="J199" s="134" t="n">
        <f aca="false">$J$120*H199</f>
        <v>0</v>
      </c>
    </row>
    <row r="200" s="96" customFormat="true" ht="18" hidden="false" customHeight="true" outlineLevel="0" collapsed="false">
      <c r="A200" s="170" t="str">
        <f aca="false">IF(B200="","",+A199+1)</f>
        <v/>
      </c>
      <c r="B200" s="131"/>
      <c r="C200" s="131"/>
      <c r="D200" s="132"/>
      <c r="E200" s="130"/>
      <c r="F200" s="130"/>
      <c r="G200" s="130"/>
      <c r="H200" s="130"/>
      <c r="I200" s="142"/>
      <c r="J200" s="134" t="n">
        <f aca="false">$J$120*H200</f>
        <v>0</v>
      </c>
    </row>
    <row r="201" s="96" customFormat="true" ht="18" hidden="false" customHeight="true" outlineLevel="0" collapsed="false">
      <c r="A201" s="170" t="str">
        <f aca="false">IF(B201="","",+A200+1)</f>
        <v/>
      </c>
      <c r="B201" s="131"/>
      <c r="C201" s="131"/>
      <c r="D201" s="132"/>
      <c r="E201" s="130"/>
      <c r="F201" s="130"/>
      <c r="G201" s="130"/>
      <c r="H201" s="130"/>
      <c r="I201" s="133"/>
      <c r="J201" s="134" t="n">
        <f aca="false">$J$120*H201</f>
        <v>0</v>
      </c>
    </row>
    <row r="202" s="96" customFormat="true" ht="18" hidden="false" customHeight="true" outlineLevel="0" collapsed="false">
      <c r="A202" s="170" t="str">
        <f aca="false">IF(B202="","",+A201+1)</f>
        <v/>
      </c>
      <c r="B202" s="131"/>
      <c r="C202" s="131"/>
      <c r="D202" s="132"/>
      <c r="E202" s="130"/>
      <c r="F202" s="130"/>
      <c r="G202" s="130"/>
      <c r="H202" s="130"/>
      <c r="I202" s="133"/>
      <c r="J202" s="134" t="n">
        <f aca="false">$J$120*H202</f>
        <v>0</v>
      </c>
    </row>
    <row r="203" s="96" customFormat="true" ht="18" hidden="false" customHeight="true" outlineLevel="0" collapsed="false">
      <c r="A203" s="170" t="str">
        <f aca="false">IF(B203="","",+A202+1)</f>
        <v/>
      </c>
      <c r="B203" s="131"/>
      <c r="C203" s="131"/>
      <c r="D203" s="132"/>
      <c r="E203" s="130"/>
      <c r="F203" s="130"/>
      <c r="G203" s="130"/>
      <c r="H203" s="130"/>
      <c r="I203" s="133"/>
      <c r="J203" s="134" t="n">
        <f aca="false">$J$120*H203</f>
        <v>0</v>
      </c>
    </row>
    <row r="204" s="96" customFormat="true" ht="18" hidden="false" customHeight="true" outlineLevel="0" collapsed="false">
      <c r="A204" s="179" t="str">
        <f aca="false">IF(B204="","",+A203+1)</f>
        <v/>
      </c>
      <c r="B204" s="135"/>
      <c r="C204" s="135"/>
      <c r="D204" s="139"/>
      <c r="E204" s="136"/>
      <c r="F204" s="136"/>
      <c r="G204" s="136"/>
      <c r="H204" s="136"/>
      <c r="I204" s="140"/>
      <c r="J204" s="137" t="n">
        <f aca="false">$J$120*H204</f>
        <v>0</v>
      </c>
    </row>
    <row r="205" s="96" customFormat="true" ht="18" hidden="false" customHeight="true" outlineLevel="0" collapsed="false">
      <c r="A205" s="200"/>
      <c r="B205" s="98"/>
      <c r="D205" s="98"/>
      <c r="E205" s="97"/>
      <c r="F205" s="98"/>
      <c r="G205" s="98"/>
      <c r="H205" s="98"/>
      <c r="I205" s="196"/>
      <c r="J205" s="196"/>
    </row>
    <row r="206" customFormat="false" ht="18" hidden="false" customHeight="true" outlineLevel="0" collapsed="false">
      <c r="A206" s="97"/>
      <c r="J206" s="92" t="str">
        <f aca="false">LEFT($J$111,14)&amp;"-02"</f>
        <v>FG-240-15P7L8R-02</v>
      </c>
    </row>
    <row r="207" customFormat="false" ht="12.75" hidden="false" customHeight="true" outlineLevel="0" collapsed="false">
      <c r="B207" s="96"/>
      <c r="C207" s="96"/>
      <c r="D207" s="98"/>
      <c r="E207" s="97"/>
      <c r="F207" s="97"/>
      <c r="G207" s="97"/>
      <c r="H207" s="97"/>
      <c r="K207" s="78"/>
      <c r="L207" s="78"/>
      <c r="M207" s="79"/>
      <c r="N207" s="79"/>
    </row>
    <row r="208" customFormat="false" ht="30" hidden="false" customHeight="true" outlineLevel="0" collapsed="false">
      <c r="I208" s="76"/>
      <c r="J208" s="77" t="str">
        <f aca="false">$J$2</f>
        <v>HOMELIFE</v>
      </c>
      <c r="K208" s="83"/>
      <c r="L208" s="83"/>
      <c r="M208" s="79"/>
      <c r="N208" s="79"/>
    </row>
    <row r="209" customFormat="false" ht="24.75" hidden="false" customHeight="true" outlineLevel="0" collapsed="false">
      <c r="C209" s="75"/>
      <c r="D209" s="76"/>
      <c r="E209" s="76"/>
      <c r="F209" s="76"/>
      <c r="G209" s="76"/>
      <c r="H209" s="76"/>
      <c r="I209" s="82"/>
      <c r="J209" s="80" t="str">
        <f aca="false">$J$3</f>
        <v>Fabricators Guide</v>
      </c>
      <c r="K209" s="83"/>
      <c r="L209" s="83"/>
      <c r="M209" s="79"/>
      <c r="N209" s="79"/>
    </row>
    <row r="210" customFormat="false" ht="24.75" hidden="false" customHeight="true" outlineLevel="0" collapsed="false">
      <c r="C210" s="82"/>
      <c r="D210" s="82"/>
      <c r="E210" s="82"/>
      <c r="F210" s="82"/>
      <c r="G210" s="82"/>
      <c r="H210" s="82"/>
      <c r="I210" s="82"/>
      <c r="J210" s="80" t="str">
        <f aca="false">$J$4</f>
        <v>240 Series Bi Fold Door </v>
      </c>
      <c r="M210" s="87"/>
      <c r="N210" s="87"/>
    </row>
    <row r="211" s="96" customFormat="true" ht="15" hidden="false" customHeight="true" outlineLevel="0" collapsed="false">
      <c r="A211" s="84"/>
      <c r="B211" s="81"/>
      <c r="C211" s="82"/>
      <c r="D211" s="82"/>
      <c r="E211" s="82"/>
      <c r="F211" s="82"/>
      <c r="G211" s="82"/>
      <c r="H211" s="82"/>
      <c r="I211" s="84"/>
      <c r="J211" s="94"/>
      <c r="K211" s="87"/>
      <c r="L211" s="87"/>
      <c r="M211" s="87"/>
      <c r="N211" s="87"/>
    </row>
    <row r="212" s="96" customFormat="true" ht="24.75" hidden="false" customHeight="true" outlineLevel="0" collapsed="false">
      <c r="A212" s="88" t="s">
        <v>457</v>
      </c>
      <c r="B212" s="88"/>
      <c r="C212" s="88"/>
      <c r="D212" s="88"/>
      <c r="E212" s="88"/>
      <c r="F212" s="88"/>
      <c r="G212" s="88"/>
      <c r="H212" s="88"/>
      <c r="I212" s="88"/>
      <c r="J212" s="88"/>
    </row>
    <row r="214" s="96" customFormat="true" ht="15" hidden="false" customHeight="true" outlineLevel="0" collapsed="false">
      <c r="A214" s="182"/>
      <c r="D214" s="73"/>
      <c r="I214" s="183"/>
      <c r="J214" s="99"/>
    </row>
    <row r="215" s="96" customFormat="true" ht="15" hidden="false" customHeight="true" outlineLevel="0" collapsed="false">
      <c r="A215" s="97"/>
      <c r="B215" s="182"/>
      <c r="D215" s="98"/>
      <c r="E215" s="83"/>
      <c r="F215" s="183"/>
      <c r="G215" s="183"/>
      <c r="H215" s="183"/>
      <c r="J215" s="97"/>
    </row>
    <row r="216" s="96" customFormat="true" ht="15" hidden="false" customHeight="true" outlineLevel="0" collapsed="false">
      <c r="A216" s="97"/>
      <c r="C216" s="181"/>
      <c r="D216" s="98"/>
      <c r="E216" s="83"/>
      <c r="F216" s="98"/>
      <c r="J216" s="97"/>
    </row>
    <row r="217" s="96" customFormat="true" ht="15" hidden="false" customHeight="true" outlineLevel="0" collapsed="false">
      <c r="A217" s="97"/>
      <c r="C217" s="181"/>
      <c r="D217" s="98"/>
      <c r="E217" s="97"/>
      <c r="F217" s="98"/>
      <c r="H217" s="181"/>
      <c r="J217" s="97"/>
    </row>
    <row r="218" s="96" customFormat="true" ht="15" hidden="false" customHeight="true" outlineLevel="0" collapsed="false">
      <c r="A218" s="182"/>
      <c r="B218" s="182"/>
      <c r="D218" s="98"/>
      <c r="E218" s="83"/>
      <c r="F218" s="183"/>
      <c r="H218" s="181"/>
      <c r="I218" s="97"/>
      <c r="J218" s="97"/>
    </row>
    <row r="219" s="96" customFormat="true" ht="15" hidden="false" customHeight="true" outlineLevel="0" collapsed="false">
      <c r="A219" s="97"/>
      <c r="C219" s="184" t="s">
        <v>458</v>
      </c>
      <c r="D219" s="98"/>
      <c r="E219" s="83"/>
      <c r="F219" s="98"/>
      <c r="I219" s="97"/>
      <c r="J219" s="97"/>
    </row>
    <row r="220" s="96" customFormat="true" ht="15" hidden="false" customHeight="true" outlineLevel="0" collapsed="false">
      <c r="A220" s="97"/>
      <c r="C220" s="181" t="s">
        <v>459</v>
      </c>
      <c r="D220" s="98"/>
      <c r="E220" s="83"/>
      <c r="F220" s="98"/>
      <c r="H220" s="184"/>
      <c r="J220" s="97"/>
    </row>
    <row r="221" s="96" customFormat="true" ht="15" hidden="false" customHeight="true" outlineLevel="0" collapsed="false">
      <c r="A221" s="97"/>
      <c r="C221" s="181" t="s">
        <v>823</v>
      </c>
      <c r="D221" s="98"/>
      <c r="E221" s="97"/>
      <c r="F221" s="98"/>
      <c r="J221" s="97"/>
    </row>
    <row r="222" s="96" customFormat="true" ht="15" hidden="false" customHeight="true" outlineLevel="0" collapsed="false">
      <c r="A222" s="97"/>
      <c r="C222" s="185" t="n">
        <f aca="false">$I$133</f>
        <v>1940</v>
      </c>
      <c r="D222" s="98"/>
      <c r="E222" s="83"/>
      <c r="F222" s="98"/>
      <c r="G222" s="186"/>
      <c r="J222" s="97"/>
    </row>
    <row r="223" s="96" customFormat="true" ht="15" hidden="false" customHeight="true" outlineLevel="0" collapsed="false">
      <c r="A223" s="97"/>
      <c r="C223" s="187" t="n">
        <f aca="false">$J$133</f>
        <v>1</v>
      </c>
      <c r="D223" s="98"/>
      <c r="E223" s="83"/>
      <c r="F223" s="98"/>
      <c r="G223" s="110"/>
      <c r="I223" s="97"/>
      <c r="J223" s="97"/>
    </row>
    <row r="224" s="96" customFormat="true" ht="15" hidden="false" customHeight="true" outlineLevel="0" collapsed="false">
      <c r="A224" s="97"/>
      <c r="D224" s="98"/>
      <c r="E224" s="97"/>
      <c r="F224" s="98"/>
      <c r="G224" s="110"/>
      <c r="I224" s="97"/>
      <c r="J224" s="97"/>
    </row>
    <row r="225" s="96" customFormat="true" ht="15.75" hidden="false" customHeight="true" outlineLevel="0" collapsed="false">
      <c r="A225" s="99"/>
      <c r="B225" s="99"/>
      <c r="C225" s="83"/>
      <c r="D225" s="98"/>
      <c r="E225" s="97"/>
      <c r="F225" s="98"/>
      <c r="G225" s="186"/>
      <c r="I225" s="97"/>
      <c r="J225" s="97"/>
    </row>
    <row r="226" s="96" customFormat="true" ht="15.75" hidden="false" customHeight="true" outlineLevel="0" collapsed="false">
      <c r="A226" s="99"/>
      <c r="B226" s="99"/>
      <c r="C226" s="83"/>
      <c r="D226" s="98"/>
      <c r="E226" s="97"/>
      <c r="F226" s="98"/>
      <c r="H226" s="97"/>
      <c r="I226" s="97"/>
      <c r="J226" s="97"/>
    </row>
    <row r="227" s="96" customFormat="true" ht="15.75" hidden="false" customHeight="true" outlineLevel="0" collapsed="false">
      <c r="A227" s="99"/>
      <c r="B227" s="99"/>
      <c r="C227" s="83"/>
      <c r="D227" s="98"/>
      <c r="E227" s="97"/>
      <c r="F227" s="98"/>
      <c r="H227" s="97"/>
      <c r="I227" s="189"/>
      <c r="J227" s="190"/>
    </row>
    <row r="228" s="96" customFormat="true" ht="15.75" hidden="false" customHeight="true" outlineLevel="0" collapsed="false">
      <c r="A228" s="99"/>
      <c r="B228" s="99"/>
      <c r="C228" s="181"/>
      <c r="D228" s="98"/>
      <c r="E228" s="97"/>
      <c r="F228" s="98"/>
      <c r="H228" s="97"/>
      <c r="I228" s="181"/>
      <c r="J228" s="193"/>
    </row>
    <row r="229" s="96" customFormat="true" ht="15.75" hidden="false" customHeight="true" outlineLevel="0" collapsed="false">
      <c r="A229" s="188"/>
      <c r="B229" s="188"/>
      <c r="D229" s="98"/>
      <c r="E229" s="97"/>
      <c r="F229" s="98"/>
      <c r="I229" s="181"/>
      <c r="J229" s="193"/>
    </row>
    <row r="230" s="96" customFormat="true" ht="15.75" hidden="false" customHeight="true" outlineLevel="0" collapsed="false">
      <c r="A230" s="97"/>
      <c r="B230" s="97"/>
      <c r="D230" s="98"/>
      <c r="E230" s="97"/>
      <c r="F230" s="98"/>
      <c r="I230" s="181"/>
      <c r="J230" s="193"/>
    </row>
    <row r="231" s="96" customFormat="true" ht="15.75" hidden="false" customHeight="true" outlineLevel="0" collapsed="false">
      <c r="A231" s="81"/>
      <c r="D231" s="98"/>
      <c r="E231" s="97"/>
      <c r="F231" s="97"/>
      <c r="I231" s="181"/>
      <c r="J231" s="193"/>
    </row>
    <row r="232" s="96" customFormat="true" ht="15.75" hidden="false" customHeight="true" outlineLevel="0" collapsed="false">
      <c r="A232" s="191"/>
      <c r="B232" s="191"/>
      <c r="C232" s="184" t="s">
        <v>461</v>
      </c>
      <c r="D232" s="192"/>
      <c r="E232" s="191"/>
      <c r="F232" s="191"/>
      <c r="G232" s="97"/>
      <c r="H232" s="97"/>
      <c r="I232" s="181"/>
      <c r="J232" s="193"/>
    </row>
    <row r="233" s="96" customFormat="true" ht="15.75" hidden="false" customHeight="true" outlineLevel="0" collapsed="false">
      <c r="A233" s="190"/>
      <c r="B233" s="190"/>
      <c r="C233" s="181" t="s">
        <v>462</v>
      </c>
      <c r="D233" s="194"/>
      <c r="E233" s="190"/>
      <c r="F233" s="189"/>
      <c r="G233" s="97"/>
      <c r="H233" s="97"/>
      <c r="J233" s="97"/>
    </row>
    <row r="234" s="96" customFormat="true" ht="15.75" hidden="false" customHeight="true" outlineLevel="0" collapsed="false">
      <c r="A234" s="97"/>
      <c r="C234" s="181" t="s">
        <v>518</v>
      </c>
      <c r="D234" s="98"/>
      <c r="E234" s="97"/>
      <c r="F234" s="98"/>
      <c r="G234" s="97"/>
      <c r="H234" s="97"/>
      <c r="I234" s="97"/>
      <c r="J234" s="196"/>
    </row>
    <row r="235" s="96" customFormat="true" ht="15.75" hidden="false" customHeight="true" outlineLevel="0" collapsed="false">
      <c r="A235" s="97"/>
      <c r="C235" s="185" t="n">
        <f aca="false">$I$134</f>
        <v>1914</v>
      </c>
      <c r="D235" s="98"/>
      <c r="E235" s="97"/>
      <c r="F235" s="98"/>
      <c r="G235" s="97"/>
      <c r="H235" s="97"/>
      <c r="I235" s="196"/>
      <c r="J235" s="196"/>
    </row>
    <row r="236" s="96" customFormat="true" ht="15.75" hidden="false" customHeight="true" outlineLevel="0" collapsed="false">
      <c r="A236" s="97"/>
      <c r="C236" s="187" t="n">
        <f aca="false">$J$134</f>
        <v>1</v>
      </c>
      <c r="D236" s="98"/>
      <c r="E236" s="97"/>
      <c r="F236" s="98"/>
      <c r="G236" s="97"/>
      <c r="H236" s="195"/>
      <c r="I236" s="184"/>
      <c r="J236" s="198"/>
    </row>
    <row r="237" s="96" customFormat="true" ht="15.75" hidden="false" customHeight="true" outlineLevel="0" collapsed="false">
      <c r="A237" s="97"/>
      <c r="C237" s="191"/>
      <c r="D237" s="98"/>
      <c r="E237" s="97"/>
      <c r="F237" s="98"/>
      <c r="G237" s="97"/>
      <c r="H237" s="195"/>
      <c r="I237" s="181"/>
      <c r="J237" s="193"/>
    </row>
    <row r="238" s="96" customFormat="true" ht="15.75" hidden="false" customHeight="true" outlineLevel="0" collapsed="false">
      <c r="A238" s="97"/>
      <c r="D238" s="98"/>
      <c r="E238" s="97"/>
      <c r="F238" s="98"/>
      <c r="G238" s="97"/>
      <c r="H238" s="97"/>
      <c r="I238" s="181"/>
      <c r="J238" s="193"/>
    </row>
    <row r="239" s="96" customFormat="true" ht="15.75" hidden="false" customHeight="true" outlineLevel="0" collapsed="false">
      <c r="A239" s="97"/>
      <c r="D239" s="98"/>
      <c r="E239" s="97"/>
      <c r="F239" s="98"/>
      <c r="G239" s="97"/>
      <c r="H239" s="97"/>
      <c r="I239" s="196"/>
      <c r="J239" s="196"/>
    </row>
    <row r="240" s="96" customFormat="true" ht="15.75" hidden="false" customHeight="true" outlineLevel="0" collapsed="false">
      <c r="A240" s="97"/>
      <c r="D240" s="98"/>
      <c r="E240" s="97"/>
      <c r="F240" s="98"/>
      <c r="G240" s="97"/>
      <c r="H240" s="197"/>
      <c r="I240" s="196"/>
      <c r="J240" s="196"/>
    </row>
    <row r="241" s="96" customFormat="true" ht="15.75" hidden="false" customHeight="true" outlineLevel="0" collapsed="false">
      <c r="A241" s="97"/>
      <c r="D241" s="98"/>
      <c r="E241" s="97"/>
      <c r="F241" s="98"/>
      <c r="G241" s="97"/>
      <c r="H241" s="97"/>
      <c r="I241" s="97"/>
      <c r="J241" s="196"/>
    </row>
    <row r="242" s="96" customFormat="true" ht="15.75" hidden="false" customHeight="true" outlineLevel="0" collapsed="false">
      <c r="A242" s="97"/>
      <c r="C242" s="184" t="s">
        <v>464</v>
      </c>
      <c r="D242" s="98"/>
      <c r="E242" s="97"/>
      <c r="F242" s="98"/>
      <c r="G242" s="97"/>
      <c r="H242" s="97"/>
      <c r="I242" s="196"/>
      <c r="J242" s="196"/>
    </row>
    <row r="243" s="96" customFormat="true" ht="15.75" hidden="false" customHeight="true" outlineLevel="0" collapsed="false">
      <c r="A243" s="97"/>
      <c r="C243" s="181" t="s">
        <v>459</v>
      </c>
      <c r="D243" s="98"/>
      <c r="E243" s="97"/>
      <c r="F243" s="98"/>
      <c r="G243" s="97"/>
      <c r="H243" s="97"/>
      <c r="I243" s="196"/>
      <c r="J243" s="196"/>
    </row>
    <row r="244" s="96" customFormat="true" ht="15" hidden="false" customHeight="true" outlineLevel="0" collapsed="false">
      <c r="A244" s="97"/>
      <c r="C244" s="181" t="s">
        <v>823</v>
      </c>
      <c r="D244" s="98"/>
      <c r="E244" s="97"/>
      <c r="F244" s="98"/>
      <c r="G244" s="97"/>
      <c r="H244" s="97"/>
      <c r="I244" s="196"/>
      <c r="J244" s="196"/>
    </row>
    <row r="245" s="96" customFormat="true" ht="15.75" hidden="false" customHeight="true" outlineLevel="0" collapsed="false">
      <c r="A245" s="97"/>
      <c r="C245" s="185" t="n">
        <f aca="false">$I$135</f>
        <v>1940</v>
      </c>
      <c r="D245" s="98"/>
      <c r="E245" s="97"/>
      <c r="F245" s="98"/>
      <c r="G245" s="97"/>
      <c r="H245" s="97"/>
      <c r="I245" s="191"/>
      <c r="J245" s="199"/>
    </row>
    <row r="246" s="96" customFormat="true" ht="15.75" hidden="false" customHeight="true" outlineLevel="0" collapsed="false">
      <c r="A246" s="97"/>
      <c r="C246" s="187" t="n">
        <f aca="false">$J$135</f>
        <v>1</v>
      </c>
      <c r="D246" s="98"/>
      <c r="E246" s="97"/>
      <c r="F246" s="98"/>
      <c r="G246" s="97"/>
      <c r="H246" s="97"/>
      <c r="I246" s="189"/>
      <c r="J246" s="190"/>
    </row>
    <row r="247" s="96" customFormat="true" ht="15.75" hidden="false" customHeight="true" outlineLevel="0" collapsed="false">
      <c r="A247" s="97"/>
      <c r="C247" s="98"/>
      <c r="D247" s="98"/>
      <c r="E247" s="97"/>
      <c r="F247" s="98"/>
      <c r="G247" s="97"/>
      <c r="H247" s="97"/>
      <c r="J247" s="97"/>
    </row>
    <row r="248" s="96" customFormat="true" ht="15.75" hidden="false" customHeight="true" outlineLevel="0" collapsed="false">
      <c r="A248" s="97"/>
      <c r="D248" s="98"/>
      <c r="E248" s="97"/>
      <c r="F248" s="97"/>
      <c r="G248" s="191"/>
      <c r="H248" s="97"/>
      <c r="J248" s="97"/>
    </row>
    <row r="249" s="96" customFormat="true" ht="15.75" hidden="false" customHeight="true" outlineLevel="0" collapsed="false">
      <c r="A249" s="97"/>
      <c r="D249" s="98"/>
      <c r="E249" s="97"/>
      <c r="F249" s="97"/>
      <c r="G249" s="191"/>
      <c r="H249" s="97"/>
      <c r="J249" s="97"/>
    </row>
    <row r="250" s="96" customFormat="true" ht="15.75" hidden="false" customHeight="true" outlineLevel="0" collapsed="false">
      <c r="A250" s="97"/>
      <c r="D250" s="98"/>
      <c r="E250" s="97"/>
      <c r="F250" s="97"/>
      <c r="G250" s="190"/>
      <c r="H250" s="97"/>
      <c r="I250" s="196"/>
      <c r="J250" s="196"/>
    </row>
    <row r="251" s="96" customFormat="true" ht="15.75" hidden="false" customHeight="true" outlineLevel="0" collapsed="false">
      <c r="A251" s="97"/>
      <c r="D251" s="98"/>
      <c r="E251" s="97"/>
      <c r="F251" s="97"/>
      <c r="G251" s="97"/>
      <c r="H251" s="97"/>
      <c r="I251" s="196"/>
      <c r="J251" s="196"/>
    </row>
    <row r="252" s="96" customFormat="true" ht="15.75" hidden="false" customHeight="true" outlineLevel="0" collapsed="false">
      <c r="A252" s="191"/>
      <c r="B252" s="191"/>
      <c r="D252" s="192"/>
      <c r="E252" s="191"/>
      <c r="F252" s="191"/>
      <c r="G252" s="97"/>
      <c r="H252" s="97"/>
      <c r="I252" s="196"/>
      <c r="J252" s="196"/>
    </row>
    <row r="253" s="96" customFormat="true" ht="15.75" hidden="false" customHeight="true" outlineLevel="0" collapsed="false">
      <c r="A253" s="190"/>
      <c r="B253" s="190"/>
      <c r="C253" s="184" t="s">
        <v>465</v>
      </c>
      <c r="D253" s="194"/>
      <c r="E253" s="190"/>
      <c r="F253" s="189"/>
      <c r="G253" s="97"/>
      <c r="I253" s="196"/>
      <c r="J253" s="196"/>
    </row>
    <row r="254" s="96" customFormat="true" ht="15.75" hidden="false" customHeight="true" outlineLevel="0" collapsed="false">
      <c r="A254" s="200"/>
      <c r="C254" s="181" t="s">
        <v>459</v>
      </c>
      <c r="D254" s="98"/>
      <c r="E254" s="97"/>
      <c r="F254" s="97"/>
      <c r="G254" s="97"/>
      <c r="I254" s="196"/>
      <c r="J254" s="196"/>
    </row>
    <row r="255" s="96" customFormat="true" ht="15.75" hidden="false" customHeight="true" outlineLevel="0" collapsed="false">
      <c r="A255" s="200"/>
      <c r="C255" s="181" t="s">
        <v>823</v>
      </c>
      <c r="D255" s="98"/>
      <c r="E255" s="97"/>
      <c r="F255" s="97"/>
      <c r="G255" s="97"/>
      <c r="I255" s="196"/>
      <c r="J255" s="196"/>
    </row>
    <row r="256" s="96" customFormat="true" ht="15.75" hidden="false" customHeight="true" outlineLevel="0" collapsed="false">
      <c r="A256" s="200"/>
      <c r="C256" s="185" t="n">
        <f aca="false">$I$136</f>
        <v>1940</v>
      </c>
      <c r="D256" s="98"/>
      <c r="E256" s="97"/>
      <c r="F256" s="97"/>
      <c r="G256" s="97"/>
      <c r="I256" s="196"/>
      <c r="J256" s="196"/>
    </row>
    <row r="257" s="96" customFormat="true" ht="15.75" hidden="false" customHeight="true" outlineLevel="0" collapsed="false">
      <c r="A257" s="200"/>
      <c r="C257" s="187" t="n">
        <f aca="false">$J$136</f>
        <v>1</v>
      </c>
      <c r="D257" s="98"/>
      <c r="E257" s="97"/>
      <c r="F257" s="97"/>
      <c r="G257" s="97"/>
      <c r="I257" s="196"/>
      <c r="J257" s="196"/>
    </row>
    <row r="258" s="96" customFormat="true" ht="15.75" hidden="false" customHeight="true" outlineLevel="0" collapsed="false">
      <c r="A258" s="200"/>
      <c r="D258" s="98"/>
      <c r="E258" s="97"/>
      <c r="F258" s="97"/>
      <c r="G258" s="97"/>
      <c r="I258" s="196"/>
      <c r="J258" s="196"/>
    </row>
    <row r="259" s="96" customFormat="true" ht="15.75" hidden="false" customHeight="true" outlineLevel="0" collapsed="false">
      <c r="A259" s="200"/>
      <c r="D259" s="98"/>
      <c r="E259" s="97"/>
      <c r="F259" s="97"/>
      <c r="G259" s="97"/>
      <c r="I259" s="196"/>
      <c r="J259" s="196"/>
    </row>
    <row r="260" s="96" customFormat="true" ht="15.75" hidden="false" customHeight="true" outlineLevel="0" collapsed="false">
      <c r="A260" s="200"/>
      <c r="D260" s="98"/>
      <c r="E260" s="97"/>
      <c r="F260" s="97"/>
      <c r="G260" s="97"/>
      <c r="I260" s="196"/>
      <c r="J260" s="196"/>
    </row>
    <row r="261" s="96" customFormat="true" ht="15.75" hidden="false" customHeight="true" outlineLevel="0" collapsed="false">
      <c r="A261" s="200"/>
      <c r="C261" s="98"/>
      <c r="D261" s="98"/>
      <c r="E261" s="97"/>
      <c r="F261" s="97"/>
      <c r="G261" s="97"/>
      <c r="I261" s="196"/>
      <c r="J261" s="196"/>
    </row>
    <row r="262" s="96" customFormat="true" ht="15.75" hidden="false" customHeight="true" outlineLevel="0" collapsed="false">
      <c r="A262" s="200"/>
      <c r="D262" s="98"/>
      <c r="E262" s="97"/>
      <c r="F262" s="97"/>
      <c r="G262" s="97"/>
      <c r="I262" s="196"/>
      <c r="J262" s="196"/>
    </row>
    <row r="263" s="96" customFormat="true" ht="15.75" hidden="false" customHeight="true" outlineLevel="0" collapsed="false">
      <c r="A263" s="200"/>
      <c r="C263" s="184" t="s">
        <v>466</v>
      </c>
      <c r="D263" s="98"/>
      <c r="E263" s="97"/>
      <c r="F263" s="97"/>
      <c r="G263" s="97"/>
      <c r="H263" s="97"/>
      <c r="I263" s="196"/>
      <c r="J263" s="196"/>
    </row>
    <row r="264" s="96" customFormat="true" ht="15.75" hidden="false" customHeight="true" outlineLevel="0" collapsed="false">
      <c r="A264" s="200"/>
      <c r="C264" s="181" t="s">
        <v>587</v>
      </c>
      <c r="D264" s="181"/>
      <c r="E264" s="181"/>
      <c r="F264" s="97"/>
      <c r="G264" s="97"/>
      <c r="H264" s="97"/>
      <c r="I264" s="196"/>
      <c r="J264" s="196"/>
    </row>
    <row r="265" s="96" customFormat="true" ht="15.75" hidden="false" customHeight="true" outlineLevel="0" collapsed="false">
      <c r="A265" s="200"/>
      <c r="C265" s="181" t="s">
        <v>824</v>
      </c>
      <c r="D265" s="181"/>
      <c r="E265" s="181"/>
      <c r="F265" s="97"/>
      <c r="G265" s="97"/>
      <c r="H265" s="97"/>
      <c r="J265" s="97"/>
    </row>
    <row r="266" s="96" customFormat="true" ht="15.75" hidden="false" customHeight="true" outlineLevel="0" collapsed="false">
      <c r="A266" s="200"/>
      <c r="C266" s="185" t="n">
        <f aca="false">$I$137</f>
        <v>2500</v>
      </c>
      <c r="D266" s="98"/>
      <c r="E266" s="97"/>
      <c r="F266" s="97"/>
      <c r="J266" s="97"/>
    </row>
    <row r="267" s="96" customFormat="true" ht="15.75" hidden="false" customHeight="true" outlineLevel="0" collapsed="false">
      <c r="A267" s="200"/>
      <c r="C267" s="187" t="n">
        <f aca="false">$J$137+$J$138</f>
        <v>2</v>
      </c>
      <c r="D267" s="98"/>
      <c r="E267" s="97"/>
      <c r="F267" s="97"/>
      <c r="G267" s="97"/>
      <c r="H267" s="97"/>
      <c r="J267" s="97"/>
    </row>
    <row r="268" s="96" customFormat="true" ht="15.75" hidden="false" customHeight="true" outlineLevel="0" collapsed="false">
      <c r="A268" s="200"/>
      <c r="D268" s="184"/>
      <c r="E268" s="184"/>
      <c r="F268" s="97"/>
      <c r="G268" s="97"/>
      <c r="H268" s="97"/>
      <c r="J268" s="97"/>
    </row>
    <row r="269" s="96" customFormat="true" ht="15.75" hidden="false" customHeight="true" outlineLevel="0" collapsed="false">
      <c r="A269" s="200"/>
      <c r="D269" s="184"/>
      <c r="E269" s="184"/>
      <c r="F269" s="97"/>
      <c r="G269" s="97"/>
      <c r="H269" s="97"/>
      <c r="J269" s="97"/>
    </row>
    <row r="270" s="96" customFormat="true" ht="15.75" hidden="false" customHeight="true" outlineLevel="0" collapsed="false">
      <c r="A270" s="200"/>
      <c r="D270" s="181"/>
      <c r="E270" s="181"/>
      <c r="F270" s="97"/>
      <c r="G270" s="97"/>
      <c r="H270" s="97"/>
      <c r="J270" s="97"/>
    </row>
    <row r="271" s="96" customFormat="true" ht="15.75" hidden="false" customHeight="true" outlineLevel="0" collapsed="false">
      <c r="A271" s="200"/>
      <c r="D271" s="181"/>
      <c r="E271" s="181"/>
      <c r="F271" s="97"/>
      <c r="G271" s="97"/>
      <c r="I271" s="196"/>
      <c r="J271" s="196"/>
    </row>
    <row r="272" s="96" customFormat="true" ht="15.75" hidden="false" customHeight="true" outlineLevel="0" collapsed="false">
      <c r="A272" s="200"/>
      <c r="D272" s="98"/>
      <c r="E272" s="97"/>
      <c r="F272" s="97"/>
      <c r="G272" s="97"/>
      <c r="I272" s="196"/>
      <c r="J272" s="196"/>
    </row>
    <row r="273" s="96" customFormat="true" ht="15.75" hidden="false" customHeight="true" outlineLevel="0" collapsed="false">
      <c r="A273" s="200"/>
      <c r="C273" s="184" t="s">
        <v>469</v>
      </c>
      <c r="D273" s="201"/>
      <c r="E273" s="196"/>
      <c r="F273" s="97"/>
      <c r="G273" s="97"/>
      <c r="I273" s="196"/>
      <c r="J273" s="196"/>
    </row>
    <row r="274" s="96" customFormat="true" ht="15.75" hidden="false" customHeight="true" outlineLevel="0" collapsed="false">
      <c r="A274" s="200"/>
      <c r="C274" s="181" t="s">
        <v>470</v>
      </c>
      <c r="D274" s="181"/>
      <c r="E274" s="181"/>
      <c r="F274" s="97"/>
      <c r="G274" s="97"/>
      <c r="I274" s="97"/>
      <c r="J274" s="196"/>
    </row>
    <row r="275" s="96" customFormat="true" ht="15.75" hidden="false" customHeight="true" outlineLevel="0" collapsed="false">
      <c r="A275" s="200"/>
      <c r="C275" s="181" t="s">
        <v>471</v>
      </c>
      <c r="D275" s="181"/>
      <c r="E275" s="181"/>
      <c r="F275" s="97"/>
      <c r="G275" s="97"/>
      <c r="I275" s="97"/>
      <c r="J275" s="196"/>
    </row>
    <row r="276" s="96" customFormat="true" ht="15.75" hidden="false" customHeight="true" outlineLevel="0" collapsed="false">
      <c r="A276" s="200"/>
      <c r="C276" s="185" t="n">
        <f aca="false">$I$139</f>
        <v>2404</v>
      </c>
      <c r="F276" s="97"/>
      <c r="G276" s="97"/>
      <c r="I276" s="97"/>
      <c r="J276" s="196"/>
    </row>
    <row r="277" s="96" customFormat="true" ht="15.75" hidden="false" customHeight="true" outlineLevel="0" collapsed="false">
      <c r="A277" s="200"/>
      <c r="C277" s="187" t="n">
        <f aca="false">$J$139+$J$140</f>
        <v>2</v>
      </c>
      <c r="F277" s="97"/>
      <c r="G277" s="97"/>
      <c r="I277" s="97"/>
      <c r="J277" s="196"/>
    </row>
    <row r="278" s="96" customFormat="true" ht="15.75" hidden="false" customHeight="true" outlineLevel="0" collapsed="false">
      <c r="A278" s="200"/>
      <c r="F278" s="97"/>
      <c r="G278" s="97"/>
      <c r="H278" s="97"/>
      <c r="J278" s="97"/>
    </row>
    <row r="279" s="96" customFormat="true" ht="15.75" hidden="false" customHeight="true" outlineLevel="0" collapsed="false">
      <c r="A279" s="200"/>
      <c r="D279" s="98"/>
      <c r="E279" s="97"/>
      <c r="F279" s="97"/>
      <c r="G279" s="97"/>
      <c r="H279" s="97"/>
      <c r="J279" s="97"/>
    </row>
    <row r="280" s="96" customFormat="true" ht="15.75" hidden="false" customHeight="true" outlineLevel="0" collapsed="false">
      <c r="A280" s="200"/>
      <c r="F280" s="97"/>
      <c r="G280" s="97"/>
      <c r="H280" s="97"/>
      <c r="J280" s="97"/>
    </row>
    <row r="281" s="96" customFormat="true" ht="15.75" hidden="false" customHeight="true" outlineLevel="0" collapsed="false">
      <c r="A281" s="200"/>
      <c r="F281" s="97"/>
      <c r="G281" s="97"/>
      <c r="H281" s="97"/>
      <c r="I281" s="201"/>
      <c r="J281" s="196"/>
    </row>
    <row r="282" s="96" customFormat="true" ht="15.75" hidden="false" customHeight="true" outlineLevel="0" collapsed="false">
      <c r="A282" s="200"/>
      <c r="C282" s="184" t="s">
        <v>472</v>
      </c>
      <c r="F282" s="97"/>
      <c r="G282" s="97"/>
      <c r="H282" s="97"/>
      <c r="I282" s="97"/>
      <c r="J282" s="196"/>
    </row>
    <row r="283" s="96" customFormat="true" ht="15.75" hidden="false" customHeight="true" outlineLevel="0" collapsed="false">
      <c r="A283" s="200"/>
      <c r="C283" s="83" t="s">
        <v>825</v>
      </c>
      <c r="D283" s="98"/>
      <c r="E283" s="97"/>
      <c r="F283" s="97"/>
      <c r="G283" s="97"/>
      <c r="H283" s="97"/>
      <c r="I283" s="196"/>
      <c r="J283" s="196"/>
    </row>
    <row r="284" s="96" customFormat="true" ht="15.75" hidden="false" customHeight="true" outlineLevel="0" collapsed="false">
      <c r="A284" s="200"/>
      <c r="C284" s="181" t="s">
        <v>826</v>
      </c>
      <c r="D284" s="98"/>
      <c r="E284" s="97"/>
      <c r="F284" s="97"/>
      <c r="G284" s="97"/>
      <c r="H284" s="97"/>
      <c r="I284" s="196"/>
      <c r="J284" s="196"/>
    </row>
    <row r="285" s="96" customFormat="true" ht="15.75" hidden="false" customHeight="true" outlineLevel="0" collapsed="false">
      <c r="A285" s="200"/>
      <c r="C285" s="181" t="s">
        <v>475</v>
      </c>
      <c r="D285" s="181"/>
      <c r="E285" s="181"/>
      <c r="F285" s="97"/>
      <c r="G285" s="97"/>
      <c r="I285" s="196"/>
      <c r="J285" s="196"/>
    </row>
    <row r="286" s="202" customFormat="true" ht="15.75" hidden="false" customHeight="true" outlineLevel="0" collapsed="false">
      <c r="A286" s="200"/>
      <c r="B286" s="96"/>
      <c r="C286" s="181" t="s">
        <v>827</v>
      </c>
      <c r="D286" s="181"/>
      <c r="E286" s="181"/>
      <c r="F286" s="97"/>
      <c r="G286" s="97"/>
      <c r="H286" s="96"/>
      <c r="I286" s="97"/>
      <c r="J286" s="97"/>
    </row>
    <row r="287" s="96" customFormat="true" ht="15.75" hidden="false" customHeight="true" outlineLevel="0" collapsed="false">
      <c r="A287" s="200"/>
      <c r="C287" s="185" t="n">
        <f aca="false">$I$141</f>
        <v>125.066666666667</v>
      </c>
      <c r="F287" s="97"/>
      <c r="G287" s="97"/>
      <c r="I287" s="191"/>
      <c r="J287" s="199"/>
    </row>
    <row r="288" s="96" customFormat="true" ht="15.75" hidden="false" customHeight="true" outlineLevel="0" collapsed="false">
      <c r="A288" s="200"/>
      <c r="C288" s="187" t="n">
        <f aca="false">$J$141+$J$142</f>
        <v>30</v>
      </c>
      <c r="D288" s="98"/>
      <c r="E288" s="97"/>
      <c r="F288" s="97"/>
      <c r="G288" s="97"/>
      <c r="H288" s="98"/>
      <c r="I288" s="189"/>
      <c r="J288" s="190"/>
    </row>
    <row r="289" s="96" customFormat="true" ht="15.75" hidden="false" customHeight="true" outlineLevel="0" collapsed="false">
      <c r="A289" s="200"/>
      <c r="C289" s="185" t="n">
        <f aca="false">$I$143</f>
        <v>2408</v>
      </c>
      <c r="D289" s="98"/>
      <c r="E289" s="97"/>
      <c r="F289" s="97"/>
      <c r="G289" s="97"/>
      <c r="H289" s="97"/>
      <c r="I289" s="196"/>
      <c r="J289" s="196"/>
    </row>
    <row r="290" s="96" customFormat="true" ht="15.75" hidden="false" customHeight="true" outlineLevel="0" collapsed="false">
      <c r="A290" s="200"/>
      <c r="C290" s="187" t="n">
        <f aca="false">$J$143+$J$144+$J$145+$J$146</f>
        <v>30</v>
      </c>
      <c r="D290" s="98"/>
      <c r="E290" s="97"/>
      <c r="F290" s="97"/>
      <c r="G290" s="97"/>
      <c r="H290" s="97"/>
      <c r="I290" s="196"/>
      <c r="J290" s="196"/>
    </row>
    <row r="291" s="96" customFormat="true" ht="15.75" hidden="false" customHeight="true" outlineLevel="0" collapsed="false">
      <c r="A291" s="200"/>
      <c r="D291" s="98"/>
      <c r="E291" s="97"/>
      <c r="F291" s="97"/>
      <c r="G291" s="97"/>
      <c r="H291" s="97"/>
      <c r="I291" s="97"/>
      <c r="J291" s="196"/>
    </row>
    <row r="292" s="96" customFormat="true" ht="15.75" hidden="false" customHeight="true" outlineLevel="0" collapsed="false">
      <c r="A292" s="200"/>
      <c r="C292" s="202"/>
      <c r="D292" s="98"/>
      <c r="E292" s="97"/>
      <c r="F292" s="97"/>
      <c r="G292" s="97"/>
      <c r="H292" s="97"/>
      <c r="I292" s="97"/>
      <c r="J292" s="196"/>
    </row>
    <row r="293" s="96" customFormat="true" ht="15.75" hidden="false" customHeight="true" outlineLevel="0" collapsed="false">
      <c r="A293" s="200"/>
      <c r="C293" s="184" t="s">
        <v>477</v>
      </c>
      <c r="D293" s="98"/>
      <c r="E293" s="97"/>
      <c r="F293" s="97"/>
      <c r="G293" s="97"/>
      <c r="H293" s="97"/>
      <c r="I293" s="97"/>
      <c r="J293" s="196"/>
    </row>
    <row r="294" s="96" customFormat="true" ht="15.75" hidden="false" customHeight="true" outlineLevel="0" collapsed="false">
      <c r="A294" s="200"/>
      <c r="C294" s="83" t="s">
        <v>825</v>
      </c>
      <c r="D294" s="98"/>
      <c r="E294" s="97"/>
      <c r="F294" s="97"/>
      <c r="G294" s="191"/>
      <c r="H294" s="191"/>
      <c r="I294" s="97"/>
      <c r="J294" s="196"/>
    </row>
    <row r="295" s="96" customFormat="true" ht="15.75" hidden="false" customHeight="true" outlineLevel="0" collapsed="false">
      <c r="A295" s="200"/>
      <c r="C295" s="181" t="s">
        <v>826</v>
      </c>
      <c r="D295" s="181"/>
      <c r="E295" s="181"/>
      <c r="F295" s="97"/>
      <c r="G295" s="190"/>
      <c r="H295" s="189"/>
      <c r="I295" s="97"/>
      <c r="J295" s="196"/>
    </row>
    <row r="296" s="96" customFormat="true" ht="15.75" hidden="false" customHeight="true" outlineLevel="0" collapsed="false">
      <c r="A296" s="107"/>
      <c r="C296" s="181" t="s">
        <v>478</v>
      </c>
      <c r="D296" s="181"/>
      <c r="E296" s="181"/>
      <c r="F296" s="97"/>
      <c r="G296" s="97"/>
      <c r="H296" s="97"/>
      <c r="I296" s="97"/>
      <c r="J296" s="196"/>
    </row>
    <row r="297" s="96" customFormat="true" ht="15.75" hidden="false" customHeight="true" outlineLevel="0" collapsed="false">
      <c r="A297" s="191"/>
      <c r="B297" s="191"/>
      <c r="C297" s="181" t="s">
        <v>828</v>
      </c>
      <c r="D297" s="203"/>
      <c r="E297" s="204"/>
      <c r="F297" s="191"/>
      <c r="G297" s="97"/>
      <c r="H297" s="97"/>
      <c r="I297" s="97"/>
      <c r="J297" s="196"/>
    </row>
    <row r="298" s="96" customFormat="true" ht="15.75" hidden="false" customHeight="true" outlineLevel="0" collapsed="false">
      <c r="A298" s="190"/>
      <c r="B298" s="190"/>
      <c r="C298" s="185" t="n">
        <f aca="false">$I$147</f>
        <v>15.3</v>
      </c>
      <c r="D298" s="205"/>
      <c r="E298" s="206"/>
      <c r="F298" s="189"/>
      <c r="G298" s="97"/>
      <c r="H298" s="97"/>
      <c r="I298" s="97"/>
      <c r="J298" s="196"/>
    </row>
    <row r="299" s="96" customFormat="true" ht="15.75" hidden="false" customHeight="true" outlineLevel="0" collapsed="false">
      <c r="A299" s="97"/>
      <c r="C299" s="187" t="n">
        <f aca="false">$J$147</f>
        <v>30</v>
      </c>
      <c r="D299" s="98"/>
      <c r="F299" s="97"/>
      <c r="G299" s="97"/>
      <c r="H299" s="97"/>
      <c r="I299" s="97"/>
      <c r="J299" s="196"/>
    </row>
    <row r="300" s="96" customFormat="true" ht="15.75" hidden="false" customHeight="true" outlineLevel="0" collapsed="false">
      <c r="A300" s="97"/>
      <c r="C300" s="185" t="n">
        <f aca="false">$I$148</f>
        <v>2258</v>
      </c>
      <c r="D300" s="98"/>
      <c r="F300" s="97"/>
      <c r="G300" s="97"/>
      <c r="H300" s="97"/>
      <c r="I300" s="97"/>
      <c r="J300" s="196"/>
    </row>
    <row r="301" s="96" customFormat="true" ht="15.75" hidden="false" customHeight="true" outlineLevel="0" collapsed="false">
      <c r="A301" s="97"/>
      <c r="C301" s="187" t="n">
        <f aca="false">$J$148</f>
        <v>30</v>
      </c>
      <c r="D301" s="98"/>
      <c r="F301" s="97"/>
      <c r="G301" s="97"/>
      <c r="H301" s="97"/>
      <c r="I301" s="97"/>
      <c r="J301" s="196"/>
    </row>
    <row r="302" s="96" customFormat="true" ht="15.75" hidden="false" customHeight="true" outlineLevel="0" collapsed="false">
      <c r="A302" s="97"/>
      <c r="D302" s="98"/>
      <c r="F302" s="97"/>
      <c r="G302" s="97"/>
      <c r="H302" s="97"/>
      <c r="I302" s="97"/>
      <c r="J302" s="196"/>
    </row>
    <row r="303" s="96" customFormat="true" ht="15.75" hidden="false" customHeight="true" outlineLevel="0" collapsed="false">
      <c r="A303" s="97"/>
      <c r="D303" s="98"/>
      <c r="F303" s="97"/>
      <c r="G303" s="97"/>
      <c r="H303" s="97"/>
      <c r="I303" s="97"/>
      <c r="J303" s="196"/>
    </row>
    <row r="304" s="96" customFormat="true" ht="15.75" hidden="false" customHeight="true" outlineLevel="0" collapsed="false">
      <c r="A304" s="97"/>
      <c r="D304" s="98"/>
      <c r="F304" s="97"/>
      <c r="G304" s="97"/>
      <c r="H304" s="97"/>
      <c r="I304" s="97"/>
      <c r="J304" s="196"/>
    </row>
    <row r="305" s="96" customFormat="true" ht="15.75" hidden="false" customHeight="true" outlineLevel="0" collapsed="false">
      <c r="A305" s="97"/>
      <c r="C305" s="184" t="s">
        <v>744</v>
      </c>
      <c r="D305" s="98"/>
      <c r="E305" s="97"/>
      <c r="F305" s="97"/>
      <c r="G305" s="97"/>
      <c r="H305" s="97"/>
      <c r="I305" s="97"/>
      <c r="J305" s="196"/>
    </row>
    <row r="306" s="96" customFormat="true" ht="15.75" hidden="false" customHeight="true" outlineLevel="0" collapsed="false">
      <c r="A306" s="97"/>
      <c r="C306" s="181" t="s">
        <v>475</v>
      </c>
      <c r="D306" s="181"/>
      <c r="E306" s="181"/>
      <c r="F306" s="97"/>
      <c r="G306" s="97"/>
      <c r="H306" s="97"/>
      <c r="I306" s="97"/>
      <c r="J306" s="196"/>
    </row>
    <row r="307" s="96" customFormat="true" ht="15.75" hidden="false" customHeight="true" outlineLevel="0" collapsed="false">
      <c r="A307" s="97"/>
      <c r="C307" s="249" t="s">
        <v>827</v>
      </c>
      <c r="D307" s="249"/>
      <c r="E307" s="249"/>
      <c r="F307" s="97"/>
      <c r="G307" s="97"/>
      <c r="H307" s="97"/>
      <c r="I307" s="97"/>
      <c r="J307" s="196"/>
    </row>
    <row r="308" s="96" customFormat="true" ht="15.75" hidden="false" customHeight="true" outlineLevel="0" collapsed="false">
      <c r="A308" s="97"/>
      <c r="C308" s="185" t="n">
        <f aca="false">$I$149</f>
        <v>2408</v>
      </c>
      <c r="F308" s="97"/>
      <c r="G308" s="97"/>
      <c r="H308" s="97"/>
      <c r="I308" s="97"/>
      <c r="J308" s="196"/>
    </row>
    <row r="309" s="96" customFormat="true" ht="15.75" hidden="false" customHeight="true" outlineLevel="0" collapsed="false">
      <c r="A309" s="97"/>
      <c r="C309" s="187" t="n">
        <f aca="false">$J$149+$J$150</f>
        <v>2</v>
      </c>
      <c r="D309" s="181"/>
      <c r="E309" s="181"/>
      <c r="F309" s="97"/>
      <c r="G309" s="97"/>
      <c r="H309" s="97"/>
      <c r="I309" s="97"/>
      <c r="J309" s="196"/>
    </row>
    <row r="310" s="96" customFormat="true" ht="15.75" hidden="false" customHeight="true" outlineLevel="0" collapsed="false">
      <c r="A310" s="97"/>
      <c r="C310" s="181"/>
      <c r="D310" s="181"/>
      <c r="E310" s="181"/>
      <c r="F310" s="97"/>
      <c r="G310" s="97"/>
      <c r="H310" s="97"/>
      <c r="I310" s="97"/>
      <c r="J310" s="196"/>
    </row>
    <row r="311" s="96" customFormat="true" ht="15.75" hidden="false" customHeight="true" outlineLevel="0" collapsed="false">
      <c r="A311" s="97"/>
      <c r="C311" s="181"/>
      <c r="D311" s="181"/>
      <c r="E311" s="181"/>
      <c r="F311" s="97"/>
      <c r="G311" s="97"/>
      <c r="H311" s="97"/>
      <c r="I311" s="97"/>
      <c r="J311" s="196"/>
    </row>
    <row r="312" s="96" customFormat="true" ht="15.75" hidden="false" customHeight="true" outlineLevel="0" collapsed="false">
      <c r="A312" s="97"/>
      <c r="D312" s="98"/>
      <c r="F312" s="97"/>
      <c r="G312" s="97"/>
      <c r="H312" s="97"/>
      <c r="I312" s="97"/>
      <c r="J312" s="196"/>
    </row>
    <row r="313" s="96" customFormat="true" ht="15.75" hidden="false" customHeight="true" outlineLevel="0" collapsed="false">
      <c r="A313" s="200"/>
      <c r="D313" s="201"/>
      <c r="E313" s="196"/>
      <c r="F313" s="97"/>
      <c r="G313" s="97"/>
      <c r="H313" s="97"/>
      <c r="I313" s="200"/>
      <c r="J313" s="92" t="str">
        <f aca="false">LEFT($J$111,14)&amp;"-03"</f>
        <v>FG-240-15P7L8R-03</v>
      </c>
    </row>
    <row r="314" customFormat="false" ht="12.75" hidden="false" customHeight="true" outlineLevel="0" collapsed="false">
      <c r="A314" s="97"/>
      <c r="B314" s="49"/>
      <c r="C314" s="49"/>
      <c r="D314" s="207"/>
      <c r="E314" s="200"/>
      <c r="F314" s="200"/>
      <c r="G314" s="200"/>
      <c r="H314" s="200"/>
      <c r="I314" s="208"/>
      <c r="J314" s="208"/>
    </row>
    <row r="315" customFormat="false" ht="30" hidden="false" customHeight="true" outlineLevel="0" collapsed="false">
      <c r="I315" s="76"/>
      <c r="J315" s="77" t="str">
        <f aca="false">$J$2</f>
        <v>HOMELIFE</v>
      </c>
      <c r="K315" s="83"/>
      <c r="L315" s="83"/>
      <c r="M315" s="79"/>
      <c r="N315" s="79"/>
    </row>
    <row r="316" customFormat="false" ht="24.75" hidden="false" customHeight="true" outlineLevel="0" collapsed="false">
      <c r="C316" s="75"/>
      <c r="D316" s="76"/>
      <c r="E316" s="76"/>
      <c r="F316" s="76"/>
      <c r="G316" s="76"/>
      <c r="H316" s="76"/>
      <c r="I316" s="82"/>
      <c r="J316" s="80" t="str">
        <f aca="false">$J$3</f>
        <v>Fabricators Guide</v>
      </c>
      <c r="K316" s="83"/>
      <c r="L316" s="83"/>
      <c r="M316" s="79"/>
      <c r="N316" s="79"/>
    </row>
    <row r="317" customFormat="false" ht="24.75" hidden="false" customHeight="true" outlineLevel="0" collapsed="false">
      <c r="C317" s="82"/>
      <c r="D317" s="82"/>
      <c r="E317" s="82"/>
      <c r="F317" s="82"/>
      <c r="G317" s="82"/>
      <c r="H317" s="82"/>
      <c r="I317" s="82"/>
      <c r="J317" s="80" t="str">
        <f aca="false">$J$4</f>
        <v>240 Series Bi Fold Door </v>
      </c>
      <c r="M317" s="87"/>
      <c r="N317" s="87"/>
    </row>
    <row r="318" s="96" customFormat="true" ht="15" hidden="false" customHeight="true" outlineLevel="0" collapsed="false">
      <c r="A318" s="84"/>
      <c r="B318" s="81"/>
      <c r="C318" s="82"/>
      <c r="D318" s="82"/>
      <c r="E318" s="82"/>
      <c r="F318" s="82"/>
      <c r="G318" s="82"/>
      <c r="H318" s="82"/>
      <c r="I318" s="84"/>
      <c r="J318" s="94"/>
      <c r="K318" s="87"/>
      <c r="L318" s="87"/>
      <c r="M318" s="87"/>
      <c r="N318" s="87"/>
    </row>
    <row r="319" customFormat="false" ht="24.75" hidden="false" customHeight="true" outlineLevel="0" collapsed="false">
      <c r="A319" s="88" t="s">
        <v>480</v>
      </c>
      <c r="B319" s="88"/>
      <c r="C319" s="88"/>
      <c r="D319" s="88"/>
      <c r="E319" s="88"/>
      <c r="F319" s="88"/>
      <c r="G319" s="88"/>
      <c r="H319" s="88"/>
      <c r="I319" s="88"/>
      <c r="J319" s="88"/>
      <c r="K319" s="87"/>
      <c r="L319" s="87"/>
      <c r="M319" s="87"/>
      <c r="N319" s="87"/>
    </row>
    <row r="321" s="96" customFormat="true" ht="15" hidden="false" customHeight="true" outlineLevel="0" collapsed="false">
      <c r="A321" s="188"/>
      <c r="D321" s="73"/>
      <c r="I321" s="183"/>
      <c r="J321" s="99"/>
    </row>
    <row r="322" s="96" customFormat="true" ht="15" hidden="false" customHeight="true" outlineLevel="0" collapsed="false">
      <c r="A322" s="188"/>
      <c r="D322" s="73"/>
      <c r="I322" s="183"/>
      <c r="J322" s="99"/>
    </row>
    <row r="323" s="96" customFormat="true" ht="15" hidden="false" customHeight="true" outlineLevel="0" collapsed="false">
      <c r="A323" s="97"/>
      <c r="B323" s="81"/>
      <c r="D323" s="98"/>
      <c r="E323" s="83"/>
      <c r="F323" s="183"/>
      <c r="G323" s="183"/>
      <c r="H323" s="183"/>
      <c r="I323" s="83"/>
      <c r="J323" s="97"/>
    </row>
    <row r="324" s="96" customFormat="true" ht="15" hidden="false" customHeight="true" outlineLevel="0" collapsed="false">
      <c r="A324" s="97"/>
      <c r="D324" s="98"/>
      <c r="E324" s="83"/>
      <c r="F324" s="98"/>
      <c r="G324" s="83"/>
      <c r="H324" s="83"/>
      <c r="I324" s="97"/>
      <c r="J324" s="97"/>
    </row>
    <row r="325" s="96" customFormat="true" ht="15" hidden="false" customHeight="true" outlineLevel="0" collapsed="false">
      <c r="A325" s="97"/>
      <c r="C325" s="98"/>
      <c r="D325" s="98"/>
      <c r="E325" s="83"/>
      <c r="F325" s="98"/>
      <c r="G325" s="97"/>
      <c r="H325" s="83"/>
      <c r="I325" s="97"/>
      <c r="J325" s="97"/>
    </row>
    <row r="326" s="96" customFormat="true" ht="15" hidden="false" customHeight="true" outlineLevel="0" collapsed="false">
      <c r="A326" s="97"/>
      <c r="C326" s="98"/>
      <c r="D326" s="98"/>
      <c r="E326" s="97"/>
      <c r="F326" s="98"/>
      <c r="G326" s="97"/>
      <c r="H326" s="83"/>
      <c r="I326" s="97"/>
      <c r="J326" s="97"/>
    </row>
    <row r="327" s="96" customFormat="true" ht="15" hidden="false" customHeight="true" outlineLevel="0" collapsed="false">
      <c r="A327" s="97"/>
      <c r="C327" s="98"/>
      <c r="D327" s="98"/>
      <c r="E327" s="83"/>
      <c r="F327" s="98"/>
      <c r="G327" s="97"/>
      <c r="H327" s="83"/>
      <c r="I327" s="97"/>
      <c r="J327" s="97"/>
    </row>
    <row r="328" s="96" customFormat="true" ht="15" hidden="false" customHeight="true" outlineLevel="0" collapsed="false">
      <c r="A328" s="97"/>
      <c r="C328" s="98"/>
      <c r="D328" s="98"/>
      <c r="E328" s="83"/>
      <c r="F328" s="98"/>
      <c r="G328" s="97"/>
      <c r="H328" s="83"/>
      <c r="I328" s="182"/>
      <c r="J328" s="97"/>
    </row>
    <row r="329" s="96" customFormat="true" ht="15" hidden="false" customHeight="true" outlineLevel="0" collapsed="false">
      <c r="A329" s="81"/>
      <c r="C329" s="182"/>
      <c r="D329" s="98"/>
      <c r="E329" s="97"/>
      <c r="F329" s="209"/>
      <c r="G329" s="209"/>
      <c r="H329" s="110"/>
      <c r="I329" s="98"/>
      <c r="J329" s="97"/>
    </row>
    <row r="330" s="96" customFormat="true" ht="15" hidden="false" customHeight="true" outlineLevel="0" collapsed="false">
      <c r="A330" s="99"/>
      <c r="B330" s="81"/>
      <c r="C330" s="98"/>
      <c r="D330" s="98"/>
      <c r="E330" s="97"/>
      <c r="F330" s="210"/>
      <c r="G330" s="210"/>
      <c r="H330" s="110"/>
      <c r="I330" s="98"/>
      <c r="J330" s="97"/>
    </row>
    <row r="331" s="96" customFormat="true" ht="15" hidden="false" customHeight="true" outlineLevel="0" collapsed="false">
      <c r="A331" s="211" t="str">
        <f aca="false">A18</f>
        <v>240-15 Panel (7L8R)</v>
      </c>
      <c r="B331" s="99"/>
      <c r="C331" s="98"/>
      <c r="D331" s="98"/>
      <c r="E331" s="97"/>
      <c r="F331" s="110"/>
      <c r="G331" s="110"/>
      <c r="H331" s="110"/>
      <c r="I331" s="97"/>
      <c r="J331" s="97"/>
    </row>
    <row r="332" s="96" customFormat="true" ht="15" hidden="false" customHeight="true" outlineLevel="0" collapsed="false">
      <c r="A332" s="90" t="str">
        <f aca="false">A19</f>
        <v>Outside Bi Fold Door </v>
      </c>
      <c r="B332" s="99"/>
      <c r="C332" s="98"/>
      <c r="D332" s="98"/>
      <c r="E332" s="97"/>
      <c r="F332" s="110"/>
      <c r="G332" s="110"/>
      <c r="H332" s="110"/>
      <c r="I332" s="97"/>
      <c r="J332" s="97"/>
    </row>
    <row r="333" s="96" customFormat="true" ht="15.75" hidden="false" customHeight="true" outlineLevel="0" collapsed="false">
      <c r="A333" s="97"/>
      <c r="B333" s="188"/>
      <c r="C333" s="182"/>
      <c r="D333" s="98"/>
      <c r="E333" s="97"/>
      <c r="F333" s="210"/>
      <c r="G333" s="210"/>
      <c r="H333" s="110"/>
      <c r="I333" s="97"/>
      <c r="J333" s="97"/>
    </row>
    <row r="334" s="96" customFormat="true" ht="15.75" hidden="false" customHeight="true" outlineLevel="0" collapsed="false">
      <c r="A334" s="81"/>
      <c r="B334" s="97"/>
      <c r="C334" s="98"/>
      <c r="D334" s="98"/>
      <c r="E334" s="97"/>
      <c r="F334" s="78"/>
      <c r="H334" s="97"/>
      <c r="I334" s="97"/>
      <c r="J334" s="97"/>
    </row>
    <row r="335" s="96" customFormat="true" ht="15.75" hidden="false" customHeight="true" outlineLevel="0" collapsed="false">
      <c r="A335" s="191"/>
      <c r="C335" s="212"/>
      <c r="D335" s="98"/>
      <c r="E335" s="97"/>
      <c r="F335" s="97"/>
      <c r="G335" s="97"/>
      <c r="H335" s="97"/>
      <c r="I335" s="191"/>
      <c r="J335" s="199"/>
    </row>
    <row r="336" s="96" customFormat="true" ht="15.75" hidden="false" customHeight="true" outlineLevel="0" collapsed="false">
      <c r="A336" s="190"/>
      <c r="C336" s="191"/>
      <c r="D336" s="192"/>
      <c r="E336" s="191"/>
      <c r="F336" s="191"/>
      <c r="G336" s="191"/>
      <c r="H336" s="191"/>
      <c r="I336" s="189"/>
      <c r="J336" s="190"/>
    </row>
    <row r="337" s="96" customFormat="true" ht="15.75" hidden="false" customHeight="true" outlineLevel="0" collapsed="false">
      <c r="A337" s="97"/>
      <c r="C337" s="98"/>
      <c r="D337" s="194"/>
      <c r="E337" s="190"/>
      <c r="F337" s="189"/>
      <c r="G337" s="190"/>
      <c r="H337" s="189"/>
      <c r="I337" s="196"/>
      <c r="J337" s="196"/>
    </row>
    <row r="338" s="96" customFormat="true" ht="15.75" hidden="false" customHeight="true" outlineLevel="0" collapsed="false">
      <c r="A338" s="97"/>
      <c r="C338" s="98"/>
      <c r="D338" s="98"/>
      <c r="E338" s="97"/>
      <c r="F338" s="98"/>
      <c r="G338" s="97"/>
      <c r="H338" s="97"/>
      <c r="I338" s="196"/>
      <c r="J338" s="196"/>
    </row>
    <row r="339" s="96" customFormat="true" ht="15.75" hidden="false" customHeight="true" outlineLevel="0" collapsed="false">
      <c r="A339" s="97"/>
      <c r="C339" s="98"/>
      <c r="D339" s="98"/>
      <c r="E339" s="97"/>
      <c r="F339" s="98"/>
      <c r="G339" s="97"/>
      <c r="H339" s="97"/>
      <c r="I339" s="201"/>
      <c r="J339" s="201"/>
    </row>
    <row r="340" s="96" customFormat="true" ht="15.75" hidden="false" customHeight="true" outlineLevel="0" collapsed="false">
      <c r="A340" s="97"/>
      <c r="C340" s="191"/>
      <c r="D340" s="98"/>
      <c r="E340" s="97"/>
      <c r="F340" s="98"/>
      <c r="G340" s="97"/>
      <c r="H340" s="201"/>
      <c r="I340" s="98"/>
      <c r="J340" s="98"/>
    </row>
    <row r="341" s="96" customFormat="true" ht="15.75" hidden="false" customHeight="true" outlineLevel="0" collapsed="false">
      <c r="A341" s="97"/>
      <c r="C341" s="182"/>
      <c r="D341" s="98"/>
      <c r="E341" s="97"/>
      <c r="F341" s="98"/>
      <c r="G341" s="97"/>
      <c r="H341" s="98"/>
      <c r="I341" s="98"/>
      <c r="J341" s="98"/>
    </row>
    <row r="342" s="96" customFormat="true" ht="15.75" hidden="false" customHeight="true" outlineLevel="0" collapsed="false">
      <c r="A342" s="97"/>
      <c r="C342" s="98"/>
      <c r="D342" s="98"/>
      <c r="E342" s="97"/>
      <c r="F342" s="98"/>
      <c r="G342" s="97"/>
      <c r="H342" s="98"/>
      <c r="I342" s="97"/>
      <c r="J342" s="196"/>
    </row>
    <row r="343" s="96" customFormat="true" ht="15.75" hidden="false" customHeight="true" outlineLevel="0" collapsed="false">
      <c r="A343" s="97"/>
      <c r="C343" s="98"/>
      <c r="D343" s="98"/>
      <c r="E343" s="97"/>
      <c r="F343" s="98"/>
      <c r="G343" s="97"/>
      <c r="H343" s="97"/>
      <c r="I343" s="196"/>
      <c r="J343" s="196"/>
    </row>
    <row r="344" s="96" customFormat="true" ht="15.75" hidden="false" customHeight="true" outlineLevel="0" collapsed="false">
      <c r="A344" s="97"/>
      <c r="D344" s="98"/>
      <c r="E344" s="97"/>
      <c r="F344" s="98"/>
      <c r="G344" s="97"/>
      <c r="H344" s="97"/>
      <c r="I344" s="196"/>
      <c r="J344" s="196"/>
    </row>
    <row r="345" s="96" customFormat="true" ht="15.75" hidden="false" customHeight="true" outlineLevel="0" collapsed="false">
      <c r="A345" s="97"/>
      <c r="D345" s="98"/>
      <c r="E345" s="97"/>
      <c r="F345" s="98"/>
      <c r="G345" s="97"/>
      <c r="H345" s="97"/>
      <c r="I345" s="196"/>
      <c r="J345" s="196"/>
    </row>
    <row r="346" s="96" customFormat="true" ht="15.75" hidden="false" customHeight="true" outlineLevel="0" collapsed="false">
      <c r="A346" s="97"/>
      <c r="D346" s="98"/>
      <c r="E346" s="97"/>
      <c r="F346" s="98"/>
      <c r="G346" s="97"/>
      <c r="H346" s="97"/>
      <c r="I346" s="196"/>
      <c r="J346" s="196"/>
    </row>
    <row r="347" s="96" customFormat="true" ht="15.75" hidden="false" customHeight="true" outlineLevel="0" collapsed="false">
      <c r="A347" s="97"/>
      <c r="C347" s="191"/>
      <c r="D347" s="98"/>
      <c r="E347" s="97"/>
      <c r="F347" s="98"/>
      <c r="G347" s="97"/>
      <c r="H347" s="97"/>
      <c r="I347" s="196"/>
      <c r="J347" s="196"/>
    </row>
    <row r="348" s="96" customFormat="true" ht="15.75" hidden="false" customHeight="true" outlineLevel="0" collapsed="false">
      <c r="A348" s="97"/>
      <c r="C348" s="98"/>
      <c r="D348" s="98"/>
      <c r="E348" s="97"/>
      <c r="F348" s="98"/>
      <c r="G348" s="97"/>
      <c r="H348" s="97"/>
      <c r="I348" s="196"/>
      <c r="J348" s="196"/>
    </row>
    <row r="349" s="96" customFormat="true" ht="15.75" hidden="false" customHeight="true" outlineLevel="0" collapsed="false">
      <c r="A349" s="97"/>
      <c r="C349" s="98"/>
      <c r="D349" s="98"/>
      <c r="E349" s="97"/>
      <c r="F349" s="98"/>
      <c r="G349" s="97"/>
      <c r="H349" s="97"/>
      <c r="I349" s="97"/>
      <c r="J349" s="196"/>
    </row>
    <row r="350" s="96" customFormat="true" ht="15.75" hidden="false" customHeight="true" outlineLevel="0" collapsed="false">
      <c r="A350" s="97"/>
      <c r="C350" s="98"/>
      <c r="D350" s="98"/>
      <c r="E350" s="97"/>
      <c r="F350" s="98"/>
      <c r="G350" s="97"/>
      <c r="H350" s="97"/>
      <c r="I350" s="196"/>
      <c r="J350" s="196"/>
    </row>
    <row r="351" s="96" customFormat="true" ht="15.75" hidden="false" customHeight="true" outlineLevel="0" collapsed="false">
      <c r="A351" s="97"/>
      <c r="D351" s="98"/>
      <c r="E351" s="97"/>
      <c r="F351" s="97"/>
      <c r="G351" s="97"/>
      <c r="H351" s="97"/>
      <c r="I351" s="196"/>
      <c r="J351" s="196"/>
    </row>
    <row r="352" s="96" customFormat="true" ht="15" hidden="false" customHeight="true" outlineLevel="0" collapsed="false">
      <c r="A352" s="97"/>
      <c r="D352" s="98"/>
      <c r="E352" s="97"/>
      <c r="F352" s="97"/>
      <c r="G352" s="97"/>
      <c r="H352" s="195"/>
      <c r="I352" s="196"/>
      <c r="J352" s="196"/>
    </row>
    <row r="353" s="202" customFormat="true" ht="15.75" hidden="false" customHeight="true" outlineLevel="0" collapsed="false">
      <c r="A353" s="97"/>
      <c r="B353" s="96"/>
      <c r="C353" s="96"/>
      <c r="D353" s="98"/>
      <c r="E353" s="97"/>
      <c r="F353" s="97"/>
      <c r="G353" s="97"/>
      <c r="H353" s="97"/>
      <c r="I353" s="97"/>
      <c r="J353" s="97"/>
    </row>
    <row r="354" s="96" customFormat="true" ht="15.75" hidden="false" customHeight="true" outlineLevel="0" collapsed="false">
      <c r="A354" s="191"/>
      <c r="D354" s="98"/>
      <c r="E354" s="97"/>
      <c r="F354" s="97"/>
      <c r="G354" s="97"/>
      <c r="H354" s="97"/>
      <c r="I354" s="191"/>
      <c r="J354" s="199"/>
    </row>
    <row r="355" s="96" customFormat="true" ht="15.75" hidden="false" customHeight="true" outlineLevel="0" collapsed="false">
      <c r="A355" s="190"/>
      <c r="B355" s="191"/>
      <c r="C355" s="191"/>
      <c r="D355" s="192"/>
      <c r="E355" s="191"/>
      <c r="F355" s="191"/>
      <c r="G355" s="191"/>
      <c r="H355" s="191"/>
      <c r="I355" s="189"/>
      <c r="J355" s="190"/>
    </row>
    <row r="356" s="96" customFormat="true" ht="15.75" hidden="false" customHeight="true" outlineLevel="0" collapsed="false">
      <c r="A356" s="200"/>
      <c r="B356" s="190"/>
      <c r="C356" s="191"/>
      <c r="D356" s="194"/>
      <c r="E356" s="190"/>
      <c r="F356" s="189"/>
      <c r="G356" s="190"/>
      <c r="H356" s="189"/>
      <c r="I356" s="196"/>
      <c r="J356" s="196"/>
    </row>
    <row r="357" s="96" customFormat="true" ht="15.75" hidden="false" customHeight="true" outlineLevel="0" collapsed="false">
      <c r="A357" s="200"/>
      <c r="C357" s="182"/>
      <c r="D357" s="98"/>
      <c r="E357" s="97"/>
      <c r="F357" s="97"/>
      <c r="G357" s="97"/>
      <c r="H357" s="182"/>
      <c r="I357" s="98"/>
      <c r="J357" s="98"/>
    </row>
    <row r="358" s="96" customFormat="true" ht="15.75" hidden="false" customHeight="true" outlineLevel="0" collapsed="false">
      <c r="A358" s="200"/>
      <c r="C358" s="98"/>
      <c r="D358" s="98"/>
      <c r="E358" s="97"/>
      <c r="F358" s="97"/>
      <c r="G358" s="97"/>
      <c r="H358" s="98"/>
      <c r="I358" s="98"/>
      <c r="J358" s="98"/>
    </row>
    <row r="359" s="96" customFormat="true" ht="15.75" hidden="false" customHeight="true" outlineLevel="0" collapsed="false">
      <c r="A359" s="200"/>
      <c r="C359" s="98"/>
      <c r="D359" s="98"/>
      <c r="E359" s="97"/>
      <c r="F359" s="97"/>
      <c r="G359" s="97"/>
      <c r="H359" s="98"/>
      <c r="I359" s="196"/>
      <c r="J359" s="196"/>
    </row>
    <row r="360" s="96" customFormat="true" ht="15.75" hidden="false" customHeight="true" outlineLevel="0" collapsed="false">
      <c r="A360" s="200"/>
      <c r="D360" s="98"/>
      <c r="E360" s="97"/>
      <c r="F360" s="97"/>
      <c r="G360" s="97"/>
      <c r="H360" s="97"/>
      <c r="I360" s="196"/>
      <c r="J360" s="196"/>
    </row>
    <row r="361" s="96" customFormat="true" ht="15.75" hidden="false" customHeight="true" outlineLevel="0" collapsed="false">
      <c r="A361" s="200"/>
      <c r="D361" s="98"/>
      <c r="E361" s="97"/>
      <c r="F361" s="97"/>
      <c r="G361" s="97"/>
      <c r="H361" s="97"/>
      <c r="I361" s="196"/>
      <c r="J361" s="196"/>
    </row>
    <row r="362" s="96" customFormat="true" ht="15.75" hidden="false" customHeight="true" outlineLevel="0" collapsed="false">
      <c r="A362" s="200"/>
      <c r="D362" s="98"/>
      <c r="E362" s="97"/>
      <c r="F362" s="97"/>
      <c r="G362" s="97"/>
      <c r="H362" s="97"/>
      <c r="I362" s="196"/>
      <c r="J362" s="196"/>
    </row>
    <row r="363" s="96" customFormat="true" ht="15.75" hidden="false" customHeight="true" outlineLevel="0" collapsed="false">
      <c r="A363" s="200"/>
      <c r="C363" s="98"/>
      <c r="D363" s="98"/>
      <c r="E363" s="97"/>
      <c r="F363" s="97"/>
      <c r="G363" s="97"/>
      <c r="H363" s="97"/>
      <c r="I363" s="196"/>
      <c r="J363" s="196"/>
    </row>
    <row r="364" s="96" customFormat="true" ht="15.75" hidden="false" customHeight="true" outlineLevel="0" collapsed="false">
      <c r="A364" s="200"/>
      <c r="D364" s="98"/>
      <c r="E364" s="97"/>
      <c r="F364" s="97"/>
      <c r="G364" s="97"/>
      <c r="H364" s="97"/>
      <c r="I364" s="196"/>
      <c r="J364" s="196"/>
    </row>
    <row r="365" s="96" customFormat="true" ht="15.75" hidden="false" customHeight="true" outlineLevel="0" collapsed="false">
      <c r="A365" s="200"/>
      <c r="D365" s="98"/>
      <c r="E365" s="97"/>
      <c r="F365" s="97"/>
      <c r="G365" s="97"/>
      <c r="H365" s="97"/>
      <c r="I365" s="196"/>
      <c r="J365" s="196"/>
    </row>
    <row r="366" s="96" customFormat="true" ht="15.75" hidden="false" customHeight="true" outlineLevel="0" collapsed="false">
      <c r="A366" s="200"/>
      <c r="D366" s="98"/>
      <c r="E366" s="97"/>
      <c r="F366" s="97"/>
      <c r="G366" s="97"/>
      <c r="H366" s="97"/>
      <c r="I366" s="196"/>
      <c r="J366" s="196"/>
    </row>
    <row r="367" s="96" customFormat="true" ht="15.75" hidden="false" customHeight="true" outlineLevel="0" collapsed="false">
      <c r="A367" s="200"/>
      <c r="D367" s="98"/>
      <c r="E367" s="97"/>
      <c r="F367" s="97"/>
      <c r="G367" s="97"/>
      <c r="H367" s="97"/>
      <c r="I367" s="196"/>
      <c r="J367" s="196"/>
    </row>
    <row r="368" s="96" customFormat="true" ht="15.75" hidden="false" customHeight="true" outlineLevel="0" collapsed="false">
      <c r="A368" s="200"/>
      <c r="D368" s="98"/>
      <c r="E368" s="97"/>
      <c r="F368" s="97"/>
      <c r="G368" s="97"/>
      <c r="H368" s="97"/>
      <c r="I368" s="196"/>
      <c r="J368" s="196"/>
    </row>
    <row r="369" s="96" customFormat="true" ht="15.75" hidden="false" customHeight="true" outlineLevel="0" collapsed="false">
      <c r="A369" s="200"/>
      <c r="D369" s="98"/>
      <c r="E369" s="97"/>
      <c r="F369" s="97"/>
      <c r="G369" s="97"/>
      <c r="H369" s="97"/>
      <c r="I369" s="196"/>
      <c r="J369" s="196"/>
    </row>
    <row r="370" s="96" customFormat="true" ht="15.75" hidden="false" customHeight="true" outlineLevel="0" collapsed="false">
      <c r="A370" s="200"/>
      <c r="D370" s="98"/>
      <c r="E370" s="97"/>
      <c r="F370" s="97"/>
      <c r="G370" s="97"/>
      <c r="H370" s="97"/>
      <c r="I370" s="196"/>
      <c r="J370" s="196"/>
    </row>
    <row r="371" s="96" customFormat="true" ht="15.75" hidden="false" customHeight="true" outlineLevel="0" collapsed="false">
      <c r="A371" s="200"/>
      <c r="D371" s="98"/>
      <c r="E371" s="97"/>
      <c r="F371" s="97"/>
      <c r="I371" s="196"/>
      <c r="J371" s="196"/>
    </row>
    <row r="372" s="96" customFormat="true" ht="15.75" hidden="false" customHeight="true" outlineLevel="0" collapsed="false">
      <c r="A372" s="200"/>
      <c r="D372" s="98"/>
      <c r="E372" s="97"/>
      <c r="F372" s="97"/>
      <c r="G372" s="97"/>
      <c r="H372" s="97"/>
      <c r="I372" s="196"/>
      <c r="J372" s="196"/>
    </row>
    <row r="373" s="96" customFormat="true" ht="15.75" hidden="false" customHeight="true" outlineLevel="0" collapsed="false">
      <c r="A373" s="200"/>
      <c r="D373" s="98"/>
      <c r="E373" s="97"/>
      <c r="F373" s="97"/>
      <c r="G373" s="97"/>
      <c r="H373" s="97"/>
      <c r="I373" s="196"/>
      <c r="J373" s="196"/>
    </row>
    <row r="374" s="96" customFormat="true" ht="15.75" hidden="false" customHeight="true" outlineLevel="0" collapsed="false">
      <c r="A374" s="200"/>
      <c r="D374" s="98"/>
      <c r="E374" s="97"/>
      <c r="F374" s="97"/>
      <c r="G374" s="97"/>
      <c r="H374" s="97"/>
      <c r="I374" s="196"/>
      <c r="J374" s="196"/>
    </row>
    <row r="375" s="96" customFormat="true" ht="15.75" hidden="false" customHeight="true" outlineLevel="0" collapsed="false">
      <c r="A375" s="200"/>
      <c r="D375" s="98"/>
      <c r="E375" s="97"/>
      <c r="F375" s="97"/>
      <c r="G375" s="97"/>
      <c r="H375" s="182"/>
      <c r="I375" s="98"/>
      <c r="J375" s="98"/>
    </row>
    <row r="376" s="96" customFormat="true" ht="15.75" hidden="false" customHeight="true" outlineLevel="0" collapsed="false">
      <c r="A376" s="200"/>
      <c r="C376" s="188"/>
      <c r="D376" s="98"/>
      <c r="E376" s="97"/>
      <c r="F376" s="97"/>
      <c r="G376" s="97"/>
      <c r="H376" s="98"/>
      <c r="I376" s="98"/>
      <c r="J376" s="98"/>
    </row>
    <row r="377" s="96" customFormat="true" ht="15.75" hidden="false" customHeight="true" outlineLevel="0" collapsed="false">
      <c r="A377" s="200"/>
      <c r="D377" s="98"/>
      <c r="E377" s="97"/>
      <c r="F377" s="97"/>
      <c r="G377" s="97"/>
      <c r="H377" s="98"/>
      <c r="I377" s="196"/>
      <c r="J377" s="196"/>
    </row>
    <row r="378" s="96" customFormat="true" ht="15.75" hidden="false" customHeight="true" outlineLevel="0" collapsed="false">
      <c r="A378" s="200"/>
      <c r="C378" s="98"/>
      <c r="D378" s="98"/>
      <c r="E378" s="97"/>
      <c r="F378" s="97"/>
      <c r="G378" s="97"/>
      <c r="H378" s="182"/>
      <c r="I378" s="98"/>
      <c r="J378" s="98"/>
    </row>
    <row r="379" s="96" customFormat="true" ht="15.75" hidden="false" customHeight="true" outlineLevel="0" collapsed="false">
      <c r="A379" s="200"/>
      <c r="D379" s="98"/>
      <c r="E379" s="97"/>
      <c r="F379" s="97"/>
      <c r="G379" s="97"/>
      <c r="H379" s="98"/>
      <c r="I379" s="98"/>
      <c r="J379" s="98"/>
    </row>
    <row r="380" s="96" customFormat="true" ht="15.75" hidden="false" customHeight="true" outlineLevel="0" collapsed="false">
      <c r="A380" s="200"/>
      <c r="D380" s="98"/>
      <c r="E380" s="97"/>
      <c r="F380" s="97"/>
      <c r="G380" s="97"/>
      <c r="H380" s="98"/>
      <c r="I380" s="196"/>
      <c r="J380" s="196"/>
    </row>
    <row r="381" s="96" customFormat="true" ht="15.75" hidden="false" customHeight="true" outlineLevel="0" collapsed="false">
      <c r="A381" s="200"/>
      <c r="D381" s="98"/>
      <c r="E381" s="97"/>
      <c r="F381" s="97"/>
      <c r="G381" s="97"/>
      <c r="H381" s="97"/>
      <c r="I381" s="196"/>
      <c r="J381" s="196"/>
    </row>
    <row r="382" s="96" customFormat="true" ht="15.75" hidden="false" customHeight="true" outlineLevel="0" collapsed="false">
      <c r="A382" s="200"/>
      <c r="D382" s="98"/>
      <c r="E382" s="97"/>
      <c r="F382" s="97"/>
      <c r="G382" s="97"/>
      <c r="H382" s="97"/>
      <c r="I382" s="196"/>
      <c r="J382" s="196"/>
    </row>
    <row r="383" s="96" customFormat="true" ht="15.75" hidden="false" customHeight="true" outlineLevel="0" collapsed="false">
      <c r="A383" s="200"/>
      <c r="D383" s="98"/>
      <c r="E383" s="97"/>
      <c r="F383" s="97"/>
      <c r="G383" s="97"/>
      <c r="H383" s="97"/>
      <c r="I383" s="97"/>
      <c r="J383" s="196"/>
    </row>
    <row r="384" s="96" customFormat="true" ht="15.75" hidden="false" customHeight="true" outlineLevel="0" collapsed="false">
      <c r="A384" s="200"/>
      <c r="D384" s="98"/>
      <c r="E384" s="97"/>
      <c r="F384" s="97"/>
      <c r="G384" s="97"/>
      <c r="H384" s="97"/>
      <c r="I384" s="97"/>
      <c r="J384" s="196"/>
    </row>
    <row r="385" s="96" customFormat="true" ht="15.75" hidden="false" customHeight="true" outlineLevel="0" collapsed="false">
      <c r="A385" s="200"/>
      <c r="D385" s="98"/>
      <c r="E385" s="97"/>
      <c r="F385" s="97"/>
      <c r="G385" s="97"/>
      <c r="H385" s="97"/>
      <c r="I385" s="97"/>
      <c r="J385" s="196"/>
    </row>
    <row r="386" s="96" customFormat="true" ht="15.75" hidden="false" customHeight="true" outlineLevel="0" collapsed="false">
      <c r="A386" s="200"/>
      <c r="D386" s="98"/>
      <c r="E386" s="97"/>
      <c r="F386" s="97"/>
      <c r="G386" s="97"/>
      <c r="H386" s="97"/>
      <c r="I386" s="97"/>
      <c r="J386" s="196"/>
    </row>
    <row r="387" s="96" customFormat="true" ht="15.75" hidden="false" customHeight="true" outlineLevel="0" collapsed="false">
      <c r="A387" s="200"/>
      <c r="D387" s="98"/>
      <c r="E387" s="97"/>
      <c r="F387" s="97"/>
      <c r="G387" s="97"/>
      <c r="H387" s="97"/>
      <c r="I387" s="213"/>
      <c r="J387" s="213"/>
    </row>
    <row r="388" s="96" customFormat="true" ht="15.75" hidden="false" customHeight="true" outlineLevel="0" collapsed="false">
      <c r="A388" s="200"/>
      <c r="D388" s="98"/>
      <c r="E388" s="97"/>
      <c r="F388" s="97"/>
      <c r="G388" s="97"/>
      <c r="H388" s="213"/>
      <c r="I388" s="97"/>
      <c r="J388" s="97"/>
    </row>
    <row r="389" s="96" customFormat="true" ht="15.75" hidden="false" customHeight="true" outlineLevel="0" collapsed="false">
      <c r="A389" s="200"/>
      <c r="D389" s="98"/>
      <c r="E389" s="97"/>
      <c r="F389" s="97"/>
      <c r="G389" s="97"/>
      <c r="H389" s="97"/>
      <c r="I389" s="98"/>
      <c r="J389" s="98"/>
    </row>
    <row r="390" s="96" customFormat="true" ht="15.75" hidden="false" customHeight="true" outlineLevel="0" collapsed="false">
      <c r="A390" s="200"/>
      <c r="C390" s="188"/>
      <c r="D390" s="98"/>
      <c r="E390" s="97"/>
      <c r="F390" s="97"/>
      <c r="G390" s="97"/>
      <c r="H390" s="98"/>
      <c r="I390" s="196"/>
      <c r="J390" s="196"/>
    </row>
    <row r="391" s="96" customFormat="true" ht="15.75" hidden="false" customHeight="true" outlineLevel="0" collapsed="false">
      <c r="A391" s="200"/>
      <c r="D391" s="98"/>
      <c r="E391" s="97"/>
      <c r="F391" s="97"/>
      <c r="G391" s="97"/>
      <c r="H391" s="97"/>
      <c r="I391" s="97"/>
      <c r="J391" s="196"/>
    </row>
    <row r="392" s="96" customFormat="true" ht="15.75" hidden="false" customHeight="true" outlineLevel="0" collapsed="false">
      <c r="A392" s="200"/>
      <c r="C392" s="98"/>
      <c r="D392" s="98"/>
      <c r="E392" s="97"/>
      <c r="F392" s="97"/>
      <c r="G392" s="97"/>
      <c r="H392" s="97"/>
      <c r="I392" s="196"/>
      <c r="J392" s="196"/>
    </row>
    <row r="393" s="96" customFormat="true" ht="15.75" hidden="false" customHeight="true" outlineLevel="0" collapsed="false">
      <c r="A393" s="200"/>
      <c r="D393" s="98"/>
      <c r="E393" s="97"/>
      <c r="F393" s="97"/>
      <c r="G393" s="97"/>
      <c r="H393" s="97"/>
      <c r="I393" s="196"/>
      <c r="J393" s="196"/>
    </row>
    <row r="394" s="96" customFormat="true" ht="15.75" hidden="false" customHeight="true" outlineLevel="0" collapsed="false">
      <c r="A394" s="200"/>
      <c r="D394" s="98"/>
      <c r="E394" s="97"/>
      <c r="F394" s="97"/>
      <c r="G394" s="97"/>
      <c r="H394" s="97"/>
      <c r="I394" s="196"/>
      <c r="J394" s="196"/>
    </row>
    <row r="395" s="96" customFormat="true" ht="15.75" hidden="false" customHeight="true" outlineLevel="0" collapsed="false">
      <c r="A395" s="107"/>
      <c r="D395" s="98"/>
      <c r="E395" s="97"/>
      <c r="F395" s="97"/>
      <c r="G395" s="97"/>
      <c r="H395" s="97"/>
      <c r="I395" s="97"/>
      <c r="J395" s="97"/>
    </row>
    <row r="396" s="96" customFormat="true" ht="15.75" hidden="false" customHeight="true" outlineLevel="0" collapsed="false">
      <c r="A396" s="107"/>
      <c r="D396" s="98"/>
      <c r="E396" s="97"/>
      <c r="F396" s="97"/>
      <c r="G396" s="97"/>
      <c r="H396" s="97"/>
      <c r="I396" s="97"/>
      <c r="J396" s="97"/>
    </row>
    <row r="397" s="96" customFormat="true" ht="15.75" hidden="false" customHeight="true" outlineLevel="0" collapsed="false">
      <c r="A397" s="107"/>
      <c r="D397" s="98"/>
      <c r="E397" s="97"/>
      <c r="F397" s="97"/>
      <c r="G397" s="97"/>
      <c r="H397" s="97"/>
      <c r="I397" s="97"/>
      <c r="J397" s="97"/>
    </row>
    <row r="398" s="96" customFormat="true" ht="15.75" hidden="false" customHeight="true" outlineLevel="0" collapsed="false">
      <c r="A398" s="107"/>
      <c r="D398" s="98"/>
      <c r="E398" s="97"/>
      <c r="F398" s="97"/>
      <c r="G398" s="97"/>
      <c r="H398" s="97"/>
      <c r="I398" s="97"/>
      <c r="J398" s="97"/>
    </row>
    <row r="399" s="96" customFormat="true" ht="15.75" hidden="false" customHeight="true" outlineLevel="0" collapsed="false">
      <c r="A399" s="107"/>
      <c r="D399" s="98"/>
      <c r="E399" s="97"/>
      <c r="F399" s="97"/>
      <c r="G399" s="97"/>
      <c r="H399" s="97"/>
      <c r="I399" s="97"/>
      <c r="J399" s="97"/>
    </row>
    <row r="400" s="96" customFormat="true" ht="15.75" hidden="false" customHeight="true" outlineLevel="0" collapsed="false">
      <c r="A400" s="107"/>
      <c r="D400" s="98"/>
      <c r="E400" s="97"/>
      <c r="F400" s="97"/>
      <c r="G400" s="97"/>
      <c r="H400" s="97"/>
      <c r="I400" s="97"/>
      <c r="J400" s="97"/>
    </row>
    <row r="401" s="96" customFormat="true" ht="15.75" hidden="false" customHeight="true" outlineLevel="0" collapsed="false">
      <c r="A401" s="107"/>
      <c r="D401" s="98"/>
      <c r="E401" s="97"/>
      <c r="F401" s="97"/>
      <c r="G401" s="97"/>
      <c r="H401" s="97"/>
      <c r="I401" s="97"/>
      <c r="J401" s="97"/>
    </row>
    <row r="402" s="96" customFormat="true" ht="15.75" hidden="false" customHeight="true" outlineLevel="0" collapsed="false">
      <c r="A402" s="107"/>
      <c r="D402" s="98"/>
      <c r="E402" s="97"/>
      <c r="F402" s="97"/>
      <c r="G402" s="97"/>
      <c r="H402" s="97"/>
      <c r="I402" s="97"/>
      <c r="J402" s="97"/>
    </row>
    <row r="403" s="202" customFormat="true" ht="15.75" hidden="false" customHeight="true" outlineLevel="0" collapsed="false">
      <c r="A403" s="107"/>
      <c r="B403" s="96"/>
      <c r="C403" s="96"/>
      <c r="D403" s="98"/>
      <c r="E403" s="97"/>
      <c r="F403" s="97"/>
      <c r="G403" s="97"/>
      <c r="H403" s="97"/>
      <c r="I403" s="97"/>
      <c r="J403" s="97"/>
    </row>
    <row r="404" s="96" customFormat="true" ht="15.75" hidden="false" customHeight="true" outlineLevel="0" collapsed="false">
      <c r="A404" s="191"/>
      <c r="D404" s="98"/>
      <c r="E404" s="97"/>
      <c r="F404" s="97"/>
      <c r="G404" s="97"/>
      <c r="H404" s="97"/>
      <c r="I404" s="191"/>
      <c r="J404" s="199"/>
    </row>
    <row r="405" s="96" customFormat="true" ht="15.75" hidden="false" customHeight="true" outlineLevel="0" collapsed="false">
      <c r="A405" s="191"/>
      <c r="B405" s="191"/>
      <c r="C405" s="191"/>
      <c r="D405" s="192"/>
      <c r="E405" s="191"/>
      <c r="F405" s="191"/>
      <c r="G405" s="191"/>
      <c r="H405" s="191"/>
      <c r="I405" s="191"/>
      <c r="J405" s="199"/>
    </row>
    <row r="406" s="96" customFormat="true" ht="15.75" hidden="false" customHeight="true" outlineLevel="0" collapsed="false">
      <c r="A406" s="191"/>
      <c r="B406" s="191"/>
      <c r="C406" s="191"/>
      <c r="D406" s="192"/>
      <c r="E406" s="191"/>
      <c r="F406" s="191"/>
      <c r="G406" s="191"/>
      <c r="H406" s="191"/>
      <c r="I406" s="191"/>
      <c r="J406" s="199"/>
    </row>
    <row r="407" s="96" customFormat="true" ht="15.75" hidden="false" customHeight="true" outlineLevel="0" collapsed="false">
      <c r="A407" s="191"/>
      <c r="B407" s="191"/>
      <c r="C407" s="191"/>
      <c r="D407" s="192"/>
      <c r="E407" s="191"/>
      <c r="F407" s="191"/>
      <c r="G407" s="191"/>
      <c r="H407" s="191"/>
      <c r="I407" s="191"/>
      <c r="J407" s="199"/>
    </row>
    <row r="408" s="96" customFormat="true" ht="15.75" hidden="false" customHeight="true" outlineLevel="0" collapsed="false">
      <c r="A408" s="191"/>
      <c r="B408" s="191"/>
      <c r="C408" s="191"/>
      <c r="D408" s="192"/>
      <c r="E408" s="191"/>
      <c r="F408" s="191"/>
      <c r="G408" s="191"/>
      <c r="H408" s="191"/>
      <c r="I408" s="191"/>
      <c r="J408" s="199"/>
    </row>
    <row r="409" s="96" customFormat="true" ht="15.75" hidden="false" customHeight="true" outlineLevel="0" collapsed="false">
      <c r="A409" s="191"/>
      <c r="B409" s="191"/>
      <c r="C409" s="191"/>
      <c r="D409" s="192"/>
      <c r="E409" s="191"/>
      <c r="F409" s="191"/>
      <c r="G409" s="191"/>
      <c r="H409" s="191"/>
      <c r="I409" s="191"/>
      <c r="J409" s="199"/>
    </row>
    <row r="410" s="96" customFormat="true" ht="15.75" hidden="false" customHeight="true" outlineLevel="0" collapsed="false">
      <c r="A410" s="191"/>
      <c r="B410" s="191"/>
      <c r="C410" s="191"/>
      <c r="D410" s="192"/>
      <c r="E410" s="191"/>
      <c r="F410" s="191"/>
      <c r="G410" s="191"/>
      <c r="H410" s="191"/>
      <c r="I410" s="191"/>
      <c r="J410" s="199"/>
    </row>
    <row r="411" s="96" customFormat="true" ht="15.75" hidden="false" customHeight="true" outlineLevel="0" collapsed="false">
      <c r="A411" s="191"/>
      <c r="B411" s="191"/>
      <c r="C411" s="191"/>
      <c r="D411" s="192"/>
      <c r="E411" s="191"/>
      <c r="F411" s="191"/>
      <c r="G411" s="191"/>
      <c r="H411" s="191"/>
      <c r="I411" s="191"/>
      <c r="J411" s="199"/>
    </row>
    <row r="412" s="96" customFormat="true" ht="15.75" hidden="false" customHeight="true" outlineLevel="0" collapsed="false">
      <c r="A412" s="191"/>
      <c r="B412" s="191"/>
      <c r="C412" s="191"/>
      <c r="D412" s="192"/>
      <c r="E412" s="191"/>
      <c r="F412" s="191"/>
      <c r="G412" s="191"/>
      <c r="H412" s="191"/>
      <c r="I412" s="191"/>
      <c r="J412" s="199"/>
    </row>
    <row r="413" s="96" customFormat="true" ht="15.75" hidden="false" customHeight="true" outlineLevel="0" collapsed="false">
      <c r="A413" s="191"/>
      <c r="B413" s="191"/>
      <c r="C413" s="191"/>
      <c r="D413" s="192"/>
      <c r="E413" s="191"/>
      <c r="F413" s="191"/>
      <c r="G413" s="191"/>
      <c r="H413" s="191"/>
      <c r="I413" s="191"/>
      <c r="J413" s="199"/>
    </row>
    <row r="414" s="96" customFormat="true" ht="15.75" hidden="false" customHeight="true" outlineLevel="0" collapsed="false">
      <c r="A414" s="191"/>
      <c r="B414" s="191"/>
      <c r="C414" s="191"/>
      <c r="D414" s="192"/>
      <c r="E414" s="191"/>
      <c r="F414" s="191"/>
      <c r="G414" s="191"/>
      <c r="H414" s="191"/>
      <c r="I414" s="191"/>
      <c r="J414" s="199"/>
    </row>
    <row r="415" s="96" customFormat="true" ht="15.75" hidden="false" customHeight="true" outlineLevel="0" collapsed="false">
      <c r="A415" s="191"/>
      <c r="B415" s="191"/>
      <c r="C415" s="191"/>
      <c r="D415" s="192"/>
      <c r="E415" s="191"/>
      <c r="F415" s="191"/>
      <c r="G415" s="191"/>
      <c r="H415" s="191"/>
      <c r="I415" s="191"/>
      <c r="J415" s="199"/>
    </row>
    <row r="416" s="96" customFormat="true" ht="15.75" hidden="false" customHeight="true" outlineLevel="0" collapsed="false">
      <c r="A416" s="191"/>
      <c r="B416" s="191"/>
      <c r="C416" s="191"/>
      <c r="D416" s="192"/>
      <c r="E416" s="191"/>
      <c r="F416" s="191"/>
      <c r="G416" s="191"/>
      <c r="H416" s="191"/>
      <c r="I416" s="191"/>
      <c r="J416" s="199"/>
    </row>
    <row r="417" s="96" customFormat="true" ht="15.75" hidden="false" customHeight="true" outlineLevel="0" collapsed="false">
      <c r="A417" s="191"/>
      <c r="B417" s="191"/>
      <c r="C417" s="191"/>
      <c r="D417" s="192"/>
      <c r="E417" s="191"/>
      <c r="F417" s="191"/>
      <c r="G417" s="191"/>
      <c r="H417" s="191"/>
      <c r="I417" s="191"/>
      <c r="J417" s="199"/>
    </row>
    <row r="418" s="96" customFormat="true" ht="15.75" hidden="false" customHeight="true" outlineLevel="0" collapsed="false">
      <c r="A418" s="97"/>
      <c r="B418" s="191"/>
      <c r="C418" s="191"/>
      <c r="D418" s="192"/>
      <c r="E418" s="191"/>
      <c r="F418" s="191"/>
      <c r="G418" s="191"/>
      <c r="H418" s="191"/>
      <c r="I418" s="196"/>
      <c r="J418" s="196"/>
      <c r="K418" s="214"/>
    </row>
    <row r="419" s="96" customFormat="true" ht="15.75" hidden="false" customHeight="true" outlineLevel="0" collapsed="false">
      <c r="A419" s="97"/>
      <c r="D419" s="98"/>
      <c r="E419" s="97"/>
      <c r="F419" s="97"/>
      <c r="G419" s="97"/>
      <c r="H419" s="97"/>
      <c r="I419" s="196"/>
    </row>
    <row r="420" customFormat="false" ht="18" hidden="false" customHeight="true" outlineLevel="0" collapsed="false">
      <c r="A420" s="97"/>
      <c r="B420" s="96"/>
      <c r="C420" s="96"/>
      <c r="D420" s="98"/>
      <c r="E420" s="97"/>
      <c r="F420" s="97"/>
      <c r="G420" s="97"/>
      <c r="H420" s="97"/>
      <c r="I420" s="97"/>
      <c r="J420" s="92" t="str">
        <f aca="false">LEFT($J$111,14)&amp;"-04"</f>
        <v>FG-240-15P7L8R-04</v>
      </c>
      <c r="K420" s="78"/>
      <c r="L420" s="78"/>
      <c r="M420" s="79"/>
      <c r="N420" s="79"/>
    </row>
    <row r="421" customFormat="false" ht="12.75" hidden="false" customHeight="true" outlineLevel="0" collapsed="false">
      <c r="A421" s="97"/>
      <c r="B421" s="96"/>
      <c r="C421" s="96"/>
      <c r="D421" s="98"/>
      <c r="E421" s="97"/>
      <c r="F421" s="97"/>
      <c r="G421" s="97"/>
      <c r="H421" s="97"/>
      <c r="I421" s="97"/>
      <c r="J421" s="215"/>
      <c r="K421" s="78"/>
      <c r="L421" s="78"/>
      <c r="M421" s="79"/>
      <c r="N421" s="79"/>
    </row>
    <row r="422" customFormat="false" ht="30" hidden="false" customHeight="true" outlineLevel="0" collapsed="false">
      <c r="B422" s="96"/>
      <c r="C422" s="96"/>
      <c r="D422" s="98"/>
      <c r="E422" s="97"/>
      <c r="F422" s="97"/>
      <c r="G422" s="97"/>
      <c r="H422" s="97"/>
      <c r="I422" s="76"/>
      <c r="J422" s="77" t="str">
        <f aca="false">J2</f>
        <v>HOMELIFE</v>
      </c>
      <c r="K422" s="83"/>
      <c r="L422" s="83"/>
      <c r="M422" s="79"/>
      <c r="N422" s="79"/>
    </row>
    <row r="423" customFormat="false" ht="24.75" hidden="false" customHeight="true" outlineLevel="0" collapsed="false">
      <c r="C423" s="75"/>
      <c r="D423" s="76"/>
      <c r="E423" s="76"/>
      <c r="F423" s="76"/>
      <c r="G423" s="76"/>
      <c r="H423" s="76"/>
      <c r="I423" s="82"/>
      <c r="J423" s="80" t="str">
        <f aca="false">J3</f>
        <v>Fabricators Guide</v>
      </c>
      <c r="K423" s="83"/>
      <c r="L423" s="83"/>
      <c r="M423" s="79"/>
      <c r="N423" s="79"/>
    </row>
    <row r="424" customFormat="false" ht="24.75" hidden="false" customHeight="true" outlineLevel="0" collapsed="false">
      <c r="C424" s="82"/>
      <c r="D424" s="82"/>
      <c r="E424" s="82"/>
      <c r="F424" s="82"/>
      <c r="G424" s="82"/>
      <c r="H424" s="82"/>
      <c r="I424" s="82"/>
      <c r="J424" s="80" t="str">
        <f aca="false">J4</f>
        <v>240 Series Bi Fold Door </v>
      </c>
      <c r="M424" s="87"/>
      <c r="N424" s="87"/>
    </row>
    <row r="425" s="96" customFormat="true" ht="15" hidden="false" customHeight="true" outlineLevel="0" collapsed="false">
      <c r="A425" s="84"/>
      <c r="B425" s="81"/>
      <c r="C425" s="82"/>
      <c r="D425" s="82"/>
      <c r="E425" s="82"/>
      <c r="F425" s="82"/>
      <c r="G425" s="82"/>
      <c r="H425" s="82"/>
      <c r="I425" s="84"/>
      <c r="J425" s="86"/>
      <c r="K425" s="87"/>
      <c r="L425" s="87"/>
      <c r="M425" s="87"/>
      <c r="N425" s="87"/>
    </row>
    <row r="426" s="96" customFormat="true" ht="24.75" hidden="false" customHeight="true" outlineLevel="0" collapsed="false">
      <c r="A426" s="88" t="s">
        <v>481</v>
      </c>
      <c r="B426" s="88"/>
      <c r="C426" s="88"/>
      <c r="D426" s="88"/>
      <c r="E426" s="88"/>
      <c r="F426" s="88"/>
      <c r="G426" s="88"/>
      <c r="H426" s="88"/>
      <c r="I426" s="88"/>
      <c r="J426" s="88"/>
      <c r="K426" s="87"/>
      <c r="L426" s="87"/>
      <c r="M426" s="87"/>
      <c r="N426" s="87"/>
    </row>
    <row r="427" s="96" customFormat="true" ht="15" hidden="false" customHeight="true" outlineLevel="0" collapsed="false">
      <c r="B427" s="268"/>
      <c r="C427" s="268"/>
      <c r="D427" s="268"/>
      <c r="E427" s="268"/>
      <c r="F427" s="268"/>
      <c r="G427" s="268"/>
      <c r="H427" s="268"/>
    </row>
    <row r="428" s="96" customFormat="true" ht="15" hidden="false" customHeight="true" outlineLevel="0" collapsed="false">
      <c r="A428" s="188"/>
      <c r="I428" s="191"/>
      <c r="J428" s="199"/>
    </row>
    <row r="429" s="96" customFormat="true" ht="15" hidden="false" customHeight="true" outlineLevel="0" collapsed="false">
      <c r="A429" s="97"/>
      <c r="B429" s="81"/>
      <c r="D429" s="98"/>
      <c r="E429" s="83"/>
      <c r="F429" s="81"/>
      <c r="H429" s="191"/>
      <c r="I429" s="191"/>
      <c r="J429" s="199"/>
    </row>
    <row r="430" s="96" customFormat="true" ht="15" hidden="false" customHeight="true" outlineLevel="0" collapsed="false">
      <c r="A430" s="97"/>
      <c r="D430" s="98"/>
      <c r="E430" s="83"/>
      <c r="F430" s="98"/>
      <c r="H430" s="191"/>
      <c r="I430" s="191"/>
      <c r="J430" s="199"/>
    </row>
    <row r="431" s="96" customFormat="true" ht="15" hidden="false" customHeight="true" outlineLevel="0" collapsed="false">
      <c r="A431" s="97"/>
      <c r="D431" s="98"/>
      <c r="E431" s="83"/>
      <c r="F431" s="98"/>
      <c r="H431" s="191"/>
      <c r="I431" s="191"/>
      <c r="J431" s="199"/>
    </row>
    <row r="432" s="96" customFormat="true" ht="15" hidden="false" customHeight="true" outlineLevel="0" collapsed="false">
      <c r="A432" s="97"/>
      <c r="C432" s="98"/>
      <c r="D432" s="98"/>
      <c r="E432" s="97"/>
      <c r="F432" s="98"/>
      <c r="H432" s="191"/>
      <c r="I432" s="191"/>
      <c r="J432" s="199"/>
    </row>
    <row r="433" s="96" customFormat="true" ht="15" hidden="false" customHeight="true" outlineLevel="0" collapsed="false">
      <c r="A433" s="97"/>
      <c r="C433" s="98"/>
      <c r="D433" s="98"/>
      <c r="E433" s="83"/>
      <c r="F433" s="98"/>
      <c r="H433" s="191"/>
      <c r="I433" s="191"/>
      <c r="J433" s="199"/>
    </row>
    <row r="434" s="96" customFormat="true" ht="15" hidden="false" customHeight="true" outlineLevel="0" collapsed="false">
      <c r="A434" s="97"/>
      <c r="C434" s="98"/>
      <c r="D434" s="98"/>
      <c r="E434" s="83"/>
      <c r="F434" s="98"/>
      <c r="H434" s="191"/>
      <c r="I434" s="191"/>
      <c r="J434" s="199"/>
    </row>
    <row r="435" s="96" customFormat="true" ht="15" hidden="false" customHeight="true" outlineLevel="0" collapsed="false">
      <c r="A435" s="81"/>
      <c r="C435" s="182"/>
      <c r="D435" s="98"/>
      <c r="E435" s="97"/>
      <c r="F435" s="216"/>
      <c r="H435" s="191"/>
      <c r="I435" s="191"/>
      <c r="J435" s="199"/>
    </row>
    <row r="436" s="96" customFormat="true" ht="15" hidden="false" customHeight="true" outlineLevel="0" collapsed="false">
      <c r="A436" s="99"/>
      <c r="B436" s="81"/>
      <c r="C436" s="98"/>
      <c r="D436" s="98"/>
      <c r="E436" s="97"/>
      <c r="F436" s="186"/>
      <c r="H436" s="191"/>
      <c r="I436" s="191"/>
      <c r="J436" s="199"/>
    </row>
    <row r="437" s="96" customFormat="true" ht="15" hidden="false" customHeight="true" outlineLevel="0" collapsed="false">
      <c r="B437" s="99"/>
      <c r="C437" s="98"/>
      <c r="D437" s="98"/>
      <c r="E437" s="97"/>
      <c r="F437" s="110"/>
      <c r="H437" s="191"/>
      <c r="I437" s="191"/>
      <c r="J437" s="199"/>
    </row>
    <row r="438" s="96" customFormat="true" ht="15" hidden="false" customHeight="true" outlineLevel="0" collapsed="false">
      <c r="A438" s="211" t="str">
        <f aca="false">A18</f>
        <v>240-15 Panel (7L8R)</v>
      </c>
      <c r="B438" s="99"/>
      <c r="C438" s="98"/>
      <c r="D438" s="98"/>
      <c r="E438" s="97"/>
      <c r="F438" s="110"/>
      <c r="H438" s="191"/>
      <c r="I438" s="191"/>
      <c r="J438" s="199"/>
    </row>
    <row r="439" s="96" customFormat="true" ht="15.75" hidden="false" customHeight="true" outlineLevel="0" collapsed="false">
      <c r="A439" s="90" t="str">
        <f aca="false">A19</f>
        <v>Outside Bi Fold Door </v>
      </c>
      <c r="C439" s="182"/>
      <c r="D439" s="98"/>
      <c r="E439" s="97"/>
      <c r="F439" s="186"/>
      <c r="H439" s="191"/>
      <c r="I439" s="191"/>
      <c r="J439" s="199"/>
    </row>
    <row r="440" s="96" customFormat="true" ht="15.75" hidden="false" customHeight="true" outlineLevel="0" collapsed="false">
      <c r="A440" s="81"/>
      <c r="C440" s="98"/>
      <c r="D440" s="98"/>
      <c r="E440" s="97"/>
      <c r="F440" s="78"/>
      <c r="H440" s="191"/>
      <c r="I440" s="191"/>
      <c r="J440" s="199"/>
    </row>
    <row r="441" s="96" customFormat="true" ht="15.75" hidden="false" customHeight="true" outlineLevel="0" collapsed="false">
      <c r="A441" s="191"/>
      <c r="C441" s="212"/>
      <c r="D441" s="98"/>
      <c r="E441" s="97"/>
      <c r="F441" s="97"/>
      <c r="H441" s="191"/>
      <c r="I441" s="191"/>
      <c r="J441" s="199"/>
    </row>
    <row r="442" s="96" customFormat="true" ht="15.75" hidden="false" customHeight="true" outlineLevel="0" collapsed="false">
      <c r="A442" s="190"/>
      <c r="C442" s="191"/>
      <c r="D442" s="192"/>
      <c r="E442" s="191"/>
      <c r="F442" s="191"/>
      <c r="H442" s="191"/>
      <c r="I442" s="191"/>
      <c r="J442" s="199"/>
    </row>
    <row r="443" s="96" customFormat="true" ht="34.5" hidden="false" customHeight="true" outlineLevel="0" collapsed="false">
      <c r="A443" s="97"/>
      <c r="C443" s="98"/>
      <c r="D443" s="194"/>
      <c r="E443" s="190"/>
      <c r="F443" s="189"/>
      <c r="H443" s="191"/>
      <c r="I443" s="196"/>
      <c r="J443" s="196"/>
    </row>
    <row r="444" customFormat="false" ht="15" hidden="false" customHeight="true" outlineLevel="0" collapsed="false">
      <c r="B444" s="211"/>
      <c r="C444" s="98"/>
      <c r="D444" s="98"/>
      <c r="E444" s="97"/>
      <c r="F444" s="98"/>
      <c r="G444" s="97"/>
      <c r="H444" s="97"/>
    </row>
    <row r="449" s="96" customFormat="true" ht="15.75" hidden="false" customHeight="true" outlineLevel="0" collapsed="false">
      <c r="A449" s="97"/>
      <c r="D449" s="73"/>
      <c r="I449" s="196"/>
      <c r="J449" s="196"/>
    </row>
    <row r="450" s="96" customFormat="true" ht="15.75" hidden="false" customHeight="true" outlineLevel="0" collapsed="false">
      <c r="A450" s="97"/>
      <c r="D450" s="98"/>
      <c r="E450" s="97"/>
      <c r="F450" s="98"/>
      <c r="G450" s="97"/>
      <c r="H450" s="97"/>
      <c r="I450" s="196"/>
      <c r="J450" s="196"/>
    </row>
    <row r="451" s="96" customFormat="true" ht="15.75" hidden="false" customHeight="true" outlineLevel="0" collapsed="false">
      <c r="A451" s="97"/>
      <c r="D451" s="98"/>
      <c r="E451" s="97"/>
      <c r="F451" s="98"/>
      <c r="G451" s="97"/>
      <c r="H451" s="97"/>
      <c r="I451" s="196"/>
      <c r="J451" s="196"/>
    </row>
    <row r="452" s="96" customFormat="true" ht="15.75" hidden="false" customHeight="true" outlineLevel="0" collapsed="false">
      <c r="A452" s="97"/>
      <c r="D452" s="98"/>
      <c r="E452" s="97"/>
      <c r="F452" s="98"/>
      <c r="G452" s="97"/>
      <c r="H452" s="97"/>
      <c r="I452" s="196"/>
      <c r="J452" s="196"/>
    </row>
    <row r="453" s="96" customFormat="true" ht="15.75" hidden="false" customHeight="true" outlineLevel="0" collapsed="false">
      <c r="A453" s="97"/>
      <c r="C453" s="191"/>
      <c r="D453" s="98"/>
      <c r="E453" s="97"/>
      <c r="F453" s="98"/>
      <c r="G453" s="97"/>
      <c r="H453" s="97"/>
      <c r="I453" s="196"/>
      <c r="J453" s="196"/>
    </row>
    <row r="454" s="96" customFormat="true" ht="15.75" hidden="false" customHeight="true" outlineLevel="0" collapsed="false">
      <c r="A454" s="97"/>
      <c r="C454" s="98"/>
      <c r="D454" s="98"/>
      <c r="E454" s="97"/>
      <c r="F454" s="98"/>
      <c r="G454" s="97"/>
      <c r="H454" s="97"/>
      <c r="I454" s="196"/>
      <c r="J454" s="196"/>
    </row>
    <row r="455" s="96" customFormat="true" ht="15.75" hidden="false" customHeight="true" outlineLevel="0" collapsed="false">
      <c r="A455" s="97"/>
      <c r="C455" s="98"/>
      <c r="D455" s="98"/>
      <c r="E455" s="97"/>
      <c r="F455" s="98"/>
      <c r="G455" s="97"/>
      <c r="H455" s="97"/>
      <c r="I455" s="97"/>
      <c r="J455" s="196"/>
    </row>
    <row r="456" s="96" customFormat="true" ht="15.75" hidden="false" customHeight="true" outlineLevel="0" collapsed="false">
      <c r="A456" s="97"/>
      <c r="C456" s="98"/>
      <c r="D456" s="98"/>
      <c r="E456" s="97"/>
      <c r="F456" s="98"/>
      <c r="G456" s="97"/>
      <c r="H456" s="97"/>
      <c r="I456" s="196"/>
      <c r="J456" s="196"/>
    </row>
    <row r="457" s="96" customFormat="true" ht="15.75" hidden="false" customHeight="true" outlineLevel="0" collapsed="false">
      <c r="A457" s="97"/>
      <c r="D457" s="98"/>
      <c r="E457" s="97"/>
      <c r="F457" s="97"/>
      <c r="G457" s="97"/>
      <c r="H457" s="97"/>
      <c r="I457" s="196"/>
      <c r="J457" s="196"/>
    </row>
    <row r="458" s="96" customFormat="true" ht="15" hidden="false" customHeight="true" outlineLevel="0" collapsed="false">
      <c r="A458" s="97"/>
      <c r="D458" s="98"/>
      <c r="E458" s="97"/>
      <c r="F458" s="97"/>
      <c r="G458" s="97"/>
      <c r="H458" s="195"/>
      <c r="I458" s="196"/>
      <c r="J458" s="196"/>
    </row>
    <row r="459" s="96" customFormat="true" ht="15" hidden="false" customHeight="true" outlineLevel="0" collapsed="false">
      <c r="A459" s="97"/>
      <c r="D459" s="98"/>
      <c r="E459" s="97"/>
      <c r="F459" s="97"/>
      <c r="G459" s="97"/>
      <c r="H459" s="97"/>
      <c r="I459" s="196"/>
      <c r="J459" s="196"/>
    </row>
    <row r="460" s="96" customFormat="true" ht="15" hidden="false" customHeight="true" outlineLevel="0" collapsed="false">
      <c r="A460" s="97"/>
      <c r="D460" s="98"/>
      <c r="E460" s="97"/>
      <c r="F460" s="97"/>
      <c r="G460" s="97"/>
      <c r="H460" s="97"/>
      <c r="I460" s="196"/>
      <c r="J460" s="196"/>
    </row>
    <row r="461" s="96" customFormat="true" ht="15" hidden="false" customHeight="true" outlineLevel="0" collapsed="false">
      <c r="A461" s="97"/>
      <c r="D461" s="98"/>
      <c r="E461" s="97"/>
      <c r="F461" s="97"/>
      <c r="G461" s="97"/>
      <c r="H461" s="97"/>
      <c r="I461" s="196"/>
      <c r="J461" s="196"/>
    </row>
    <row r="462" s="96" customFormat="true" ht="15" hidden="false" customHeight="true" outlineLevel="0" collapsed="false">
      <c r="A462" s="97"/>
      <c r="D462" s="98"/>
      <c r="E462" s="97"/>
      <c r="F462" s="97"/>
      <c r="G462" s="97"/>
      <c r="H462" s="97"/>
      <c r="I462" s="196"/>
      <c r="J462" s="196"/>
    </row>
    <row r="463" s="96" customFormat="true" ht="15" hidden="false" customHeight="true" outlineLevel="0" collapsed="false">
      <c r="A463" s="97"/>
      <c r="D463" s="98"/>
      <c r="E463" s="97"/>
      <c r="F463" s="97"/>
      <c r="G463" s="97"/>
      <c r="H463" s="97"/>
      <c r="I463" s="196"/>
      <c r="J463" s="196"/>
    </row>
    <row r="464" s="96" customFormat="true" ht="15" hidden="false" customHeight="true" outlineLevel="0" collapsed="false">
      <c r="A464" s="97"/>
      <c r="D464" s="98"/>
      <c r="E464" s="97"/>
      <c r="F464" s="97"/>
      <c r="G464" s="97"/>
      <c r="H464" s="97"/>
      <c r="I464" s="196"/>
      <c r="J464" s="196"/>
    </row>
    <row r="465" s="96" customFormat="true" ht="15" hidden="false" customHeight="true" outlineLevel="0" collapsed="false">
      <c r="A465" s="97"/>
      <c r="D465" s="98"/>
      <c r="E465" s="97"/>
      <c r="F465" s="97"/>
      <c r="G465" s="97"/>
      <c r="H465" s="97"/>
      <c r="I465" s="196"/>
      <c r="J465" s="196"/>
    </row>
    <row r="466" s="96" customFormat="true" ht="15" hidden="false" customHeight="true" outlineLevel="0" collapsed="false">
      <c r="A466" s="97"/>
      <c r="D466" s="98"/>
      <c r="E466" s="97"/>
      <c r="F466" s="97"/>
      <c r="G466" s="97"/>
      <c r="H466" s="97"/>
      <c r="I466" s="196"/>
      <c r="J466" s="196"/>
    </row>
    <row r="467" s="96" customFormat="true" ht="15" hidden="false" customHeight="true" outlineLevel="0" collapsed="false">
      <c r="A467" s="97"/>
      <c r="D467" s="98"/>
      <c r="E467" s="97"/>
      <c r="F467" s="97"/>
      <c r="G467" s="97"/>
      <c r="H467" s="97"/>
      <c r="I467" s="196"/>
      <c r="J467" s="196"/>
    </row>
    <row r="468" s="96" customFormat="true" ht="15" hidden="false" customHeight="true" outlineLevel="0" collapsed="false">
      <c r="A468" s="97"/>
      <c r="D468" s="98"/>
      <c r="E468" s="97"/>
      <c r="F468" s="97"/>
      <c r="G468" s="97"/>
      <c r="H468" s="97"/>
      <c r="I468" s="196"/>
      <c r="J468" s="196"/>
    </row>
    <row r="469" s="96" customFormat="true" ht="15" hidden="false" customHeight="true" outlineLevel="0" collapsed="false">
      <c r="A469" s="97"/>
      <c r="D469" s="98"/>
      <c r="E469" s="97"/>
      <c r="F469" s="97"/>
      <c r="G469" s="97"/>
      <c r="H469" s="97"/>
      <c r="I469" s="196"/>
      <c r="J469" s="196"/>
    </row>
    <row r="470" s="96" customFormat="true" ht="15" hidden="false" customHeight="true" outlineLevel="0" collapsed="false">
      <c r="A470" s="97"/>
      <c r="D470" s="98"/>
      <c r="E470" s="97"/>
      <c r="F470" s="97"/>
      <c r="G470" s="97"/>
      <c r="H470" s="97"/>
      <c r="I470" s="196"/>
      <c r="J470" s="196"/>
    </row>
    <row r="471" s="96" customFormat="true" ht="15" hidden="false" customHeight="true" outlineLevel="0" collapsed="false">
      <c r="A471" s="97"/>
      <c r="D471" s="98"/>
      <c r="E471" s="97"/>
      <c r="F471" s="97"/>
      <c r="G471" s="97"/>
      <c r="H471" s="97"/>
      <c r="I471" s="196"/>
      <c r="J471" s="196"/>
    </row>
    <row r="472" s="96" customFormat="true" ht="15" hidden="false" customHeight="true" outlineLevel="0" collapsed="false">
      <c r="A472" s="97"/>
      <c r="D472" s="98"/>
      <c r="E472" s="97"/>
      <c r="F472" s="97"/>
      <c r="G472" s="97"/>
      <c r="H472" s="97"/>
      <c r="I472" s="196"/>
      <c r="J472" s="196"/>
    </row>
    <row r="473" s="96" customFormat="true" ht="15" hidden="false" customHeight="true" outlineLevel="0" collapsed="false">
      <c r="A473" s="97"/>
      <c r="D473" s="98"/>
      <c r="E473" s="97"/>
      <c r="F473" s="97"/>
      <c r="G473" s="97"/>
      <c r="H473" s="97"/>
      <c r="I473" s="196"/>
      <c r="J473" s="196"/>
    </row>
    <row r="474" s="96" customFormat="true" ht="15" hidden="false" customHeight="true" outlineLevel="0" collapsed="false">
      <c r="A474" s="97"/>
      <c r="D474" s="98"/>
      <c r="E474" s="97"/>
      <c r="F474" s="97"/>
      <c r="G474" s="97"/>
      <c r="H474" s="97"/>
      <c r="I474" s="196"/>
      <c r="J474" s="196"/>
    </row>
    <row r="475" s="96" customFormat="true" ht="15" hidden="false" customHeight="true" outlineLevel="0" collapsed="false">
      <c r="A475" s="97"/>
      <c r="D475" s="98"/>
      <c r="E475" s="97"/>
      <c r="F475" s="97"/>
      <c r="G475" s="97"/>
      <c r="H475" s="97"/>
      <c r="I475" s="196"/>
      <c r="J475" s="196"/>
    </row>
    <row r="476" s="202" customFormat="true" ht="15.75" hidden="false" customHeight="true" outlineLevel="0" collapsed="false">
      <c r="A476" s="97"/>
      <c r="B476" s="96"/>
      <c r="C476" s="96"/>
      <c r="D476" s="98"/>
      <c r="E476" s="97"/>
      <c r="F476" s="97"/>
      <c r="G476" s="97"/>
      <c r="H476" s="97"/>
      <c r="I476" s="97"/>
      <c r="J476" s="97"/>
    </row>
    <row r="477" s="96" customFormat="true" ht="15.75" hidden="false" customHeight="true" outlineLevel="0" collapsed="false">
      <c r="A477" s="191"/>
      <c r="D477" s="98"/>
      <c r="E477" s="97"/>
      <c r="F477" s="97"/>
      <c r="G477" s="97"/>
      <c r="H477" s="97"/>
      <c r="I477" s="191"/>
      <c r="J477" s="199"/>
    </row>
    <row r="478" s="96" customFormat="true" ht="15.75" hidden="false" customHeight="true" outlineLevel="0" collapsed="false">
      <c r="A478" s="190"/>
      <c r="B478" s="191"/>
      <c r="C478" s="191"/>
      <c r="D478" s="192"/>
      <c r="E478" s="191"/>
      <c r="F478" s="191"/>
      <c r="G478" s="191"/>
      <c r="H478" s="191"/>
      <c r="I478" s="189"/>
      <c r="J478" s="190"/>
    </row>
    <row r="479" s="96" customFormat="true" ht="15.75" hidden="false" customHeight="true" outlineLevel="0" collapsed="false">
      <c r="A479" s="200"/>
      <c r="B479" s="190"/>
      <c r="C479" s="191"/>
      <c r="D479" s="194"/>
      <c r="E479" s="190"/>
      <c r="F479" s="189"/>
      <c r="G479" s="190"/>
      <c r="H479" s="189"/>
      <c r="I479" s="196"/>
      <c r="J479" s="196"/>
    </row>
    <row r="480" s="96" customFormat="true" ht="15.75" hidden="false" customHeight="true" outlineLevel="0" collapsed="false">
      <c r="A480" s="200"/>
      <c r="C480" s="182"/>
      <c r="D480" s="98"/>
      <c r="E480" s="97"/>
      <c r="F480" s="97"/>
      <c r="G480" s="97"/>
      <c r="H480" s="182"/>
      <c r="J480" s="97"/>
    </row>
    <row r="481" s="96" customFormat="true" ht="15.75" hidden="false" customHeight="true" outlineLevel="0" collapsed="false">
      <c r="A481" s="200"/>
      <c r="C481" s="98"/>
      <c r="D481" s="98"/>
      <c r="E481" s="97"/>
      <c r="F481" s="97"/>
      <c r="G481" s="97"/>
      <c r="J481" s="97"/>
    </row>
    <row r="482" s="96" customFormat="true" ht="15.75" hidden="false" customHeight="true" outlineLevel="0" collapsed="false">
      <c r="A482" s="200"/>
      <c r="C482" s="98"/>
      <c r="D482" s="98"/>
      <c r="E482" s="97"/>
      <c r="F482" s="97"/>
      <c r="G482" s="97"/>
      <c r="I482" s="196"/>
      <c r="J482" s="196"/>
    </row>
    <row r="483" s="96" customFormat="true" ht="15.75" hidden="false" customHeight="true" outlineLevel="0" collapsed="false">
      <c r="A483" s="200"/>
      <c r="D483" s="98"/>
      <c r="E483" s="97"/>
      <c r="F483" s="97"/>
      <c r="G483" s="97"/>
      <c r="H483" s="97"/>
      <c r="I483" s="196"/>
      <c r="J483" s="196"/>
    </row>
    <row r="484" s="96" customFormat="true" ht="15.75" hidden="false" customHeight="true" outlineLevel="0" collapsed="false">
      <c r="A484" s="200"/>
      <c r="D484" s="98"/>
      <c r="E484" s="97"/>
      <c r="F484" s="97"/>
      <c r="G484" s="97"/>
      <c r="H484" s="97"/>
      <c r="I484" s="196"/>
      <c r="J484" s="196"/>
    </row>
    <row r="485" s="96" customFormat="true" ht="15.75" hidden="false" customHeight="true" outlineLevel="0" collapsed="false">
      <c r="A485" s="200"/>
      <c r="D485" s="98"/>
      <c r="E485" s="97"/>
      <c r="F485" s="97"/>
      <c r="G485" s="97"/>
      <c r="H485" s="97"/>
      <c r="I485" s="196"/>
      <c r="J485" s="196"/>
    </row>
    <row r="486" s="96" customFormat="true" ht="15.75" hidden="false" customHeight="true" outlineLevel="0" collapsed="false">
      <c r="A486" s="200"/>
      <c r="C486" s="98"/>
      <c r="D486" s="98"/>
      <c r="E486" s="97"/>
      <c r="F486" s="97"/>
      <c r="G486" s="97"/>
      <c r="H486" s="97"/>
      <c r="I486" s="196"/>
      <c r="J486" s="196"/>
    </row>
    <row r="487" s="96" customFormat="true" ht="15.75" hidden="false" customHeight="true" outlineLevel="0" collapsed="false">
      <c r="A487" s="200"/>
      <c r="D487" s="98"/>
      <c r="E487" s="97"/>
      <c r="F487" s="97"/>
      <c r="G487" s="97"/>
      <c r="H487" s="97"/>
      <c r="I487" s="196"/>
      <c r="J487" s="196"/>
    </row>
    <row r="488" s="96" customFormat="true" ht="15.75" hidden="false" customHeight="true" outlineLevel="0" collapsed="false">
      <c r="A488" s="200"/>
      <c r="D488" s="98"/>
      <c r="E488" s="97"/>
      <c r="F488" s="97"/>
      <c r="G488" s="97"/>
      <c r="H488" s="97"/>
      <c r="I488" s="196"/>
      <c r="J488" s="196"/>
    </row>
    <row r="489" s="96" customFormat="true" ht="15.75" hidden="false" customHeight="true" outlineLevel="0" collapsed="false">
      <c r="A489" s="200"/>
      <c r="D489" s="98"/>
      <c r="E489" s="97"/>
      <c r="F489" s="97"/>
      <c r="G489" s="97"/>
      <c r="H489" s="97"/>
      <c r="I489" s="196"/>
      <c r="J489" s="196"/>
    </row>
    <row r="490" s="96" customFormat="true" ht="15.75" hidden="false" customHeight="true" outlineLevel="0" collapsed="false">
      <c r="A490" s="200"/>
      <c r="D490" s="98"/>
      <c r="E490" s="97"/>
      <c r="F490" s="97"/>
      <c r="G490" s="97"/>
      <c r="H490" s="97"/>
      <c r="I490" s="196"/>
      <c r="J490" s="196"/>
    </row>
    <row r="491" s="96" customFormat="true" ht="15.75" hidden="false" customHeight="true" outlineLevel="0" collapsed="false">
      <c r="A491" s="200"/>
      <c r="D491" s="98"/>
      <c r="E491" s="97"/>
      <c r="F491" s="97"/>
      <c r="G491" s="97"/>
      <c r="H491" s="97"/>
      <c r="I491" s="196"/>
      <c r="J491" s="196"/>
    </row>
    <row r="492" s="96" customFormat="true" ht="15.75" hidden="false" customHeight="true" outlineLevel="0" collapsed="false">
      <c r="A492" s="200"/>
      <c r="D492" s="98"/>
      <c r="E492" s="97"/>
      <c r="F492" s="97"/>
      <c r="G492" s="97"/>
      <c r="H492" s="97"/>
      <c r="I492" s="196"/>
      <c r="J492" s="196"/>
    </row>
    <row r="493" s="96" customFormat="true" ht="15.75" hidden="false" customHeight="true" outlineLevel="0" collapsed="false">
      <c r="A493" s="200"/>
      <c r="D493" s="98"/>
      <c r="E493" s="97"/>
      <c r="F493" s="97"/>
      <c r="G493" s="97"/>
      <c r="H493" s="97"/>
      <c r="I493" s="196"/>
      <c r="J493" s="196"/>
    </row>
    <row r="494" s="96" customFormat="true" ht="15.75" hidden="false" customHeight="true" outlineLevel="0" collapsed="false">
      <c r="A494" s="200"/>
      <c r="D494" s="98"/>
      <c r="E494" s="97"/>
      <c r="F494" s="97"/>
      <c r="I494" s="196"/>
      <c r="J494" s="196"/>
    </row>
    <row r="495" s="96" customFormat="true" ht="15.75" hidden="false" customHeight="true" outlineLevel="0" collapsed="false">
      <c r="A495" s="200"/>
      <c r="D495" s="98"/>
      <c r="E495" s="97"/>
      <c r="F495" s="97"/>
      <c r="G495" s="97"/>
      <c r="H495" s="97"/>
      <c r="I495" s="196"/>
      <c r="J495" s="196"/>
    </row>
    <row r="496" s="96" customFormat="true" ht="15.75" hidden="false" customHeight="true" outlineLevel="0" collapsed="false">
      <c r="A496" s="200"/>
      <c r="D496" s="98"/>
      <c r="E496" s="97"/>
      <c r="F496" s="97"/>
      <c r="G496" s="97"/>
      <c r="H496" s="97"/>
      <c r="I496" s="196"/>
      <c r="J496" s="196"/>
    </row>
    <row r="497" s="96" customFormat="true" ht="15.75" hidden="false" customHeight="true" outlineLevel="0" collapsed="false">
      <c r="A497" s="200"/>
      <c r="D497" s="98"/>
      <c r="E497" s="97"/>
      <c r="F497" s="97"/>
      <c r="G497" s="97"/>
      <c r="H497" s="97"/>
      <c r="I497" s="196"/>
      <c r="J497" s="196"/>
    </row>
    <row r="498" s="96" customFormat="true" ht="15.75" hidden="false" customHeight="true" outlineLevel="0" collapsed="false">
      <c r="A498" s="200"/>
      <c r="D498" s="98"/>
      <c r="E498" s="97"/>
      <c r="F498" s="97"/>
      <c r="G498" s="97"/>
      <c r="H498" s="182"/>
      <c r="J498" s="97"/>
    </row>
    <row r="499" s="96" customFormat="true" ht="15.75" hidden="false" customHeight="true" outlineLevel="0" collapsed="false">
      <c r="A499" s="200"/>
      <c r="C499" s="188"/>
      <c r="D499" s="98"/>
      <c r="E499" s="97"/>
      <c r="F499" s="97"/>
      <c r="G499" s="97"/>
      <c r="J499" s="97"/>
    </row>
    <row r="500" s="96" customFormat="true" ht="15.75" hidden="false" customHeight="true" outlineLevel="0" collapsed="false">
      <c r="A500" s="200"/>
      <c r="D500" s="98"/>
      <c r="E500" s="97"/>
      <c r="F500" s="97"/>
      <c r="G500" s="97"/>
      <c r="I500" s="196"/>
      <c r="J500" s="196"/>
    </row>
    <row r="501" s="96" customFormat="true" ht="15.75" hidden="false" customHeight="true" outlineLevel="0" collapsed="false">
      <c r="A501" s="200"/>
      <c r="C501" s="98"/>
      <c r="D501" s="98"/>
      <c r="E501" s="97"/>
      <c r="F501" s="97"/>
      <c r="G501" s="97"/>
      <c r="H501" s="182"/>
      <c r="J501" s="97"/>
    </row>
    <row r="502" s="96" customFormat="true" ht="15.75" hidden="false" customHeight="true" outlineLevel="0" collapsed="false">
      <c r="A502" s="200"/>
      <c r="D502" s="98"/>
      <c r="E502" s="97"/>
      <c r="F502" s="97"/>
      <c r="G502" s="97"/>
      <c r="J502" s="97"/>
    </row>
    <row r="503" s="96" customFormat="true" ht="15.75" hidden="false" customHeight="true" outlineLevel="0" collapsed="false">
      <c r="A503" s="200"/>
      <c r="D503" s="98"/>
      <c r="E503" s="97"/>
      <c r="F503" s="97"/>
      <c r="G503" s="97"/>
      <c r="I503" s="196"/>
      <c r="J503" s="196"/>
    </row>
    <row r="504" s="96" customFormat="true" ht="15.75" hidden="false" customHeight="true" outlineLevel="0" collapsed="false">
      <c r="A504" s="200"/>
      <c r="D504" s="98"/>
      <c r="E504" s="97"/>
      <c r="F504" s="97"/>
      <c r="G504" s="97"/>
      <c r="H504" s="97"/>
      <c r="I504" s="196"/>
      <c r="J504" s="196"/>
    </row>
    <row r="505" s="96" customFormat="true" ht="15.75" hidden="false" customHeight="true" outlineLevel="0" collapsed="false">
      <c r="A505" s="200"/>
      <c r="D505" s="98"/>
      <c r="E505" s="97"/>
      <c r="F505" s="97"/>
      <c r="G505" s="97"/>
      <c r="H505" s="97"/>
      <c r="I505" s="196"/>
      <c r="J505" s="196"/>
    </row>
    <row r="506" s="96" customFormat="true" ht="15.75" hidden="false" customHeight="true" outlineLevel="0" collapsed="false">
      <c r="A506" s="200"/>
      <c r="D506" s="98"/>
      <c r="E506" s="97"/>
      <c r="F506" s="97"/>
      <c r="G506" s="97"/>
      <c r="H506" s="97"/>
      <c r="I506" s="97"/>
      <c r="J506" s="196"/>
    </row>
    <row r="507" s="96" customFormat="true" ht="15.75" hidden="false" customHeight="true" outlineLevel="0" collapsed="false">
      <c r="A507" s="200"/>
      <c r="D507" s="98"/>
      <c r="E507" s="97"/>
      <c r="F507" s="97"/>
      <c r="G507" s="97"/>
      <c r="H507" s="97"/>
      <c r="I507" s="97"/>
      <c r="J507" s="196"/>
    </row>
    <row r="508" s="96" customFormat="true" ht="15.75" hidden="false" customHeight="true" outlineLevel="0" collapsed="false">
      <c r="A508" s="200"/>
      <c r="D508" s="98"/>
      <c r="E508" s="97"/>
      <c r="F508" s="97"/>
      <c r="G508" s="97"/>
      <c r="H508" s="97"/>
      <c r="I508" s="97"/>
      <c r="J508" s="196"/>
    </row>
    <row r="509" s="96" customFormat="true" ht="15.75" hidden="false" customHeight="true" outlineLevel="0" collapsed="false">
      <c r="A509" s="200"/>
      <c r="D509" s="98"/>
      <c r="E509" s="97"/>
      <c r="F509" s="97"/>
      <c r="G509" s="97"/>
      <c r="H509" s="97"/>
      <c r="I509" s="97"/>
      <c r="J509" s="196"/>
    </row>
    <row r="510" s="96" customFormat="true" ht="15.75" hidden="false" customHeight="true" outlineLevel="0" collapsed="false">
      <c r="A510" s="200"/>
      <c r="D510" s="98"/>
      <c r="E510" s="97"/>
      <c r="F510" s="97"/>
      <c r="G510" s="97"/>
      <c r="H510" s="97"/>
      <c r="I510" s="97"/>
      <c r="J510" s="196"/>
    </row>
    <row r="511" s="96" customFormat="true" ht="15.75" hidden="false" customHeight="true" outlineLevel="0" collapsed="false">
      <c r="A511" s="200"/>
      <c r="D511" s="98"/>
      <c r="E511" s="97"/>
      <c r="F511" s="97"/>
      <c r="G511" s="97"/>
      <c r="H511" s="97"/>
      <c r="I511" s="97"/>
      <c r="J511" s="196"/>
    </row>
    <row r="512" s="96" customFormat="true" ht="15.75" hidden="false" customHeight="true" outlineLevel="0" collapsed="false">
      <c r="A512" s="191"/>
      <c r="D512" s="98"/>
      <c r="E512" s="97"/>
      <c r="F512" s="97"/>
      <c r="G512" s="97"/>
      <c r="I512" s="191"/>
      <c r="J512" s="199"/>
    </row>
    <row r="513" s="96" customFormat="true" ht="15.75" hidden="false" customHeight="true" outlineLevel="0" collapsed="false">
      <c r="A513" s="191"/>
      <c r="D513" s="98"/>
      <c r="E513" s="97"/>
      <c r="F513" s="97"/>
      <c r="G513" s="97"/>
      <c r="I513" s="191"/>
      <c r="J513" s="199"/>
    </row>
    <row r="514" s="96" customFormat="true" ht="15.75" hidden="false" customHeight="true" outlineLevel="0" collapsed="false">
      <c r="A514" s="191"/>
      <c r="D514" s="98"/>
      <c r="E514" s="97"/>
      <c r="F514" s="97"/>
      <c r="G514" s="97"/>
      <c r="I514" s="191"/>
      <c r="J514" s="199"/>
    </row>
    <row r="515" s="96" customFormat="true" ht="15.75" hidden="false" customHeight="true" outlineLevel="0" collapsed="false">
      <c r="B515" s="191"/>
      <c r="C515" s="191"/>
      <c r="D515" s="192"/>
      <c r="E515" s="191"/>
      <c r="F515" s="191"/>
      <c r="G515" s="191"/>
      <c r="H515" s="191"/>
    </row>
    <row r="516" s="96" customFormat="true" ht="15.75" hidden="false" customHeight="true" outlineLevel="0" collapsed="false"/>
    <row r="517" s="96" customFormat="true" ht="24.75" hidden="false" customHeight="true" outlineLevel="0" collapsed="false">
      <c r="A517" s="88" t="s">
        <v>482</v>
      </c>
      <c r="B517" s="88"/>
      <c r="C517" s="88"/>
      <c r="D517" s="88"/>
      <c r="E517" s="88"/>
      <c r="F517" s="88"/>
      <c r="G517" s="88"/>
      <c r="H517" s="88"/>
      <c r="I517" s="88"/>
      <c r="J517" s="88"/>
    </row>
    <row r="518" s="96" customFormat="true" ht="34.5" hidden="false" customHeight="true" outlineLevel="0" collapsed="false">
      <c r="A518" s="322" t="s">
        <v>319</v>
      </c>
      <c r="B518" s="323" t="s">
        <v>168</v>
      </c>
      <c r="C518" s="115" t="s">
        <v>168</v>
      </c>
      <c r="D518" s="116" t="s">
        <v>483</v>
      </c>
      <c r="E518" s="115" t="s">
        <v>321</v>
      </c>
      <c r="F518" s="239" t="s">
        <v>484</v>
      </c>
      <c r="G518" s="240"/>
      <c r="H518" s="116" t="s">
        <v>484</v>
      </c>
      <c r="I518" s="116" t="s">
        <v>485</v>
      </c>
      <c r="J518" s="117" t="s">
        <v>323</v>
      </c>
      <c r="N518" s="118" t="s">
        <v>168</v>
      </c>
      <c r="O518" s="118" t="s">
        <v>168</v>
      </c>
    </row>
    <row r="519" s="96" customFormat="true" ht="15.75" hidden="false" customHeight="true" outlineLevel="0" collapsed="false">
      <c r="A519" s="324" t="n">
        <f aca="false">IF(C519="","",1)</f>
        <v>1</v>
      </c>
      <c r="B519" s="121" t="str">
        <f aca="false">IF($D$127=5,N519,IF($D$127=6,N520,IF($D$127=8,N521,IF($D$127=10,N522,IF($D$127=12,N523,IF($D$127=14,N524,IF($D$127=18,N525,IF($D$127=20,N526,IF($D$127=22,N527,)))))))))</f>
        <v>กระจก 5 mm (สูง) (กว้าง)</v>
      </c>
      <c r="C519" s="121" t="str">
        <f aca="false">IF($D$127=5,O519,IF($D$127=6,O520,IF($D$127=8,O521,IF($D$127=10,O522,IF($D$127=12,O523,IF($D$127=14,O524,IF($D$127=18,O525,IF($D$127=20,O526,IF($D$127=22,O527,)))))))))</f>
        <v>GLASS thk.5 mm (H) (W)</v>
      </c>
      <c r="D519" s="123" t="n">
        <f aca="false">$J$123-215</f>
        <v>2285</v>
      </c>
      <c r="E519" s="120" t="s">
        <v>486</v>
      </c>
      <c r="F519" s="224" t="s">
        <v>487</v>
      </c>
      <c r="G519" s="224"/>
      <c r="H519" s="120" t="s">
        <v>829</v>
      </c>
      <c r="I519" s="225" t="n">
        <f aca="false">(($J$126-185-(113.25*14))/15)-13</f>
        <v>2.3</v>
      </c>
      <c r="J519" s="232" t="n">
        <f aca="false">$J$120*15</f>
        <v>15</v>
      </c>
      <c r="N519" s="62" t="s">
        <v>489</v>
      </c>
      <c r="O519" s="62" t="s">
        <v>490</v>
      </c>
    </row>
    <row r="520" s="96" customFormat="true" ht="15.75" hidden="false" customHeight="true" outlineLevel="0" collapsed="false">
      <c r="A520" s="227"/>
      <c r="B520" s="131"/>
      <c r="C520" s="131"/>
      <c r="D520" s="132" t="s">
        <v>208</v>
      </c>
      <c r="E520" s="130"/>
      <c r="F520" s="233"/>
      <c r="G520" s="234"/>
      <c r="H520" s="131"/>
      <c r="I520" s="133"/>
      <c r="J520" s="235"/>
      <c r="N520" s="62" t="s">
        <v>491</v>
      </c>
      <c r="O520" s="62" t="s">
        <v>492</v>
      </c>
    </row>
    <row r="521" s="96" customFormat="true" ht="15.75" hidden="false" customHeight="true" outlineLevel="0" collapsed="false">
      <c r="A521" s="227"/>
      <c r="B521" s="131"/>
      <c r="C521" s="131"/>
      <c r="D521" s="132"/>
      <c r="E521" s="130"/>
      <c r="F521" s="233"/>
      <c r="G521" s="234"/>
      <c r="H521" s="130"/>
      <c r="I521" s="133"/>
      <c r="J521" s="235"/>
      <c r="N521" s="62" t="s">
        <v>493</v>
      </c>
      <c r="O521" s="62" t="s">
        <v>494</v>
      </c>
    </row>
    <row r="522" s="96" customFormat="true" ht="15.75" hidden="false" customHeight="true" outlineLevel="0" collapsed="false">
      <c r="A522" s="130" t="str">
        <f aca="false">IF(B522="","",+A520+1)</f>
        <v/>
      </c>
      <c r="B522" s="131"/>
      <c r="C522" s="131"/>
      <c r="D522" s="132"/>
      <c r="E522" s="130"/>
      <c r="F522" s="233"/>
      <c r="G522" s="270"/>
      <c r="H522" s="130"/>
      <c r="I522" s="142"/>
      <c r="J522" s="133"/>
      <c r="N522" s="62" t="s">
        <v>495</v>
      </c>
      <c r="O522" s="62" t="s">
        <v>496</v>
      </c>
    </row>
    <row r="523" s="96" customFormat="true" ht="15.75" hidden="false" customHeight="true" outlineLevel="0" collapsed="false">
      <c r="A523" s="136" t="str">
        <f aca="false">IF(B523="","",+A522+1)</f>
        <v/>
      </c>
      <c r="B523" s="135"/>
      <c r="C523" s="135"/>
      <c r="D523" s="139"/>
      <c r="E523" s="136"/>
      <c r="F523" s="236"/>
      <c r="G523" s="237"/>
      <c r="H523" s="136"/>
      <c r="I523" s="180"/>
      <c r="J523" s="140"/>
      <c r="N523" s="62" t="s">
        <v>497</v>
      </c>
      <c r="O523" s="62" t="s">
        <v>498</v>
      </c>
    </row>
    <row r="524" s="96" customFormat="true" ht="15.75" hidden="false" customHeight="true" outlineLevel="0" collapsed="false">
      <c r="A524" s="97"/>
      <c r="D524" s="98"/>
      <c r="E524" s="97"/>
      <c r="F524" s="97"/>
      <c r="G524" s="97"/>
      <c r="H524" s="97"/>
      <c r="I524" s="97"/>
      <c r="J524" s="196"/>
      <c r="N524" s="62" t="s">
        <v>499</v>
      </c>
      <c r="O524" s="62" t="s">
        <v>500</v>
      </c>
    </row>
    <row r="525" customFormat="false" ht="14.25" hidden="false" customHeight="false" outlineLevel="0" collapsed="false">
      <c r="J525" s="92" t="str">
        <f aca="false">LEFT($J$111,14)&amp;"-05"</f>
        <v>FG-240-15P7L8R-05</v>
      </c>
      <c r="M525" s="96"/>
      <c r="N525" s="62" t="s">
        <v>501</v>
      </c>
      <c r="O525" s="62" t="s">
        <v>502</v>
      </c>
      <c r="P525" s="96"/>
      <c r="Q525" s="96"/>
      <c r="R525" s="96"/>
      <c r="S525" s="96"/>
      <c r="T525" s="96"/>
      <c r="U525" s="96"/>
      <c r="V525" s="96"/>
    </row>
    <row r="526" customFormat="false" ht="14.25" hidden="false" customHeight="false" outlineLevel="0" collapsed="false">
      <c r="M526" s="96"/>
      <c r="N526" s="62" t="s">
        <v>503</v>
      </c>
      <c r="O526" s="62" t="s">
        <v>504</v>
      </c>
      <c r="P526" s="96"/>
      <c r="Q526" s="96"/>
      <c r="R526" s="96"/>
      <c r="S526" s="96"/>
      <c r="T526" s="96"/>
      <c r="U526" s="96"/>
      <c r="V526" s="96"/>
    </row>
    <row r="527" customFormat="false" ht="14.25" hidden="false" customHeight="false" outlineLevel="0" collapsed="false">
      <c r="M527" s="96"/>
      <c r="N527" s="62" t="s">
        <v>505</v>
      </c>
      <c r="O527" s="62" t="s">
        <v>506</v>
      </c>
      <c r="P527" s="96"/>
      <c r="Q527" s="96"/>
      <c r="R527" s="96"/>
      <c r="S527" s="96"/>
      <c r="T527" s="96"/>
      <c r="U527" s="96"/>
      <c r="V527" s="96"/>
    </row>
    <row r="528" customFormat="false" ht="14.25" hidden="false" customHeight="false" outlineLevel="0" collapsed="false">
      <c r="M528" s="96"/>
      <c r="N528" s="96"/>
      <c r="O528" s="96"/>
      <c r="P528" s="96"/>
      <c r="Q528" s="96"/>
      <c r="R528" s="96"/>
      <c r="S528" s="96"/>
      <c r="T528" s="96"/>
      <c r="U528" s="96"/>
      <c r="V528" s="96"/>
    </row>
    <row r="529" customFormat="false" ht="14.25" hidden="false" customHeight="false" outlineLevel="0" collapsed="false">
      <c r="M529" s="96"/>
      <c r="N529" s="96"/>
      <c r="O529" s="96"/>
      <c r="P529" s="96"/>
      <c r="Q529" s="96"/>
      <c r="R529" s="96"/>
      <c r="S529" s="96"/>
      <c r="T529" s="96"/>
      <c r="U529" s="96"/>
      <c r="V529" s="96"/>
    </row>
  </sheetData>
  <mergeCells count="47"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2:J152"/>
    <mergeCell ref="I153:J153"/>
    <mergeCell ref="I154:J154"/>
    <mergeCell ref="I155:J155"/>
    <mergeCell ref="I156:J156"/>
    <mergeCell ref="D157:D158"/>
    <mergeCell ref="H157:H158"/>
    <mergeCell ref="I157:J158"/>
    <mergeCell ref="D159:D160"/>
    <mergeCell ref="H159:H160"/>
    <mergeCell ref="I159:J159"/>
    <mergeCell ref="I160:J163"/>
    <mergeCell ref="D161:D166"/>
    <mergeCell ref="H161:H166"/>
    <mergeCell ref="I164:J165"/>
    <mergeCell ref="I166:J166"/>
    <mergeCell ref="D167:D168"/>
    <mergeCell ref="H167:H168"/>
    <mergeCell ref="D169:D170"/>
    <mergeCell ref="H169:H170"/>
    <mergeCell ref="I170:J170"/>
    <mergeCell ref="A171:J171"/>
    <mergeCell ref="A212:J212"/>
    <mergeCell ref="C307:E307"/>
    <mergeCell ref="A319:J319"/>
    <mergeCell ref="F329:G329"/>
    <mergeCell ref="F330:G330"/>
    <mergeCell ref="F333:G333"/>
    <mergeCell ref="A426:J426"/>
    <mergeCell ref="A517:J517"/>
    <mergeCell ref="F519:G519"/>
  </mergeCells>
  <dataValidations count="4">
    <dataValidation allowBlank="true" errorStyle="stop" operator="between" showDropDown="false" showErrorMessage="true" showInputMessage="true" sqref="C205" type="list">
      <formula1>$O$173:$O$191</formula1>
      <formula2>0</formula2>
    </dataValidation>
    <dataValidation allowBlank="true" errorStyle="stop" operator="between" showDropDown="false" showErrorMessage="true" showInputMessage="true" sqref="D123:G123" type="list">
      <formula1>$P$118:$P$127</formula1>
      <formula2>0</formula2>
    </dataValidation>
    <dataValidation allowBlank="true" errorStyle="stop" operator="between" showDropDown="false" showErrorMessage="true" showInputMessage="true" sqref="D127:G127" type="list">
      <formula1>$N$119:$N$127</formula1>
      <formula2>0</formula2>
    </dataValidation>
    <dataValidation allowBlank="true" errorStyle="stop" operator="between" showDropDown="false" showErrorMessage="true" showInputMessage="true" sqref="D129:G129" type="list">
      <formula1>$O$119</formula1>
      <formula2>0</formula2>
    </dataValidation>
  </dataValidations>
  <printOptions headings="false" gridLines="false" gridLinesSet="true" horizontalCentered="true" verticalCentered="false"/>
  <pageMargins left="0.511805555555556" right="0.315277777777778" top="0.39375" bottom="0.393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11" man="true" max="16383" min="0"/>
    <brk id="206" man="true" max="16383" min="0"/>
    <brk id="313" man="true" max="16383" min="0"/>
    <brk id="420" man="true" max="16383" min="0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2017-09-08T09:03:00Z</dcterms:created>
  <dc:creator>สายใจ ไกเล็ก</dc:creator>
  <dc:description/>
  <dc:language>en-US</dc:language>
  <cp:lastModifiedBy/>
  <cp:lastPrinted>2026-03-16T09:11:58Z</cp:lastPrinted>
  <dcterms:modified xsi:type="dcterms:W3CDTF">2026-07-22T03:34:06Z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